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240" windowHeight="8445" tabRatio="908" activeTab="1"/>
  </bookViews>
  <sheets>
    <sheet name="간지" sheetId="1" r:id="rId1"/>
    <sheet name="집계" sheetId="2" r:id="rId2"/>
    <sheet name="원가집계" sheetId="3" r:id="rId3"/>
    <sheet name="원가" sheetId="4" r:id="rId4"/>
    <sheet name="인집" sheetId="5" r:id="rId5"/>
    <sheet name="단위당인건비" sheetId="6" r:id="rId6"/>
    <sheet name="연장근로" sheetId="7" r:id="rId7"/>
    <sheet name="휴일근로" sheetId="8" r:id="rId8"/>
    <sheet name="월기본급" sheetId="9" r:id="rId9"/>
    <sheet name="산정기준" sheetId="10" r:id="rId10"/>
    <sheet name="투입인원" sheetId="11" r:id="rId11"/>
    <sheet name="경비집계표" sheetId="12" r:id="rId12"/>
    <sheet name="보험료" sheetId="13" r:id="rId13"/>
    <sheet name="보험료산출기준" sheetId="14" r:id="rId14"/>
    <sheet name="산재비율" sheetId="15" r:id="rId15"/>
    <sheet name="복리후생비" sheetId="16" r:id="rId16"/>
    <sheet name="식대" sheetId="17" r:id="rId17"/>
    <sheet name="사업소세" sheetId="18" r:id="rId18"/>
    <sheet name="교육비" sheetId="19" r:id="rId19"/>
    <sheet name="일반" sheetId="20" r:id="rId20"/>
    <sheet name="일반비율" sheetId="21" r:id="rId21"/>
    <sheet name="이윤" sheetId="22" r:id="rId22"/>
    <sheet name="이윤율" sheetId="23" r:id="rId23"/>
    <sheet name="기업" sheetId="24" r:id="rId24"/>
    <sheet name="Sheet1" sheetId="25" r:id="rId25"/>
  </sheets>
  <externalReferences>
    <externalReference r:id="rId28"/>
  </externalReferences>
  <definedNames>
    <definedName name="_xlnm.Print_Area" localSheetId="11">'경비집계표'!$A$1:$H$22</definedName>
    <definedName name="_xlnm.Print_Area" localSheetId="23">'기업'!$A$1:$H$54</definedName>
    <definedName name="_xlnm.Print_Area" localSheetId="5">'단위당인건비'!$A$1:$J$66</definedName>
    <definedName name="_xlnm.Print_Area" localSheetId="12">'보험료'!$A$1:$J$81</definedName>
    <definedName name="_xlnm.Print_Area" localSheetId="13">'보험료산출기준'!$A$1:$H$12</definedName>
    <definedName name="_xlnm.Print_Area" localSheetId="15">'복리후생비'!$A$1:$L$10</definedName>
    <definedName name="_xlnm.Print_Area" localSheetId="9">'산정기준'!$A$1:$G$12</definedName>
    <definedName name="_xlnm.Print_Area" localSheetId="16">'식대'!$A$1:$K$12</definedName>
    <definedName name="_xlnm.Print_Area" localSheetId="6">'연장근로'!$A$1:$I$14</definedName>
    <definedName name="_xlnm.Print_Area" localSheetId="3">'원가'!$A$1:$L$101</definedName>
    <definedName name="_xlnm.Print_Area" localSheetId="2">'원가집계'!$A$1:$I$33</definedName>
    <definedName name="_xlnm.Print_Area" localSheetId="8">'월기본급'!$A$1:$K$14</definedName>
    <definedName name="_xlnm.Print_Area" localSheetId="22">'이윤율'!$A$1:$F$13</definedName>
    <definedName name="_xlnm.Print_Area" localSheetId="4">'인집'!$A$1:$K$12</definedName>
    <definedName name="_xlnm.Print_Area" localSheetId="20">'일반비율'!$A$1:$I$23</definedName>
    <definedName name="_xlnm.Print_Area" localSheetId="1">'집계'!$A$1:$N$16</definedName>
    <definedName name="_xlnm.Print_Area" localSheetId="10">'투입인원'!$A$1:$J$20</definedName>
    <definedName name="_xlnm.Print_Area" localSheetId="7">'휴일근로'!$A$1:$I$13</definedName>
    <definedName name="_xlnm.Print_Titles" localSheetId="5">'단위당인건비'!$2:$3</definedName>
    <definedName name="_xlnm.Print_Titles" localSheetId="12">'보험료'!$2:$3</definedName>
  </definedNames>
  <calcPr fullCalcOnLoad="1"/>
</workbook>
</file>

<file path=xl/sharedStrings.xml><?xml version="1.0" encoding="utf-8"?>
<sst xmlns="http://schemas.openxmlformats.org/spreadsheetml/2006/main" count="841" uniqueCount="546">
  <si>
    <t>(보헙료의 납부의무) 직장가입자의 보험료는 사용자가 납부한다.
 국민건강보험재정건전화특별법시행령 제3조에 의한 보험요율 : 표준보수월액의 5.08%
 (상용자부담 50%,근로자부담 50%)</t>
  </si>
  <si>
    <t>(기본급+제수당+상여금)×2.54%</t>
  </si>
  <si>
    <t>연장근로수당</t>
  </si>
  <si>
    <t>국민연금법 제88조</t>
  </si>
  <si>
    <t>&lt;표: 4&gt;</t>
  </si>
  <si>
    <t>&lt;표: 5&gt;</t>
  </si>
  <si>
    <t>&lt;표: 6&gt;</t>
  </si>
  <si>
    <t>&lt;표: 10&gt;</t>
  </si>
  <si>
    <t>&lt;표: 11&gt;</t>
  </si>
  <si>
    <t>&lt;표: 12&gt;</t>
  </si>
  <si>
    <t>&lt;표: 14&gt;</t>
  </si>
  <si>
    <t>&lt;표: 15&gt;</t>
  </si>
  <si>
    <t>&lt;표: 16&gt;</t>
  </si>
  <si>
    <t>주 2)</t>
  </si>
  <si>
    <t>소    계</t>
  </si>
  <si>
    <t>보
험
료</t>
  </si>
  <si>
    <t>년차수당</t>
  </si>
  <si>
    <t>소          계</t>
  </si>
  <si>
    <t>단위(1인)당
용역비</t>
  </si>
  <si>
    <t>월간용역비</t>
  </si>
  <si>
    <t>적용
개월수</t>
  </si>
  <si>
    <t>년간용역비</t>
  </si>
  <si>
    <t>주 2)</t>
  </si>
  <si>
    <t>주 3)</t>
  </si>
  <si>
    <t>주 4)</t>
  </si>
  <si>
    <t>주 5)</t>
  </si>
  <si>
    <t>계</t>
  </si>
  <si>
    <t>단위 : 원/월</t>
  </si>
  <si>
    <t xml:space="preserve"> 구      분</t>
  </si>
  <si>
    <t>금      액</t>
  </si>
  <si>
    <t>구성비(%)</t>
  </si>
  <si>
    <t>비        고</t>
  </si>
  <si>
    <t xml:space="preserve"> 비      목</t>
  </si>
  <si>
    <t>기    본    급</t>
  </si>
  <si>
    <t>년차수당</t>
  </si>
  <si>
    <t>소          계</t>
  </si>
  <si>
    <t>상       여       금</t>
  </si>
  <si>
    <t>퇴 직 급 여 충 당 금</t>
  </si>
  <si>
    <t>계</t>
  </si>
  <si>
    <t>산재보험료</t>
  </si>
  <si>
    <t>국민연금</t>
  </si>
  <si>
    <t>고용보험료</t>
  </si>
  <si>
    <t>국민건강보험료</t>
  </si>
  <si>
    <t>임금채권보장보험료</t>
  </si>
  <si>
    <t>식대</t>
  </si>
  <si>
    <t>단위 : 원/월</t>
  </si>
  <si>
    <t>금   액</t>
  </si>
  <si>
    <t>단위당인건비집계표</t>
  </si>
  <si>
    <t>단위 : 원/월</t>
  </si>
  <si>
    <t>구      분</t>
  </si>
  <si>
    <t>적용직종명</t>
  </si>
  <si>
    <t>기본급</t>
  </si>
  <si>
    <t>제수당</t>
  </si>
  <si>
    <t>상여금</t>
  </si>
  <si>
    <t>퇴직급여
충당금</t>
  </si>
  <si>
    <t>단위(1인)당인건비산출표</t>
  </si>
  <si>
    <t>월근로시간</t>
  </si>
  <si>
    <t>구          분</t>
  </si>
  <si>
    <t>금     액</t>
  </si>
  <si>
    <t>비   고</t>
  </si>
  <si>
    <t>기       본       급</t>
  </si>
  <si>
    <t>주 1)</t>
  </si>
  <si>
    <t>년차수당</t>
  </si>
  <si>
    <t>소계</t>
  </si>
  <si>
    <t>상       여       금</t>
  </si>
  <si>
    <t>퇴 직 급 여 충 당 금</t>
  </si>
  <si>
    <t>근로기준법 제34조</t>
  </si>
  <si>
    <t>계</t>
  </si>
  <si>
    <t>M/M당기본급산출표</t>
  </si>
  <si>
    <t>구       분</t>
  </si>
  <si>
    <t>직종번호</t>
  </si>
  <si>
    <t>주 1)</t>
  </si>
  <si>
    <t>적용직종 및 소요인원산정표</t>
  </si>
  <si>
    <t>구  분</t>
  </si>
  <si>
    <t>주     요     업     무</t>
  </si>
  <si>
    <t>계</t>
  </si>
  <si>
    <t>경비집계표</t>
  </si>
  <si>
    <t>비          목</t>
  </si>
  <si>
    <t>주 1)</t>
  </si>
  <si>
    <t>복리후생비</t>
  </si>
  <si>
    <t>식대</t>
  </si>
  <si>
    <t>주 2)</t>
  </si>
  <si>
    <t>비           목</t>
  </si>
  <si>
    <t>적 용 대 상 액  주1)</t>
  </si>
  <si>
    <t>금  액</t>
  </si>
  <si>
    <t>비 고</t>
  </si>
  <si>
    <t>기본급</t>
  </si>
  <si>
    <t>제수당</t>
  </si>
  <si>
    <t>상여금</t>
  </si>
  <si>
    <t>국민연금</t>
  </si>
  <si>
    <t>고용보험료</t>
  </si>
  <si>
    <t>국민건강보험료</t>
  </si>
  <si>
    <t>임금채권보장보험료</t>
  </si>
  <si>
    <t>1. 광  업</t>
  </si>
  <si>
    <t xml:space="preserve">   석탄광업</t>
  </si>
  <si>
    <t xml:space="preserve">   금속 및 비금속광업</t>
  </si>
  <si>
    <t xml:space="preserve">   선박건조 및 수리업</t>
  </si>
  <si>
    <t xml:space="preserve">   채석업</t>
  </si>
  <si>
    <t xml:space="preserve">   수송용기계기구 제조업(갑)</t>
  </si>
  <si>
    <t xml:space="preserve">   석회석광업</t>
  </si>
  <si>
    <t xml:space="preserve">   수송용기계기구 제조업(을)</t>
  </si>
  <si>
    <t xml:space="preserve">   제염업</t>
  </si>
  <si>
    <t xml:space="preserve">   기타광업</t>
  </si>
  <si>
    <t xml:space="preserve">   수제품 제조업</t>
  </si>
  <si>
    <t xml:space="preserve">   기타제조업</t>
  </si>
  <si>
    <t>2. 제조업</t>
  </si>
  <si>
    <t xml:space="preserve">   식료품제조업</t>
  </si>
  <si>
    <t>4. 건설업</t>
  </si>
  <si>
    <t xml:space="preserve">   담배제조업</t>
  </si>
  <si>
    <t>5. 운수창고 및 통신업</t>
  </si>
  <si>
    <t xml:space="preserve">   섬유 또는 섬유제품제조업(갑)</t>
  </si>
  <si>
    <t xml:space="preserve">   철도궤도 및 삭도운수업</t>
  </si>
  <si>
    <t xml:space="preserve">   섬유 또는 섬유제품제조업(을)</t>
  </si>
  <si>
    <t xml:space="preserve">   자동차여객운수업</t>
  </si>
  <si>
    <t xml:space="preserve">   제재 및 베니어판 제조업</t>
  </si>
  <si>
    <t xml:space="preserve">   화물자동차운수업</t>
  </si>
  <si>
    <t xml:space="preserve">   목재품 제조업</t>
  </si>
  <si>
    <t xml:space="preserve">   수상운수업, 항만하역 및 화물취급사업</t>
  </si>
  <si>
    <t xml:space="preserve">   항공운수업</t>
  </si>
  <si>
    <t xml:space="preserve">   운수관련 서비스업</t>
  </si>
  <si>
    <t xml:space="preserve">   인쇄업</t>
  </si>
  <si>
    <t xml:space="preserve">   창고업</t>
  </si>
  <si>
    <t xml:space="preserve">   화학제품 제조업</t>
  </si>
  <si>
    <t xml:space="preserve">   통신업</t>
  </si>
  <si>
    <t xml:space="preserve">   의약품 및 화장품 향료 제조업</t>
  </si>
  <si>
    <t>6. 임  업</t>
  </si>
  <si>
    <t xml:space="preserve">   코크스 및 석탄가스 제조업</t>
  </si>
  <si>
    <t xml:space="preserve">   고무제품 제조업</t>
  </si>
  <si>
    <t xml:space="preserve">   도자기제품 제조업</t>
  </si>
  <si>
    <t>7. 어  업</t>
  </si>
  <si>
    <t xml:space="preserve">   유리 제조업</t>
  </si>
  <si>
    <t>8. 농  업</t>
  </si>
  <si>
    <t xml:space="preserve">   요업 또는 토석제품 제조업</t>
  </si>
  <si>
    <t>9. 기타의사업</t>
  </si>
  <si>
    <t xml:space="preserve">   시멘트 제조업</t>
  </si>
  <si>
    <t xml:space="preserve">   농수산물위탁판매업</t>
  </si>
  <si>
    <t xml:space="preserve">   건물등의 종합관리사업</t>
  </si>
  <si>
    <t xml:space="preserve">   금속제련업</t>
  </si>
  <si>
    <t xml:space="preserve">   위생 및 유사서비스업</t>
  </si>
  <si>
    <t xml:space="preserve">   금속재료품 제조업</t>
  </si>
  <si>
    <t xml:space="preserve">   도금업</t>
  </si>
  <si>
    <t xml:space="preserve">   골프장 및 경마장운영업</t>
  </si>
  <si>
    <t xml:space="preserve">   기계기구 제조업</t>
  </si>
  <si>
    <t xml:space="preserve">   기타의 각종사업</t>
  </si>
  <si>
    <t xml:space="preserve">   전기기계기구 제조업</t>
  </si>
  <si>
    <t>10. 금융보험업</t>
  </si>
  <si>
    <t>복리후생비집계표</t>
  </si>
  <si>
    <t>수 량</t>
  </si>
  <si>
    <t>단  가</t>
  </si>
  <si>
    <t>비        고</t>
  </si>
  <si>
    <t>일반관리비산출표</t>
  </si>
  <si>
    <t>구  분</t>
  </si>
  <si>
    <t>적용직종명</t>
  </si>
  <si>
    <t>적   용   대   상   액</t>
  </si>
  <si>
    <t>금  액</t>
  </si>
  <si>
    <t>인건비</t>
  </si>
  <si>
    <t>경  비</t>
  </si>
  <si>
    <t>-</t>
  </si>
  <si>
    <t>이윤비율표</t>
  </si>
  <si>
    <t>구          분</t>
  </si>
  <si>
    <t>회계예규
기준비율(%)</t>
  </si>
  <si>
    <t>조사적용
비율(%)</t>
  </si>
  <si>
    <t>비       고</t>
  </si>
  <si>
    <t>시설공사</t>
  </si>
  <si>
    <t>제조,구매</t>
  </si>
  <si>
    <t>용역</t>
  </si>
  <si>
    <t>수입물품의구입</t>
  </si>
  <si>
    <t xml:space="preserve">    </t>
  </si>
  <si>
    <t>CODE NO.</t>
  </si>
  <si>
    <t>금     액</t>
  </si>
  <si>
    <t>"</t>
  </si>
  <si>
    <t>매출원가</t>
  </si>
  <si>
    <t>판매비와일반관리비</t>
  </si>
  <si>
    <t>이윤산출표</t>
  </si>
  <si>
    <t>구  분</t>
  </si>
  <si>
    <t>적용직종</t>
  </si>
  <si>
    <t>적   용   대   상   액</t>
  </si>
  <si>
    <t>금  액</t>
  </si>
  <si>
    <t>인건비</t>
  </si>
  <si>
    <t>경  비</t>
  </si>
  <si>
    <t>일반관리비</t>
  </si>
  <si>
    <t>계</t>
  </si>
  <si>
    <t>주 1)</t>
  </si>
  <si>
    <t>주 2)</t>
  </si>
  <si>
    <t>주 3)</t>
  </si>
  <si>
    <t>주 4)</t>
  </si>
  <si>
    <t>일반관리비율산출표</t>
  </si>
  <si>
    <t>1. 회계예규기준과 기업경영분석자료 비교</t>
  </si>
  <si>
    <t>비                  목</t>
  </si>
  <si>
    <t>회계예규기준</t>
  </si>
  <si>
    <t>비    고</t>
  </si>
  <si>
    <t>1)</t>
  </si>
  <si>
    <t xml:space="preserve"> 주 1)</t>
  </si>
  <si>
    <t>2)</t>
  </si>
  <si>
    <t>동기간의 일반관리비</t>
  </si>
  <si>
    <t>불인금액</t>
  </si>
  <si>
    <t>① 접대비</t>
  </si>
  <si>
    <t>② 광고선전비</t>
  </si>
  <si>
    <t>③ 운반비</t>
  </si>
  <si>
    <t>④ 대손상각비</t>
  </si>
  <si>
    <t>⑤ 무형자산상각비</t>
  </si>
  <si>
    <t>⑥ 기타판매비와관리비</t>
  </si>
  <si>
    <t>3)</t>
  </si>
  <si>
    <t>일반관리비율(%)</t>
  </si>
  <si>
    <t xml:space="preserve"> 주 2)</t>
  </si>
  <si>
    <t>기업경영분석
자료(백만원)</t>
  </si>
  <si>
    <t>비    목</t>
  </si>
  <si>
    <t xml:space="preserve">   2) 단가 : 시중유통거래가격 참조</t>
  </si>
  <si>
    <t>산업재해보상보험요율</t>
  </si>
  <si>
    <t>(단위 : 1000분율)</t>
  </si>
  <si>
    <t>사   업   종   류</t>
  </si>
  <si>
    <t xml:space="preserve">   계량기.광학기계.기타 정밀기구 제조업</t>
  </si>
  <si>
    <t>3. 전기·가스 및 상수도업</t>
  </si>
  <si>
    <t xml:space="preserve">   어업</t>
  </si>
  <si>
    <t xml:space="preserve">   양식어업 및 어업관련서비스업</t>
  </si>
  <si>
    <t xml:space="preserve">   보건 및 사회복지사업</t>
  </si>
  <si>
    <t xml:space="preserve">   교육서비스업</t>
  </si>
  <si>
    <t xml:space="preserve">   전자제품 제조업</t>
  </si>
  <si>
    <t>계</t>
  </si>
  <si>
    <t>적용직종</t>
  </si>
  <si>
    <t>M/M당
기본급</t>
  </si>
  <si>
    <t>관  련  법  규</t>
  </si>
  <si>
    <t>순용역원가</t>
  </si>
  <si>
    <t>일반관리비(5%)</t>
  </si>
  <si>
    <t>소요
인원</t>
  </si>
  <si>
    <t>단위 : 원</t>
  </si>
  <si>
    <t xml:space="preserve">   3) 월간용역비 : 소요인원 × 단위(1인)당용역비</t>
  </si>
  <si>
    <t xml:space="preserve">   5) 년간용역비 : 월간용역비 × 적용개월수</t>
  </si>
  <si>
    <t>비       목</t>
  </si>
  <si>
    <t>관  련  법  규</t>
  </si>
  <si>
    <t>산     정     기     준</t>
  </si>
  <si>
    <t>적  용  방  법</t>
  </si>
  <si>
    <t>기     본     급</t>
  </si>
  <si>
    <t>월통상근로일수 기준</t>
  </si>
  <si>
    <t>상       여       금</t>
  </si>
  <si>
    <t>퇴 직 급 여 충 당 금</t>
  </si>
  <si>
    <t>(기본급+제수당+상여금)÷12개월</t>
  </si>
  <si>
    <t>인건비산정기준 및 관련법규</t>
  </si>
  <si>
    <t>고용보험료</t>
  </si>
  <si>
    <t>순용역원가 × 5%</t>
  </si>
  <si>
    <t>비       목</t>
  </si>
  <si>
    <t>관  련  법  규</t>
  </si>
  <si>
    <t>산         정         기         준</t>
  </si>
  <si>
    <t>적  용  방  법</t>
  </si>
  <si>
    <t>비 고</t>
  </si>
  <si>
    <t>보
험
료</t>
  </si>
  <si>
    <t>산재보험료</t>
  </si>
  <si>
    <t>고용보험및산업재해보상보험의
 보험료징수등에관한법률 제14조</t>
  </si>
  <si>
    <t>(기본급+제수당+상여금)×4.5%</t>
  </si>
  <si>
    <t>(기본급+제수당+상여금)×0.04%</t>
  </si>
  <si>
    <t>보험료산정기준표</t>
  </si>
  <si>
    <t xml:space="preserve">사업장가입자의 연금보험료중 기여금은 사업장가입자 본인이, 부담금은 사용자가
 부담하되, 그 금액은 각각 표준소득월액의 1천분의 45에 해당하는 액으로 한다. </t>
  </si>
  <si>
    <t>사용자는 1년간 8할 이상 출근한 근로자에게 15일의 유급휴가를 주어야 한다.</t>
  </si>
  <si>
    <t>퇴직금제도를 설정하고자 하는 사용자는 계속근로기간 1년에 대하여 30일분
 이상의 평균임금을 퇴직금으로 퇴직하는 근로자에게 지급할 수 있는 제도를
 설정하여야 한다.</t>
  </si>
  <si>
    <t>근로기준법 제60조</t>
  </si>
  <si>
    <t>근로기준법 제56조</t>
  </si>
  <si>
    <t>근로기준법 제60조</t>
  </si>
  <si>
    <t>근로기준법 제34조
 근로자퇴직급여 보장법 제8조</t>
  </si>
  <si>
    <t>국민건강보험법 제65조</t>
  </si>
  <si>
    <t>인
건
비</t>
  </si>
  <si>
    <t>인
건
비</t>
  </si>
  <si>
    <t>&lt;표: 17&gt;</t>
  </si>
  <si>
    <t>연장근로에 대하여 통상임금의 100분의 50이상을 가산하여 지급하여야 한다.</t>
  </si>
  <si>
    <t>기본급÷월근로시간×일근로시간×15일/년
 ÷12개월</t>
  </si>
  <si>
    <t>비율
(%)</t>
  </si>
  <si>
    <t>이                 윤(10%)</t>
  </si>
  <si>
    <t>구  분</t>
  </si>
  <si>
    <t>주 1)</t>
  </si>
  <si>
    <t>휴일근로수당</t>
  </si>
  <si>
    <t>비  고</t>
  </si>
  <si>
    <t>보험료산출표</t>
  </si>
  <si>
    <t>제-165</t>
  </si>
  <si>
    <t>보통인부</t>
  </si>
  <si>
    <t>&lt;표: 9&gt;</t>
  </si>
  <si>
    <t>경
비</t>
  </si>
  <si>
    <t>제
수
당</t>
  </si>
  <si>
    <t>휴일근로수당</t>
  </si>
  <si>
    <t>주 3)</t>
  </si>
  <si>
    <t xml:space="preserve"> 구      분</t>
  </si>
  <si>
    <t xml:space="preserve"> 비      목</t>
  </si>
  <si>
    <t>기    본    급</t>
  </si>
  <si>
    <t>상       여       금</t>
  </si>
  <si>
    <t>퇴 직 급 여 충 당 금</t>
  </si>
  <si>
    <t>계</t>
  </si>
  <si>
    <t>국민연금</t>
  </si>
  <si>
    <t>고용보험료</t>
  </si>
  <si>
    <t>국민건강보험료</t>
  </si>
  <si>
    <t>임금채권보장보험료</t>
  </si>
  <si>
    <t>식대</t>
  </si>
  <si>
    <t>일반관리비(5%)</t>
  </si>
  <si>
    <t>이                 윤(10%)</t>
  </si>
  <si>
    <t>노인장기요양보험법 제9조</t>
  </si>
  <si>
    <t>국민건강보험료×4.78%</t>
  </si>
  <si>
    <t>「국민건강보험법」 제62조제4항 및 제5항에 따라 산정한 보험료액에서 같은 법 제66조
 또는 제66조의2에 따라 경감 또는 면제되는 비용을 공제한 금액에 장기요양보험료율을
 곱하여 산정한 금액으로 한다.
 * 노인장기요양보험요율 : 국민건강보험료 × 4.78%</t>
  </si>
  <si>
    <t>임금채권보장법 제9조</t>
  </si>
  <si>
    <t>임금채권보장법 제9조 및 동법 시행령 제13조의 규정에 의하여 임금채권보장기금
 사업주부담금비율은 0.4/1000(전업종공통)</t>
  </si>
  <si>
    <t>보험요율</t>
  </si>
  <si>
    <t xml:space="preserve">   자동차 및 모터사이클 수리업</t>
  </si>
  <si>
    <t xml:space="preserve">   펄프.지류제조업 및 제본 또는
   인쇄물 가공업</t>
  </si>
  <si>
    <t xml:space="preserve">   신문.화폐발행, 출판업 및 경인쇄업</t>
  </si>
  <si>
    <t xml:space="preserve">   연탄 및 응집고제 연료생산업</t>
  </si>
  <si>
    <t xml:space="preserve">   비금속광물제품 및 금속제품
   제조업 또는 금속가공업</t>
  </si>
  <si>
    <t xml:space="preserve">   전문기술서비스업</t>
  </si>
  <si>
    <t>※ 해외파견자 : 18/1000</t>
  </si>
  <si>
    <t>주) 노동부 고시 제2008-93호(2009년 1월 1일부터 시행)</t>
  </si>
  <si>
    <t>노동부 고시 제2008-93호(2009년 1월 1일부터 시행)</t>
  </si>
  <si>
    <t>(기본급+제수당+상여금)×2.1%</t>
  </si>
  <si>
    <t xml:space="preserve">   3) 노인장기요양보험료 : 국민건강보험료 × 4.78%</t>
  </si>
  <si>
    <t>휴일근로에 대하여 통상임금의 100분의 50이상을 가산하여 지급하여야 한다.</t>
  </si>
  <si>
    <t>상여금은 기준단가의 년 400%를 초과하여 계상할 수 없다.</t>
  </si>
  <si>
    <t>기본급×400%</t>
  </si>
  <si>
    <t>휴일근로수당</t>
  </si>
  <si>
    <t>회계예규에 의거
기본급의 년 400%적용</t>
  </si>
  <si>
    <t xml:space="preserve">   2) 일반관리비율 = (동기간의 일반관리비 ÷ 매출원가) × 100</t>
  </si>
  <si>
    <t>2. 일반관리비 적용비율</t>
  </si>
  <si>
    <t>경
비</t>
  </si>
  <si>
    <t>기계반장</t>
  </si>
  <si>
    <t>미화원</t>
  </si>
  <si>
    <t>미화원</t>
  </si>
  <si>
    <t>M/D당
임율</t>
  </si>
  <si>
    <t>월근무
일수</t>
  </si>
  <si>
    <t>1.</t>
  </si>
  <si>
    <t>경비원</t>
  </si>
  <si>
    <t>미화</t>
  </si>
  <si>
    <t>자격기준</t>
  </si>
  <si>
    <t>보통인부</t>
  </si>
  <si>
    <t>소요
인원</t>
  </si>
  <si>
    <t xml:space="preserve"> - 출입인원감시, 안내, 안전유도</t>
  </si>
  <si>
    <t xml:space="preserve"> - 도난, 화재예방</t>
  </si>
  <si>
    <t xml:space="preserve"> - 취약지점순찰 및 시설물보호</t>
  </si>
  <si>
    <t xml:space="preserve"> - 주차유도 관리</t>
  </si>
  <si>
    <t>＊복도, 승강기, 계단, 화장실,</t>
  </si>
  <si>
    <t>＊건물 내·외부 청결유지</t>
  </si>
  <si>
    <t xml:space="preserve">  집기등 관리보호</t>
  </si>
  <si>
    <t xml:space="preserve">  내·외부 유리, 샷시외 기타</t>
  </si>
  <si>
    <t xml:space="preserve">  환경유지</t>
  </si>
  <si>
    <t>가스·보일러기사</t>
  </si>
  <si>
    <t>유경험자</t>
  </si>
  <si>
    <t>노인장기요양보험료</t>
  </si>
  <si>
    <t>사     업     소     세</t>
  </si>
  <si>
    <t>적용직종명</t>
  </si>
  <si>
    <t>금  액</t>
  </si>
  <si>
    <t>사업소세산출표</t>
  </si>
  <si>
    <t>주 1)</t>
  </si>
  <si>
    <t>주 3)</t>
  </si>
  <si>
    <t>적용대상액
(급여액)</t>
  </si>
  <si>
    <t>비    고</t>
  </si>
  <si>
    <t>주 2)</t>
  </si>
  <si>
    <t>비  고</t>
  </si>
  <si>
    <t>구      분</t>
  </si>
  <si>
    <t>적용직종명</t>
  </si>
  <si>
    <t>식대</t>
  </si>
  <si>
    <t>구분</t>
  </si>
  <si>
    <t>적용직종명</t>
  </si>
  <si>
    <t>담당업무</t>
  </si>
  <si>
    <t>노인장기요양보험료</t>
  </si>
  <si>
    <t>제
수
당</t>
  </si>
  <si>
    <t>주) 소요인원 : 제시된 시설종합관리 인원편성표 참조</t>
  </si>
  <si>
    <t>직책수당</t>
  </si>
  <si>
    <t>제
수
당</t>
  </si>
  <si>
    <t>교         육        비</t>
  </si>
  <si>
    <t>기
타</t>
  </si>
  <si>
    <t>교육비</t>
  </si>
  <si>
    <t>사업소세</t>
  </si>
  <si>
    <t>교육비산출표</t>
  </si>
  <si>
    <t>적용
개월수</t>
  </si>
  <si>
    <t>년간비용</t>
  </si>
  <si>
    <t>월간비용</t>
  </si>
  <si>
    <t>기본급÷월근로시간×휴일근로시간×휴일할증</t>
  </si>
  <si>
    <t>주 6)</t>
  </si>
  <si>
    <t>주 7)</t>
  </si>
  <si>
    <t xml:space="preserve">   5) 직책수당 : 적용직종별 등급을 감안</t>
  </si>
  <si>
    <t xml:space="preserve">                    월근로시간 = {(40시간(월~금)+8시간(일요일))÷7일}×(365일/12개월) = 209시간</t>
  </si>
  <si>
    <t xml:space="preserve">   3) 금액 : 천원미만 절사</t>
  </si>
  <si>
    <t>시설</t>
  </si>
  <si>
    <t>경비</t>
  </si>
  <si>
    <t>순용역원가 + 일반관리비 + 이윤</t>
  </si>
  <si>
    <t>(인건비+경비+일반관리비)×10%</t>
  </si>
  <si>
    <t>비    고</t>
  </si>
  <si>
    <t>구           분</t>
  </si>
  <si>
    <t>계</t>
  </si>
  <si>
    <t xml:space="preserve">&lt; 표 : 1 &gt; </t>
  </si>
  <si>
    <t>보     험     료</t>
  </si>
  <si>
    <t>주) 년간비용 : 적용대상자별 직무교육에 필요한 교육비용 적용</t>
  </si>
  <si>
    <t>단위 : 원/월</t>
  </si>
  <si>
    <t xml:space="preserve">   2) 비율(%) : 지방세법 제248조 종업원할(급여총액의 100분의 0.5)</t>
  </si>
  <si>
    <t>제
수
당</t>
  </si>
  <si>
    <t>인건비 + 경비</t>
  </si>
  <si>
    <t>주) 지방자치단체 원가계산 및 예정가격 작성요령(행정안전부예규 제228호, 2009. 3.13)</t>
  </si>
  <si>
    <t>단위 : 시간</t>
  </si>
  <si>
    <t>기본급÷월근로시간×연장근로시간×연장할증</t>
  </si>
  <si>
    <t>&lt;표: 1&gt;</t>
  </si>
  <si>
    <t>&lt;표: 2&gt;</t>
  </si>
  <si>
    <t>&lt;표: 7&gt;</t>
  </si>
  <si>
    <t>&lt;표: 18&gt;</t>
  </si>
  <si>
    <t>&lt;표: 23&gt;</t>
  </si>
  <si>
    <t>＊소방·방화용 설비 관리</t>
  </si>
  <si>
    <t>유경험자</t>
  </si>
  <si>
    <t>연장근로시간산출표</t>
  </si>
  <si>
    <t>월간주수</t>
  </si>
  <si>
    <t>월간연장
근로시간</t>
  </si>
  <si>
    <t>근무시간</t>
  </si>
  <si>
    <t>주당연장
근로시간</t>
  </si>
  <si>
    <t>주 1) 주당연장근로시간 : 근로기준법 제 53조에 의거</t>
  </si>
  <si>
    <t xml:space="preserve">   2) 월간주수 : 365일/년 ÷ 7일/주 ÷ 12개월</t>
  </si>
  <si>
    <t xml:space="preserve">   3) 월간연장근로시간 : 주당연장근로시간 × 월간주수</t>
  </si>
  <si>
    <t>휴일근로시간산출표</t>
  </si>
  <si>
    <t>휴일
근로시간</t>
  </si>
  <si>
    <t>월간휴일
근로시간</t>
  </si>
  <si>
    <t>주 1) 휴일근로시간 : 일 근로기본시간 8시간 적용</t>
  </si>
  <si>
    <t xml:space="preserve">   3) 월간휴일근로시간 : 휴일근로시간 × 월간주수</t>
  </si>
  <si>
    <t>경비원</t>
  </si>
  <si>
    <t>기본</t>
  </si>
  <si>
    <t>휴일</t>
  </si>
  <si>
    <t>연장</t>
  </si>
  <si>
    <t>식비산출표</t>
  </si>
  <si>
    <t xml:space="preserve">   2) 월근무일수 : 주5일 근무기준에 의거 21일 적용</t>
  </si>
  <si>
    <t xml:space="preserve">   2) 월간주수 : 월 1회 휴일근무 기준</t>
  </si>
  <si>
    <t>&lt;표: 8&gt;</t>
  </si>
  <si>
    <t>&lt;표: 22&gt;</t>
  </si>
  <si>
    <t>&lt;표: 24&gt;</t>
  </si>
  <si>
    <t>&lt;표: 26&gt;</t>
  </si>
  <si>
    <t xml:space="preserve">&lt; 표 : 8 &gt; </t>
  </si>
  <si>
    <t>1개월 21일을 기준하였슴</t>
  </si>
  <si>
    <t>M/D당임율×21일/월</t>
  </si>
  <si>
    <t>지방자치단체 원가계산 및
 예정가격 작성요령(행정안전
 부예규 제228호, 2009. 3.13)</t>
  </si>
  <si>
    <t>주 3)</t>
  </si>
  <si>
    <t>합계</t>
  </si>
  <si>
    <t>합계</t>
  </si>
  <si>
    <t>부가가치세(10%)</t>
  </si>
  <si>
    <t>총계</t>
  </si>
  <si>
    <t>부가가치세(10%)</t>
  </si>
  <si>
    <t>총계</t>
  </si>
  <si>
    <t>합계 × 10%</t>
  </si>
  <si>
    <t>합계 + 부가가치세</t>
  </si>
  <si>
    <t>&lt;표: 13&gt;</t>
  </si>
  <si>
    <t>&lt;표: 25&gt;</t>
  </si>
  <si>
    <t>비         고</t>
  </si>
  <si>
    <t>식  대</t>
  </si>
  <si>
    <t>복리
후생비</t>
  </si>
  <si>
    <t>복리
후생비</t>
  </si>
  <si>
    <t>용역원가집계표</t>
  </si>
  <si>
    <t>용역원가계산서</t>
  </si>
  <si>
    <t xml:space="preserve">&lt; 표 : 2 &gt; </t>
  </si>
  <si>
    <t xml:space="preserve">&lt; 표 : 3 &gt; </t>
  </si>
  <si>
    <t>직종별원가계산서</t>
  </si>
  <si>
    <t>직종별원가계산서</t>
  </si>
  <si>
    <t>직종별원가계산서</t>
  </si>
  <si>
    <t xml:space="preserve">&lt; 표 : 4 &gt; </t>
  </si>
  <si>
    <t xml:space="preserve">&lt; 표 : 5 &gt; </t>
  </si>
  <si>
    <t xml:space="preserve">&lt; 표 : 6 &gt; </t>
  </si>
  <si>
    <t xml:space="preserve">&lt; 표 : 7 &gt; </t>
  </si>
  <si>
    <t xml:space="preserve">&lt; 표 : 22 &gt; </t>
  </si>
  <si>
    <t xml:space="preserve">&lt; 표 : 23 &gt; </t>
  </si>
  <si>
    <t xml:space="preserve">   4) 적용개월수 : 2010년 1월 1일에서 12월 31까지 12개월기준</t>
  </si>
  <si>
    <t>기업경영분석자료</t>
  </si>
  <si>
    <t>* 손익산출서</t>
  </si>
  <si>
    <t>(단위 : 백만원)</t>
  </si>
  <si>
    <t>내역</t>
  </si>
  <si>
    <t>구성비(%)</t>
  </si>
  <si>
    <t>매출액</t>
  </si>
  <si>
    <t>매출원가</t>
  </si>
  <si>
    <t>매출총손익</t>
  </si>
  <si>
    <t>판매비와관리비</t>
  </si>
  <si>
    <t>급여</t>
  </si>
  <si>
    <t>퇴직급여</t>
  </si>
  <si>
    <t>복리후생비</t>
  </si>
  <si>
    <t>수도광열비</t>
  </si>
  <si>
    <t>세금과공과</t>
  </si>
  <si>
    <t>임차료</t>
  </si>
  <si>
    <t>감가상각비</t>
  </si>
  <si>
    <t>접대비</t>
  </si>
  <si>
    <t>불 인 금 액</t>
  </si>
  <si>
    <t>광고선전비</t>
  </si>
  <si>
    <t>경상개발비.연구비</t>
  </si>
  <si>
    <t>보험료</t>
  </si>
  <si>
    <t>운반.하역.보관.포장비</t>
  </si>
  <si>
    <t>대손상각비</t>
  </si>
  <si>
    <t>"</t>
  </si>
  <si>
    <t>무형자산상각비</t>
  </si>
  <si>
    <t>(개발비상각)</t>
  </si>
  <si>
    <t>지급수수료</t>
  </si>
  <si>
    <t>기타판매비와관리비</t>
  </si>
  <si>
    <t>영업손익</t>
  </si>
  <si>
    <t>영업외수익</t>
  </si>
  <si>
    <t>이자수익</t>
  </si>
  <si>
    <t>배당금수익</t>
  </si>
  <si>
    <t>외환차익</t>
  </si>
  <si>
    <t>외화환산이익</t>
  </si>
  <si>
    <t>파생금융상품거래이익</t>
  </si>
  <si>
    <t>파생금융상품평가이익</t>
  </si>
  <si>
    <t>투자·유형자산처분이익</t>
  </si>
  <si>
    <t>지분법평가이익</t>
  </si>
  <si>
    <t>기타영업외수익</t>
  </si>
  <si>
    <t>영업외비용</t>
  </si>
  <si>
    <t>이자비용</t>
  </si>
  <si>
    <t>외환차손</t>
  </si>
  <si>
    <t>외화환산손실</t>
  </si>
  <si>
    <t>파생금융상품거래손실</t>
  </si>
  <si>
    <t>파생금융상품평가손실</t>
  </si>
  <si>
    <t>투자·유형자산처분손실</t>
  </si>
  <si>
    <t>지분법평가손실</t>
  </si>
  <si>
    <t>자산재평가손실</t>
  </si>
  <si>
    <t>기타영업외비용</t>
  </si>
  <si>
    <t>법인세차감전순손익</t>
  </si>
  <si>
    <t>법인세비용</t>
  </si>
  <si>
    <t>계속사업이익</t>
  </si>
  <si>
    <t>중단사업손익</t>
  </si>
  <si>
    <t>당기순손익</t>
  </si>
  <si>
    <t>주) 2009년 한국은행발간 기업경영분석자료 참조</t>
  </si>
  <si>
    <t xml:space="preserve">    CODE NO. N.『사업시설관리 및 사업지원 서비스업』</t>
  </si>
  <si>
    <t>고용보험및산업재해보상보험의보험료징수등에관한법률 제14조 1항, 시행령 제12조</t>
  </si>
  <si>
    <t xml:space="preserve"> 시행령 제12조 법제14조1항의 규정에 의한 고용보험료율은 다음 각호와 같다.
 1. 고용안정. 직업능력개발사업의 보험료율은 다음 각 목의 구분에 따른 보험료율
   가. 상시근로자수가 150인 미만의 사업주의 사업 : 1만분의 25
   나. 상시근로자수가 150인 이상의 사업주의 사업으로서 "고용보험법시행령" 제12조에
       따른 우선지원 대상기업의 범위에 해당하는 사업 : 1만분의 45
   다. 상시근로자수가 150인 이상 1천인 미만인 사업주의 사업으로서 
       나목에 해당하지 아니하는 사업 : 1만분의 65
   라. 상시근로자수가 1천인 이상인 사업주의 사업으로서 나목에 해당하지 아니하는 
       사업 및 국가ㆍ지방자치단체가 직접 행하는 사업 : 1만분의 85
 2. 실업급여의 보험율 : 1천분의 9(사업주 부담 0.45%)
 * 산출식 : 0.25%(고용안정.직업능력개발사업요율)+0.45%(실업급여의 보험율)</t>
  </si>
  <si>
    <t>(기본급+제수당+상여금)×0.7%</t>
  </si>
  <si>
    <t>주당 최초4시간</t>
  </si>
  <si>
    <t>주당 연장근로시간</t>
  </si>
  <si>
    <t>일일연장시간</t>
  </si>
  <si>
    <t>월근무일수</t>
  </si>
  <si>
    <t>최초시간</t>
  </si>
  <si>
    <t>잔여연장시간</t>
  </si>
  <si>
    <t>기계정비공</t>
  </si>
  <si>
    <t>보통인부</t>
  </si>
  <si>
    <t xml:space="preserve">&lt; 표 : 17 &gt; </t>
  </si>
  <si>
    <t xml:space="preserve">&lt; 표 : 18 &gt; </t>
  </si>
  <si>
    <t>기계정비공</t>
  </si>
  <si>
    <t>제-105</t>
  </si>
  <si>
    <t xml:space="preserve">&lt; 표 : 9 &gt; </t>
  </si>
  <si>
    <t xml:space="preserve">&lt; 표 : 10 &gt; </t>
  </si>
  <si>
    <t xml:space="preserve">&lt; 표 : 11 &gt; </t>
  </si>
  <si>
    <t xml:space="preserve">&lt; 표 : 12 &gt; </t>
  </si>
  <si>
    <t xml:space="preserve">&lt; 표 : 13 &gt; </t>
  </si>
  <si>
    <t xml:space="preserve">&lt; 표 : 14 &gt; </t>
  </si>
  <si>
    <t xml:space="preserve">&lt; 표 : 15 &gt; </t>
  </si>
  <si>
    <t xml:space="preserve">&lt; 표 : 16 &gt; </t>
  </si>
  <si>
    <t xml:space="preserve">&lt; 표 : 24 &gt; </t>
  </si>
  <si>
    <t xml:space="preserve">&lt; 표 : 25 &gt; </t>
  </si>
  <si>
    <t xml:space="preserve">&lt; 표 : 26 &gt; </t>
  </si>
  <si>
    <t>기계반장</t>
  </si>
  <si>
    <t>주 1) M/D당임율 : 중소기업중앙회에서 조사·공표한 2009년도 시중노임단가 참조</t>
  </si>
  <si>
    <t>Ⅳ. 산출근거</t>
  </si>
  <si>
    <t>천원이하절사</t>
  </si>
  <si>
    <t>합 계</t>
  </si>
  <si>
    <r>
      <t>2</t>
    </r>
    <r>
      <rPr>
        <sz val="10"/>
        <rFont val="바탕체"/>
        <family val="1"/>
      </rPr>
      <t>.</t>
    </r>
  </si>
  <si>
    <t>2010년 경기도어린이박물관 시설관리 용역 원가계산서</t>
  </si>
  <si>
    <r>
      <t>3</t>
    </r>
    <r>
      <rPr>
        <sz val="10"/>
        <rFont val="바탕체"/>
        <family val="1"/>
      </rPr>
      <t>.</t>
    </r>
  </si>
  <si>
    <t>건 명 : 2010년 경기도어린이박물관 시설관리 용역 원가계산서</t>
  </si>
</sst>
</file>

<file path=xl/styles.xml><?xml version="1.0" encoding="utf-8"?>
<styleSheet xmlns="http://schemas.openxmlformats.org/spreadsheetml/2006/main">
  <numFmts count="7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0.0"/>
    <numFmt numFmtId="178" formatCode="_ * #,##0_ ;_ * \-#,##0_ ;_ * &quot;-&quot;_ ;_ @_ "/>
    <numFmt numFmtId="179" formatCode="#,##0_ "/>
    <numFmt numFmtId="180" formatCode="#,##0.000"/>
    <numFmt numFmtId="181" formatCode="0_);[Red]\(0\)"/>
    <numFmt numFmtId="182" formatCode="#,##0.0_);[Red]\(#,##0.0\)"/>
    <numFmt numFmtId="183" formatCode="#,##0_);[Red]\(#,##0\)"/>
    <numFmt numFmtId="184" formatCode="_ * #,##0.00_ ;_ * \-#,##0.00_ ;_ * &quot;-&quot;??_ ;_ @_ "/>
    <numFmt numFmtId="185" formatCode="#,##0.0_ "/>
    <numFmt numFmtId="186" formatCode="#,##0.00_ "/>
    <numFmt numFmtId="187" formatCode="#."/>
    <numFmt numFmtId="188" formatCode="#,##0.0"/>
    <numFmt numFmtId="189" formatCode="&quot;₩&quot;\!\$#\!\,##0_);[Red]&quot;₩&quot;\!\(&quot;₩&quot;\!\$#\!\,##0&quot;₩&quot;\!\)"/>
    <numFmt numFmtId="190" formatCode="_(&quot;$&quot;* #,##0_);_(&quot;$&quot;* \(#,##0\);_(&quot;$&quot;* &quot;-&quot;_);_(@_)"/>
    <numFmt numFmtId="191" formatCode="0\!.0000000000000000"/>
    <numFmt numFmtId="192" formatCode="&quot;$&quot;#\!\,##0\!.00_);[Red]&quot;₩&quot;\!\(&quot;$&quot;#\!\,##0\!.00&quot;₩&quot;\!\)"/>
    <numFmt numFmtId="193" formatCode="0.00_);[Red]\(0.00\)"/>
    <numFmt numFmtId="194" formatCode="0.00;[Red]0.00"/>
    <numFmt numFmtId="195" formatCode="_-* #,##0.0_-;&quot;₩&quot;\!\-* #,##0.0_-;_-* &quot;-&quot;_-;_-@_-"/>
    <numFmt numFmtId="196" formatCode="&quot;₩&quot;#,##0;&quot;₩&quot;&quot;₩&quot;&quot;₩&quot;&quot;₩&quot;&quot;₩&quot;&quot;₩&quot;\!\!\-#,##0"/>
    <numFmt numFmtId="197" formatCode="_ &quot;₩&quot;* #,##0.00_ ;_ &quot;₩&quot;* \-#,##0.00_ ;_ &quot;₩&quot;* &quot;-&quot;??_ ;_ @_ "/>
    <numFmt numFmtId="198" formatCode="#,##0;[Red]&quot;-&quot;#,##0"/>
    <numFmt numFmtId="199" formatCode="#\!\,##0;&quot;₩&quot;\!\-#\!\,##0\!.00"/>
    <numFmt numFmtId="200" formatCode="#,##0;\-#,##0.00"/>
    <numFmt numFmtId="201" formatCode="#,##0;&quot;-&quot;#,##0"/>
    <numFmt numFmtId="202" formatCode="&quot;₩&quot;#,##0;[Red]&quot;₩&quot;&quot;₩&quot;&quot;₩&quot;&quot;₩&quot;&quot;₩&quot;&quot;₩&quot;\!\!\-#,##0"/>
    <numFmt numFmtId="203" formatCode="&quot;₩&quot;#,##0.00;&quot;₩&quot;\-#,##0.00"/>
    <numFmt numFmtId="204" formatCode="&quot;M-S3-014-&quot;\ ###&quot;&quot;\ "/>
    <numFmt numFmtId="205" formatCode="&quot;004-30-&quot;\ ###&quot;호&quot;\ "/>
    <numFmt numFmtId="206" formatCode="&quot;M-S3-016-&quot;\ ###&quot;&quot;\ "/>
    <numFmt numFmtId="207" formatCode="&quot;M-S3-004-&quot;\ ###&quot;&quot;\ "/>
    <numFmt numFmtId="208" formatCode="_-* #,##0.00_-;&quot;₩&quot;&quot;₩&quot;&quot;₩&quot;&quot;₩&quot;\!\!\-* #,##0.00_-;_-* &quot;-&quot;??_-;_-@_-"/>
    <numFmt numFmtId="209" formatCode="_-&quot;₩&quot;* #,##0.00_-;&quot;₩&quot;&quot;₩&quot;&quot;₩&quot;&quot;₩&quot;\!\!\-&quot;₩&quot;* #,##0.00_-;_-&quot;₩&quot;* &quot;-&quot;??_-;_-@_-"/>
    <numFmt numFmtId="210" formatCode="&quot;₩&quot;#,##0.00;&quot;₩&quot;&quot;₩&quot;&quot;₩&quot;&quot;₩&quot;&quot;₩&quot;&quot;₩&quot;\!\!\-#,##0.00"/>
    <numFmt numFmtId="211" formatCode="&quot;$&quot;#,##0.00_);\(&quot;$&quot;#,##0.00\)"/>
    <numFmt numFmtId="212" formatCode="0000000000000"/>
    <numFmt numFmtId="213" formatCode="_-* #,##0.00\ _P_t_s_-;\-* #,##0.00\ _P_t_s_-;_-* &quot;-&quot;??\ _P_t_s_-;_-@_-"/>
    <numFmt numFmtId="214" formatCode="#,##0."/>
    <numFmt numFmtId="215" formatCode="\$#."/>
    <numFmt numFmtId="216" formatCode="yy/m"/>
    <numFmt numFmtId="217" formatCode="&quot;$&quot;#,##0;[Red]\-&quot;$&quot;#,##0"/>
    <numFmt numFmtId="218" formatCode="&quot;F&quot;\ #,##0_-;&quot;F&quot;\ #,##0\-"/>
    <numFmt numFmtId="219" formatCode="&quot;₩&quot;#,##0;[Red]&quot;₩&quot;&quot;₩&quot;&quot;₩&quot;&quot;₩&quot;&quot;₩&quot;&quot;₩&quot;&quot;₩&quot;&quot;₩&quot;&quot;₩&quot;\-#,##0"/>
    <numFmt numFmtId="220" formatCode="0.00000000_ "/>
    <numFmt numFmtId="221" formatCode="_-[$€-2]* #,##0.00_-;&quot;₩&quot;\!\-[$€-2]* #,##0.00_-;_-[$€-2]* &quot;-&quot;??_-"/>
    <numFmt numFmtId="222" formatCode="_-* #,##0.0_-;\-* #,##0.0_-;_-* &quot;-&quot;??_-;_-@_-"/>
    <numFmt numFmtId="223" formatCode="#,##0.0000;[Red]\-#,##0.0000"/>
    <numFmt numFmtId="224" formatCode="&quot;$&quot;#,##0.00_);[Red]\(&quot;$&quot;#,##0.00\)"/>
    <numFmt numFmtId="225" formatCode="#,##0.0;[Red]&quot;-&quot;#,##0.0"/>
    <numFmt numFmtId="226" formatCode="#,##0\ &quot;DM&quot;;[Red]\-#,##0\ &quot;DM&quot;"/>
    <numFmt numFmtId="227" formatCode="#,##0.00\ &quot;DM&quot;;[Red]\-#,##0.00\ &quot;DM&quot;"/>
    <numFmt numFmtId="228" formatCode="_ * #,##0_ ;_ * &quot;₩&quot;\!\-#,##0_ ;_ * &quot;-&quot;_ ;_ @_ "/>
    <numFmt numFmtId="229" formatCode="mm&quot;월&quot;\ dd&quot;일&quot;"/>
    <numFmt numFmtId="230" formatCode="#,##0.0000_ "/>
    <numFmt numFmtId="231" formatCode="0.0_ "/>
    <numFmt numFmtId="232" formatCode="0.00_ "/>
    <numFmt numFmtId="233" formatCode="_-* #,##0.00_-;\-* #,##0.00_-;_-* &quot;-&quot;_-;_-@_-"/>
    <numFmt numFmtId="234" formatCode="_ * #,##0.00_ ;_ * \-#,##0.00_ ;_ * &quot;-&quot;_ ;_ @_ "/>
  </numFmts>
  <fonts count="119">
    <font>
      <sz val="10"/>
      <name val="바탕체"/>
      <family val="1"/>
    </font>
    <font>
      <sz val="20"/>
      <name val="바탕체"/>
      <family val="1"/>
    </font>
    <font>
      <sz val="10"/>
      <name val="Arial"/>
      <family val="2"/>
    </font>
    <font>
      <sz val="8"/>
      <name val="바탕체"/>
      <family val="1"/>
    </font>
    <font>
      <sz val="8"/>
      <name val="바탕"/>
      <family val="1"/>
    </font>
    <font>
      <sz val="8"/>
      <name val="돋움"/>
      <family val="3"/>
    </font>
    <font>
      <sz val="12"/>
      <name val="바탕체"/>
      <family val="1"/>
    </font>
    <font>
      <sz val="12"/>
      <name val="돋움체"/>
      <family val="3"/>
    </font>
    <font>
      <sz val="12"/>
      <name val="명조"/>
      <family val="3"/>
    </font>
    <font>
      <sz val="20"/>
      <name val="돋움체"/>
      <family val="3"/>
    </font>
    <font>
      <u val="single"/>
      <sz val="20"/>
      <name val="돋움체"/>
      <family val="3"/>
    </font>
    <font>
      <sz val="20"/>
      <name val="굴림체"/>
      <family val="3"/>
    </font>
    <font>
      <sz val="11"/>
      <name val="돋움"/>
      <family val="3"/>
    </font>
    <font>
      <sz val="11"/>
      <name val="굴림체"/>
      <family val="3"/>
    </font>
    <font>
      <sz val="9"/>
      <name val="굴림체"/>
      <family val="3"/>
    </font>
    <font>
      <sz val="12"/>
      <name val="굴림체"/>
      <family val="3"/>
    </font>
    <font>
      <sz val="9"/>
      <name val="돋움체"/>
      <family val="3"/>
    </font>
    <font>
      <sz val="14"/>
      <name val="뼻뮝"/>
      <family val="3"/>
    </font>
    <font>
      <sz val="11"/>
      <name val="돋움체"/>
      <family val="3"/>
    </font>
    <font>
      <sz val="10"/>
      <name val="굴림체"/>
      <family val="3"/>
    </font>
    <font>
      <sz val="10"/>
      <color indexed="8"/>
      <name val="바탕체"/>
      <family val="1"/>
    </font>
    <font>
      <sz val="20"/>
      <color indexed="8"/>
      <name val="바탕체"/>
      <family val="1"/>
    </font>
    <font>
      <u val="single"/>
      <sz val="10"/>
      <color indexed="8"/>
      <name val="바탕체"/>
      <family val="1"/>
    </font>
    <font>
      <sz val="11"/>
      <name val="바탕체"/>
      <family val="1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¹UAAA¼"/>
      <family val="3"/>
    </font>
    <font>
      <sz val="12"/>
      <name val="¹????¼"/>
      <family val="1"/>
    </font>
    <font>
      <sz val="10"/>
      <name val="Helv"/>
      <family val="2"/>
    </font>
    <font>
      <sz val="12"/>
      <name val="Times New Roman"/>
      <family val="1"/>
    </font>
    <font>
      <sz val="7"/>
      <name val="바탕체"/>
      <family val="1"/>
    </font>
    <font>
      <b/>
      <sz val="1"/>
      <color indexed="8"/>
      <name val="Courier"/>
      <family val="3"/>
    </font>
    <font>
      <sz val="9"/>
      <color indexed="8"/>
      <name val="굴림체"/>
      <family val="3"/>
    </font>
    <font>
      <u val="single"/>
      <sz val="11"/>
      <color indexed="36"/>
      <name val="돋움"/>
      <family val="3"/>
    </font>
    <font>
      <sz val="10"/>
      <name val="돋움체"/>
      <family val="3"/>
    </font>
    <font>
      <sz val="11"/>
      <name val="뼻뮝"/>
      <family val="3"/>
    </font>
    <font>
      <sz val="10"/>
      <name val="바탕"/>
      <family val="1"/>
    </font>
    <font>
      <b/>
      <sz val="10"/>
      <name val="바탕체"/>
      <family val="1"/>
    </font>
    <font>
      <b/>
      <sz val="18"/>
      <name val="바탕체"/>
      <family val="1"/>
    </font>
    <font>
      <b/>
      <sz val="12"/>
      <name val="바탕체"/>
      <family val="1"/>
    </font>
    <font>
      <sz val="8"/>
      <name val="#중고딕"/>
      <family val="3"/>
    </font>
    <font>
      <b/>
      <sz val="12"/>
      <color indexed="16"/>
      <name val="굴림체"/>
      <family val="3"/>
    </font>
    <font>
      <sz val="10"/>
      <name val="명조"/>
      <family val="3"/>
    </font>
    <font>
      <sz val="10"/>
      <name val="궁서(English)"/>
      <family val="3"/>
    </font>
    <font>
      <sz val="12"/>
      <name val="견고딕"/>
      <family val="1"/>
    </font>
    <font>
      <b/>
      <sz val="16"/>
      <name val="돋움체"/>
      <family val="3"/>
    </font>
    <font>
      <sz val="10"/>
      <name val="Arial Narrow"/>
      <family val="2"/>
    </font>
    <font>
      <u val="single"/>
      <sz val="11"/>
      <color indexed="12"/>
      <name val="돋움"/>
      <family val="3"/>
    </font>
    <font>
      <sz val="12"/>
      <name val="¹ÙÅÁÃ¼"/>
      <family val="1"/>
    </font>
    <font>
      <sz val="12"/>
      <name val="System"/>
      <family val="2"/>
    </font>
    <font>
      <sz val="9"/>
      <name val="Arial"/>
      <family val="2"/>
    </font>
    <font>
      <sz val="11"/>
      <name val="￥i￠￢￠?o"/>
      <family val="3"/>
    </font>
    <font>
      <sz val="8"/>
      <name val="¹UAAA¼"/>
      <family val="1"/>
    </font>
    <font>
      <b/>
      <sz val="10"/>
      <name val="Helv"/>
      <family val="2"/>
    </font>
    <font>
      <u val="single"/>
      <sz val="10"/>
      <color indexed="12"/>
      <name val="Arial"/>
      <family val="2"/>
    </font>
    <font>
      <i/>
      <sz val="11"/>
      <name val="돋움"/>
      <family val="3"/>
    </font>
    <font>
      <sz val="10"/>
      <name val="MS Serif"/>
      <family val="1"/>
    </font>
    <font>
      <sz val="11"/>
      <name val="??"/>
      <family val="3"/>
    </font>
    <font>
      <sz val="10"/>
      <color indexed="16"/>
      <name val="MS Serif"/>
      <family val="1"/>
    </font>
    <font>
      <sz val="12"/>
      <color indexed="24"/>
      <name val="Arial"/>
      <family val="2"/>
    </font>
    <font>
      <sz val="8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u val="single"/>
      <sz val="11"/>
      <color indexed="37"/>
      <name val="Arial"/>
      <family val="2"/>
    </font>
    <font>
      <b/>
      <sz val="12"/>
      <name val="Arial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i/>
      <sz val="10"/>
      <name val="MS Sans Serif"/>
      <family val="2"/>
    </font>
    <font>
      <b/>
      <sz val="8"/>
      <name val="Times New Roman"/>
      <family val="1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 val="single"/>
      <sz val="13"/>
      <name val="굴림체"/>
      <family val="3"/>
    </font>
    <font>
      <sz val="8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바탕체"/>
      <family val="1"/>
    </font>
    <font>
      <sz val="16"/>
      <color indexed="9"/>
      <name val="바탕체"/>
      <family val="1"/>
    </font>
    <font>
      <sz val="26"/>
      <name val="바탕체"/>
      <family val="1"/>
    </font>
    <font>
      <sz val="22"/>
      <name val="바탕체"/>
      <family val="1"/>
    </font>
    <font>
      <sz val="16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102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24" fillId="0" borderId="0">
      <alignment/>
      <protection locked="0"/>
    </xf>
    <xf numFmtId="0" fontId="0" fillId="0" borderId="0">
      <alignment/>
      <protection/>
    </xf>
    <xf numFmtId="0" fontId="15" fillId="0" borderId="0">
      <alignment/>
      <protection/>
    </xf>
    <xf numFmtId="0" fontId="25" fillId="0" borderId="1">
      <alignment horizontal="center"/>
      <protection/>
    </xf>
    <xf numFmtId="0" fontId="0" fillId="0" borderId="2">
      <alignment horizontal="centerContinuous" vertical="center"/>
      <protection/>
    </xf>
    <xf numFmtId="3" fontId="6" fillId="0" borderId="0">
      <alignment vertical="center"/>
      <protection/>
    </xf>
    <xf numFmtId="188" fontId="6" fillId="0" borderId="0">
      <alignment vertical="center"/>
      <protection/>
    </xf>
    <xf numFmtId="4" fontId="6" fillId="0" borderId="0">
      <alignment vertical="center"/>
      <protection/>
    </xf>
    <xf numFmtId="180" fontId="6" fillId="0" borderId="0">
      <alignment vertical="center"/>
      <protection/>
    </xf>
    <xf numFmtId="3" fontId="7" fillId="0" borderId="3">
      <alignment/>
      <protection/>
    </xf>
    <xf numFmtId="0" fontId="0" fillId="0" borderId="2">
      <alignment horizontal="centerContinuous" vertical="center"/>
      <protection/>
    </xf>
    <xf numFmtId="0" fontId="0" fillId="0" borderId="2">
      <alignment horizontal="centerContinuous" vertical="center"/>
      <protection/>
    </xf>
    <xf numFmtId="0" fontId="0" fillId="0" borderId="2">
      <alignment horizontal="centerContinuous" vertical="center"/>
      <protection/>
    </xf>
    <xf numFmtId="0" fontId="0" fillId="0" borderId="2">
      <alignment horizontal="centerContinuous" vertical="center"/>
      <protection/>
    </xf>
    <xf numFmtId="0" fontId="0" fillId="0" borderId="2">
      <alignment horizontal="centerContinuous" vertical="center"/>
      <protection/>
    </xf>
    <xf numFmtId="0" fontId="0" fillId="0" borderId="2">
      <alignment horizontal="centerContinuous" vertical="center"/>
      <protection/>
    </xf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4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NumberFormat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92" fontId="12" fillId="0" borderId="0" applyNumberFormat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NumberFormat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92" fontId="12" fillId="0" borderId="0" applyNumberFormat="0" applyFont="0" applyFill="0" applyBorder="0" applyAlignment="0" applyProtection="0"/>
    <xf numFmtId="24" fontId="2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>
      <alignment/>
      <protection/>
    </xf>
    <xf numFmtId="0" fontId="13" fillId="0" borderId="4">
      <alignment vertical="center"/>
      <protection/>
    </xf>
    <xf numFmtId="0" fontId="13" fillId="0" borderId="4">
      <alignment vertical="center"/>
      <protection/>
    </xf>
    <xf numFmtId="0" fontId="12" fillId="0" borderId="4">
      <alignment vertical="center"/>
      <protection/>
    </xf>
    <xf numFmtId="0" fontId="19" fillId="0" borderId="0" applyFont="0" applyFill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" fillId="0" borderId="0">
      <alignment/>
      <protection/>
    </xf>
    <xf numFmtId="187" fontId="24" fillId="0" borderId="0">
      <alignment/>
      <protection locked="0"/>
    </xf>
    <xf numFmtId="193" fontId="12" fillId="0" borderId="0">
      <alignment/>
      <protection locked="0"/>
    </xf>
    <xf numFmtId="0" fontId="19" fillId="0" borderId="0" applyFont="0" applyFill="0" applyBorder="0" applyAlignment="0" applyProtection="0"/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0" fontId="2" fillId="0" borderId="0">
      <alignment/>
      <protection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8" fillId="0" borderId="0">
      <alignment/>
      <protection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0" fontId="19" fillId="0" borderId="0" applyFont="0" applyFill="0" applyBorder="0" applyAlignment="0" applyProtection="0"/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0" fontId="2" fillId="0" borderId="0">
      <alignment/>
      <protection/>
    </xf>
    <xf numFmtId="0" fontId="19" fillId="0" borderId="0" applyFont="0" applyFill="0" applyBorder="0" applyAlignment="0" applyProtection="0"/>
    <xf numFmtId="193" fontId="12" fillId="0" borderId="0">
      <alignment/>
      <protection locked="0"/>
    </xf>
    <xf numFmtId="0" fontId="19" fillId="0" borderId="0" applyFont="0" applyFill="0" applyBorder="0" applyAlignment="0" applyProtection="0"/>
    <xf numFmtId="0" fontId="2" fillId="0" borderId="0">
      <alignment/>
      <protection/>
    </xf>
    <xf numFmtId="0" fontId="19" fillId="0" borderId="0" applyFon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 applyFont="0" applyFill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1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 applyFont="0" applyFill="0" applyBorder="0" applyAlignment="0" applyProtection="0"/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0" fontId="6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" fillId="0" borderId="0">
      <alignment/>
      <protection/>
    </xf>
    <xf numFmtId="0" fontId="19" fillId="0" borderId="0" applyFont="0" applyFill="0" applyBorder="0" applyAlignment="0" applyProtection="0"/>
    <xf numFmtId="0" fontId="6" fillId="0" borderId="0">
      <alignment/>
      <protection/>
    </xf>
    <xf numFmtId="193" fontId="12" fillId="0" borderId="0">
      <alignment/>
      <protection locked="0"/>
    </xf>
    <xf numFmtId="0" fontId="2" fillId="0" borderId="0">
      <alignment/>
      <protection/>
    </xf>
    <xf numFmtId="0" fontId="19" fillId="0" borderId="0" applyFont="0" applyFill="0" applyBorder="0" applyAlignment="0" applyProtection="0"/>
    <xf numFmtId="0" fontId="2" fillId="0" borderId="0">
      <alignment/>
      <protection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7" fontId="24" fillId="0" borderId="0">
      <alignment/>
      <protection locked="0"/>
    </xf>
    <xf numFmtId="193" fontId="12" fillId="0" borderId="0">
      <alignment/>
      <protection locked="0"/>
    </xf>
    <xf numFmtId="0" fontId="24" fillId="0" borderId="0">
      <alignment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9" fillId="0" borderId="0">
      <alignment/>
      <protection/>
    </xf>
    <xf numFmtId="194" fontId="12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9" fontId="0" fillId="0" borderId="0">
      <alignment vertical="center"/>
      <protection/>
    </xf>
    <xf numFmtId="190" fontId="2" fillId="0" borderId="0" applyFont="0" applyFill="0" applyBorder="0" applyAlignment="0" applyProtection="0"/>
    <xf numFmtId="3" fontId="7" fillId="0" borderId="3">
      <alignment/>
      <protection/>
    </xf>
    <xf numFmtId="0" fontId="0" fillId="0" borderId="0">
      <alignment vertical="center"/>
      <protection/>
    </xf>
    <xf numFmtId="3" fontId="7" fillId="0" borderId="3">
      <alignment/>
      <protection/>
    </xf>
    <xf numFmtId="10" fontId="0" fillId="0" borderId="0">
      <alignment vertical="center"/>
      <protection/>
    </xf>
    <xf numFmtId="0" fontId="0" fillId="0" borderId="0">
      <alignment vertical="center"/>
      <protection/>
    </xf>
    <xf numFmtId="195" fontId="12" fillId="0" borderId="0">
      <alignment vertical="center"/>
      <protection/>
    </xf>
    <xf numFmtId="0" fontId="13" fillId="0" borderId="0">
      <alignment horizontal="center" vertical="center"/>
      <protection/>
    </xf>
    <xf numFmtId="0" fontId="25" fillId="0" borderId="5">
      <alignment/>
      <protection/>
    </xf>
    <xf numFmtId="4" fontId="30" fillId="0" borderId="6">
      <alignment vertical="center"/>
      <protection/>
    </xf>
    <xf numFmtId="0" fontId="2" fillId="0" borderId="0" applyNumberFormat="0" applyFill="0" applyBorder="0" applyAlignment="0" applyProtection="0"/>
    <xf numFmtId="0" fontId="6" fillId="0" borderId="0">
      <alignment/>
      <protection/>
    </xf>
    <xf numFmtId="193" fontId="12" fillId="0" borderId="0">
      <alignment/>
      <protection locked="0"/>
    </xf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24" fillId="0" borderId="0">
      <alignment/>
      <protection locked="0"/>
    </xf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9" fontId="6" fillId="0" borderId="0">
      <alignment/>
      <protection locked="0"/>
    </xf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6" fillId="0" borderId="0">
      <alignment/>
      <protection/>
    </xf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26" borderId="7" applyNumberFormat="0" applyAlignment="0" applyProtection="0"/>
    <xf numFmtId="196" fontId="6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97" fontId="12" fillId="0" borderId="0">
      <alignment/>
      <protection/>
    </xf>
    <xf numFmtId="197" fontId="12" fillId="0" borderId="0">
      <alignment/>
      <protection/>
    </xf>
    <xf numFmtId="197" fontId="12" fillId="0" borderId="0">
      <alignment/>
      <protection/>
    </xf>
    <xf numFmtId="197" fontId="12" fillId="0" borderId="0">
      <alignment/>
      <protection/>
    </xf>
    <xf numFmtId="197" fontId="12" fillId="0" borderId="0">
      <alignment/>
      <protection/>
    </xf>
    <xf numFmtId="197" fontId="12" fillId="0" borderId="0">
      <alignment/>
      <protection/>
    </xf>
    <xf numFmtId="197" fontId="12" fillId="0" borderId="0">
      <alignment/>
      <protection/>
    </xf>
    <xf numFmtId="197" fontId="12" fillId="0" borderId="0">
      <alignment/>
      <protection/>
    </xf>
    <xf numFmtId="197" fontId="12" fillId="0" borderId="0">
      <alignment/>
      <protection/>
    </xf>
    <xf numFmtId="197" fontId="12" fillId="0" borderId="0">
      <alignment/>
      <protection/>
    </xf>
    <xf numFmtId="197" fontId="12" fillId="0" borderId="0">
      <alignment/>
      <protection/>
    </xf>
    <xf numFmtId="0" fontId="13" fillId="0" borderId="0">
      <alignment/>
      <protection/>
    </xf>
    <xf numFmtId="0" fontId="12" fillId="0" borderId="3">
      <alignment horizontal="right" vertical="center"/>
      <protection/>
    </xf>
    <xf numFmtId="0" fontId="32" fillId="0" borderId="0" applyFont="0" applyBorder="0" applyAlignment="0">
      <protection/>
    </xf>
    <xf numFmtId="0" fontId="106" fillId="27" borderId="0" applyNumberFormat="0" applyBorder="0" applyAlignment="0" applyProtection="0"/>
    <xf numFmtId="0" fontId="24" fillId="0" borderId="0">
      <alignment/>
      <protection locked="0"/>
    </xf>
    <xf numFmtId="3" fontId="25" fillId="0" borderId="8">
      <alignment horizontal="center"/>
      <protection/>
    </xf>
    <xf numFmtId="0" fontId="6" fillId="28" borderId="0">
      <alignment horizontal="left"/>
      <protection/>
    </xf>
    <xf numFmtId="0" fontId="24" fillId="0" borderId="0">
      <alignment/>
      <protection locked="0"/>
    </xf>
    <xf numFmtId="0" fontId="33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0" fillId="29" borderId="9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34" fillId="0" borderId="3" applyNumberFormat="0" applyFont="0" applyFill="0" applyBorder="0" applyProtection="0">
      <alignment horizontal="distributed"/>
    </xf>
    <xf numFmtId="9" fontId="0" fillId="0" borderId="0" applyFont="0" applyFill="0" applyBorder="0" applyAlignment="0" applyProtection="0"/>
    <xf numFmtId="9" fontId="13" fillId="30" borderId="0" applyFill="0" applyBorder="0" applyProtection="0">
      <alignment horizontal="right"/>
    </xf>
    <xf numFmtId="10" fontId="13" fillId="0" borderId="0" applyFill="0" applyBorder="0" applyProtection="0">
      <alignment horizontal="right"/>
    </xf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07" fillId="31" borderId="0" applyNumberFormat="0" applyBorder="0" applyAlignment="0" applyProtection="0"/>
    <xf numFmtId="0" fontId="35" fillId="0" borderId="0">
      <alignment/>
      <protection/>
    </xf>
    <xf numFmtId="179" fontId="12" fillId="0" borderId="0" applyNumberFormat="0" applyFont="0" applyFill="0" applyBorder="0" applyProtection="0">
      <alignment horizontal="centerContinuous"/>
    </xf>
    <xf numFmtId="179" fontId="36" fillId="0" borderId="10">
      <alignment vertical="center"/>
      <protection/>
    </xf>
    <xf numFmtId="3" fontId="34" fillId="0" borderId="3">
      <alignment/>
      <protection/>
    </xf>
    <xf numFmtId="0" fontId="34" fillId="0" borderId="3">
      <alignment/>
      <protection/>
    </xf>
    <xf numFmtId="3" fontId="34" fillId="0" borderId="11">
      <alignment/>
      <protection/>
    </xf>
    <xf numFmtId="3" fontId="34" fillId="0" borderId="12">
      <alignment/>
      <protection/>
    </xf>
    <xf numFmtId="0" fontId="37" fillId="0" borderId="3">
      <alignment/>
      <protection/>
    </xf>
    <xf numFmtId="0" fontId="38" fillId="0" borderId="0">
      <alignment horizontal="center"/>
      <protection/>
    </xf>
    <xf numFmtId="0" fontId="39" fillId="0" borderId="13">
      <alignment horizontal="center"/>
      <protection/>
    </xf>
    <xf numFmtId="0" fontId="108" fillId="0" borderId="0" applyNumberFormat="0" applyFill="0" applyBorder="0" applyAlignment="0" applyProtection="0"/>
    <xf numFmtId="0" fontId="109" fillId="32" borderId="14" applyNumberFormat="0" applyAlignment="0" applyProtection="0"/>
    <xf numFmtId="4" fontId="40" fillId="0" borderId="0" applyNumberFormat="0" applyFill="0" applyBorder="0" applyAlignment="0">
      <protection/>
    </xf>
    <xf numFmtId="198" fontId="4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15">
      <alignment/>
      <protection/>
    </xf>
    <xf numFmtId="0" fontId="110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111" fillId="0" borderId="17" applyNumberFormat="0" applyFill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1" fontId="43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1" fontId="43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44" fillId="0" borderId="0">
      <alignment horizontal="center" vertical="center"/>
      <protection/>
    </xf>
    <xf numFmtId="0" fontId="19" fillId="0" borderId="0" applyNumberFormat="0" applyAlignment="0">
      <protection/>
    </xf>
    <xf numFmtId="0" fontId="112" fillId="33" borderId="7" applyNumberFormat="0" applyAlignment="0" applyProtection="0"/>
    <xf numFmtId="4" fontId="24" fillId="0" borderId="0">
      <alignment/>
      <protection locked="0"/>
    </xf>
    <xf numFmtId="202" fontId="6" fillId="0" borderId="0">
      <alignment/>
      <protection locked="0"/>
    </xf>
    <xf numFmtId="0" fontId="6" fillId="0" borderId="18" applyNumberFormat="0">
      <alignment/>
      <protection/>
    </xf>
    <xf numFmtId="0" fontId="113" fillId="0" borderId="0" applyNumberFormat="0" applyFill="0" applyBorder="0" applyAlignment="0" applyProtection="0"/>
    <xf numFmtId="0" fontId="114" fillId="0" borderId="19" applyNumberFormat="0" applyFill="0" applyAlignment="0" applyProtection="0"/>
    <xf numFmtId="0" fontId="115" fillId="0" borderId="20" applyNumberFormat="0" applyFill="0" applyAlignment="0" applyProtection="0"/>
    <xf numFmtId="0" fontId="116" fillId="0" borderId="21" applyNumberFormat="0" applyFill="0" applyAlignment="0" applyProtection="0"/>
    <xf numFmtId="0" fontId="116" fillId="0" borderId="0" applyNumberFormat="0" applyFill="0" applyBorder="0" applyAlignment="0" applyProtection="0"/>
    <xf numFmtId="0" fontId="6" fillId="0" borderId="3">
      <alignment horizontal="distributed" vertical="center"/>
      <protection/>
    </xf>
    <xf numFmtId="0" fontId="6" fillId="0" borderId="22">
      <alignment horizontal="distributed" vertical="top"/>
      <protection/>
    </xf>
    <xf numFmtId="0" fontId="6" fillId="0" borderId="23">
      <alignment horizontal="distributed"/>
      <protection/>
    </xf>
    <xf numFmtId="178" fontId="45" fillId="0" borderId="0">
      <alignment vertical="center"/>
      <protection/>
    </xf>
    <xf numFmtId="0" fontId="117" fillId="34" borderId="0" applyNumberFormat="0" applyBorder="0" applyAlignment="0" applyProtection="0"/>
    <xf numFmtId="0" fontId="6" fillId="0" borderId="0">
      <alignment/>
      <protection/>
    </xf>
    <xf numFmtId="0" fontId="118" fillId="26" borderId="24" applyNumberFormat="0" applyAlignment="0" applyProtection="0"/>
    <xf numFmtId="197" fontId="12" fillId="0" borderId="0" applyFont="0" applyFill="0" applyBorder="0" applyProtection="0">
      <alignment vertical="center"/>
    </xf>
    <xf numFmtId="38" fontId="34" fillId="0" borderId="0" applyFont="0" applyFill="0" applyBorder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6" fillId="0" borderId="0" applyNumberFormat="0" applyFont="0" applyFill="0" applyBorder="0" applyProtection="0">
      <alignment vertical="center"/>
    </xf>
    <xf numFmtId="186" fontId="13" fillId="30" borderId="0" applyFill="0" applyBorder="0" applyProtection="0">
      <alignment horizontal="right"/>
    </xf>
    <xf numFmtId="38" fontId="34" fillId="0" borderId="0" applyFont="0" applyFill="0" applyBorder="0" applyAlignment="0" applyProtection="0"/>
    <xf numFmtId="18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6" fillId="0" borderId="0">
      <alignment/>
      <protection locked="0"/>
    </xf>
    <xf numFmtId="0" fontId="2" fillId="0" borderId="0">
      <alignment/>
      <protection/>
    </xf>
    <xf numFmtId="0" fontId="12" fillId="0" borderId="0">
      <alignment vertical="center"/>
      <protection/>
    </xf>
    <xf numFmtId="0" fontId="6" fillId="0" borderId="0">
      <alignment/>
      <protection/>
    </xf>
    <xf numFmtId="0" fontId="23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6" fillId="0" borderId="10">
      <alignment vertical="center" wrapText="1"/>
      <protection/>
    </xf>
    <xf numFmtId="14" fontId="4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25">
      <alignment/>
      <protection locked="0"/>
    </xf>
    <xf numFmtId="209" fontId="6" fillId="0" borderId="0">
      <alignment/>
      <protection locked="0"/>
    </xf>
    <xf numFmtId="210" fontId="6" fillId="0" borderId="0">
      <alignment/>
      <protection locked="0"/>
    </xf>
    <xf numFmtId="3" fontId="0" fillId="0" borderId="0">
      <alignment/>
      <protection/>
    </xf>
    <xf numFmtId="211" fontId="15" fillId="35" borderId="26">
      <alignment horizontal="center" vertical="center"/>
      <protection/>
    </xf>
    <xf numFmtId="193" fontId="12" fillId="0" borderId="0">
      <alignment/>
      <protection locked="0"/>
    </xf>
    <xf numFmtId="0" fontId="12" fillId="0" borderId="0">
      <alignment/>
      <protection locked="0"/>
    </xf>
    <xf numFmtId="193" fontId="12" fillId="0" borderId="0">
      <alignment/>
      <protection locked="0"/>
    </xf>
    <xf numFmtId="0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>
      <alignment/>
      <protection locked="0"/>
    </xf>
    <xf numFmtId="0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8" fillId="0" borderId="0" applyFont="0" applyFill="0" applyBorder="0" applyAlignment="0" applyProtection="0"/>
    <xf numFmtId="212" fontId="12" fillId="0" borderId="0">
      <alignment/>
      <protection locked="0"/>
    </xf>
    <xf numFmtId="0" fontId="25" fillId="0" borderId="0">
      <alignment/>
      <protection/>
    </xf>
    <xf numFmtId="193" fontId="12" fillId="0" borderId="0">
      <alignment/>
      <protection locked="0"/>
    </xf>
    <xf numFmtId="193" fontId="12" fillId="0" borderId="0">
      <alignment/>
      <protection locked="0"/>
    </xf>
    <xf numFmtId="0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8" fillId="0" borderId="0" applyFont="0" applyFill="0" applyBorder="0" applyAlignment="0" applyProtection="0"/>
    <xf numFmtId="4" fontId="24" fillId="0" borderId="0">
      <alignment/>
      <protection locked="0"/>
    </xf>
    <xf numFmtId="186" fontId="12" fillId="0" borderId="0">
      <alignment/>
      <protection locked="0"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93" fontId="12" fillId="0" borderId="0">
      <alignment/>
      <protection locked="0"/>
    </xf>
    <xf numFmtId="0" fontId="52" fillId="0" borderId="0">
      <alignment/>
      <protection/>
    </xf>
    <xf numFmtId="0" fontId="48" fillId="0" borderId="0">
      <alignment/>
      <protection/>
    </xf>
    <xf numFmtId="0" fontId="26" fillId="0" borderId="0">
      <alignment/>
      <protection/>
    </xf>
    <xf numFmtId="0" fontId="48" fillId="0" borderId="0">
      <alignment/>
      <protection/>
    </xf>
    <xf numFmtId="0" fontId="26" fillId="0" borderId="0">
      <alignment/>
      <protection/>
    </xf>
    <xf numFmtId="0" fontId="12" fillId="0" borderId="0" applyFill="0" applyBorder="0" applyAlignment="0"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24" fillId="0" borderId="25">
      <alignment/>
      <protection locked="0"/>
    </xf>
    <xf numFmtId="4" fontId="24" fillId="0" borderId="0">
      <alignment/>
      <protection locked="0"/>
    </xf>
    <xf numFmtId="0" fontId="2" fillId="0" borderId="0" applyFont="0" applyFill="0" applyBorder="0" applyAlignment="0" applyProtection="0"/>
    <xf numFmtId="213" fontId="23" fillId="0" borderId="0">
      <alignment/>
      <protection/>
    </xf>
    <xf numFmtId="0" fontId="2" fillId="0" borderId="0" applyFont="0" applyFill="0" applyBorder="0" applyAlignment="0" applyProtection="0"/>
    <xf numFmtId="214" fontId="24" fillId="0" borderId="0">
      <alignment/>
      <protection locked="0"/>
    </xf>
    <xf numFmtId="0" fontId="56" fillId="0" borderId="0" applyNumberFormat="0" applyAlignment="0">
      <protection/>
    </xf>
    <xf numFmtId="0" fontId="19" fillId="0" borderId="0" applyFont="0" applyFill="0" applyBorder="0" applyAlignment="0" applyProtection="0"/>
    <xf numFmtId="0" fontId="6" fillId="0" borderId="0">
      <alignment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4" fillId="0" borderId="0">
      <alignment/>
      <protection locked="0"/>
    </xf>
    <xf numFmtId="216" fontId="23" fillId="0" borderId="0">
      <alignment/>
      <protection/>
    </xf>
    <xf numFmtId="217" fontId="57" fillId="0" borderId="0">
      <alignment/>
      <protection locked="0"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218" fontId="23" fillId="0" borderId="0">
      <alignment/>
      <protection/>
    </xf>
    <xf numFmtId="219" fontId="12" fillId="0" borderId="0">
      <alignment/>
      <protection locked="0"/>
    </xf>
    <xf numFmtId="220" fontId="12" fillId="0" borderId="0">
      <alignment/>
      <protection locked="0"/>
    </xf>
    <xf numFmtId="0" fontId="58" fillId="0" borderId="0" applyNumberFormat="0" applyAlignment="0">
      <protection/>
    </xf>
    <xf numFmtId="221" fontId="13" fillId="0" borderId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222" fontId="2" fillId="0" borderId="0">
      <alignment/>
      <protection locked="0"/>
    </xf>
    <xf numFmtId="0" fontId="6" fillId="0" borderId="0">
      <alignment/>
      <protection/>
    </xf>
    <xf numFmtId="38" fontId="60" fillId="36" borderId="0" applyNumberFormat="0" applyBorder="0" applyAlignment="0" applyProtection="0"/>
    <xf numFmtId="0" fontId="61" fillId="0" borderId="0" applyAlignment="0">
      <protection/>
    </xf>
    <xf numFmtId="0" fontId="62" fillId="0" borderId="0">
      <alignment/>
      <protection/>
    </xf>
    <xf numFmtId="0" fontId="63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27" applyNumberFormat="0" applyAlignment="0" applyProtection="0"/>
    <xf numFmtId="0" fontId="65" fillId="0" borderId="28">
      <alignment horizontal="left" vertical="center"/>
      <protection/>
    </xf>
    <xf numFmtId="0" fontId="31" fillId="0" borderId="0">
      <alignment/>
      <protection locked="0"/>
    </xf>
    <xf numFmtId="0" fontId="31" fillId="0" borderId="0">
      <alignment/>
      <protection locked="0"/>
    </xf>
    <xf numFmtId="223" fontId="15" fillId="0" borderId="0">
      <alignment/>
      <protection locked="0"/>
    </xf>
    <xf numFmtId="223" fontId="15" fillId="0" borderId="0">
      <alignment/>
      <protection locked="0"/>
    </xf>
    <xf numFmtId="0" fontId="66" fillId="0" borderId="0" applyNumberFormat="0" applyFill="0" applyBorder="0" applyAlignment="0" applyProtection="0"/>
    <xf numFmtId="0" fontId="67" fillId="0" borderId="29" applyNumberFormat="0" applyFill="0" applyAlignment="0" applyProtection="0"/>
    <xf numFmtId="0" fontId="68" fillId="0" borderId="0" applyNumberFormat="0" applyFill="0" applyBorder="0" applyAlignment="0" applyProtection="0"/>
    <xf numFmtId="10" fontId="60" fillId="37" borderId="3" applyNumberFormat="0" applyBorder="0" applyAlignment="0" applyProtection="0"/>
    <xf numFmtId="178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69" fillId="0" borderId="3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7" fontId="70" fillId="0" borderId="0">
      <alignment/>
      <protection/>
    </xf>
    <xf numFmtId="0" fontId="6" fillId="0" borderId="0">
      <alignment/>
      <protection/>
    </xf>
    <xf numFmtId="224" fontId="15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 locked="0"/>
    </xf>
    <xf numFmtId="10" fontId="2" fillId="0" borderId="0" applyFont="0" applyFill="0" applyBorder="0" applyAlignment="0" applyProtection="0"/>
    <xf numFmtId="225" fontId="6" fillId="0" borderId="0">
      <alignment/>
      <protection locked="0"/>
    </xf>
    <xf numFmtId="30" fontId="72" fillId="0" borderId="0" applyNumberFormat="0" applyFill="0" applyBorder="0" applyAlignment="0" applyProtection="0"/>
    <xf numFmtId="0" fontId="25" fillId="0" borderId="0">
      <alignment/>
      <protection/>
    </xf>
    <xf numFmtId="0" fontId="74" fillId="0" borderId="0">
      <alignment horizontal="center" vertical="center"/>
      <protection/>
    </xf>
    <xf numFmtId="0" fontId="69" fillId="0" borderId="0">
      <alignment/>
      <protection/>
    </xf>
    <xf numFmtId="40" fontId="75" fillId="0" borderId="0" applyBorder="0">
      <alignment horizontal="right"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36" borderId="0">
      <alignment horizontal="centerContinuous"/>
      <protection/>
    </xf>
    <xf numFmtId="0" fontId="77" fillId="0" borderId="0" applyFill="0" applyBorder="0" applyProtection="0">
      <alignment horizontal="centerContinuous" vertical="center"/>
    </xf>
    <xf numFmtId="0" fontId="15" fillId="30" borderId="0" applyFill="0" applyBorder="0" applyProtection="0">
      <alignment horizontal="center" vertical="center"/>
    </xf>
    <xf numFmtId="223" fontId="15" fillId="0" borderId="31">
      <alignment/>
      <protection locked="0"/>
    </xf>
    <xf numFmtId="0" fontId="3" fillId="0" borderId="32">
      <alignment horizontal="left"/>
      <protection/>
    </xf>
    <xf numFmtId="37" fontId="60" fillId="38" borderId="0" applyNumberFormat="0" applyBorder="0" applyAlignment="0" applyProtection="0"/>
    <xf numFmtId="37" fontId="60" fillId="0" borderId="0">
      <alignment/>
      <protection/>
    </xf>
    <xf numFmtId="3" fontId="78" fillId="0" borderId="29" applyProtection="0">
      <alignment/>
    </xf>
    <xf numFmtId="226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0" fontId="79" fillId="0" borderId="0" applyNumberFormat="0" applyFill="0" applyBorder="0" applyAlignment="0" applyProtection="0"/>
  </cellStyleXfs>
  <cellXfs count="701">
    <xf numFmtId="0" fontId="0" fillId="0" borderId="0" xfId="0" applyAlignment="1">
      <alignment vertical="center"/>
    </xf>
    <xf numFmtId="0" fontId="0" fillId="30" borderId="33" xfId="862" applyNumberFormat="1" applyFont="1" applyFill="1" applyBorder="1" applyAlignment="1">
      <alignment horizontal="center" vertical="center"/>
    </xf>
    <xf numFmtId="0" fontId="0" fillId="30" borderId="34" xfId="0" applyNumberFormat="1" applyFont="1" applyFill="1" applyBorder="1" applyAlignment="1">
      <alignment horizontal="center" vertical="center"/>
    </xf>
    <xf numFmtId="0" fontId="0" fillId="30" borderId="5" xfId="0" applyNumberFormat="1" applyFont="1" applyFill="1" applyBorder="1" applyAlignment="1">
      <alignment horizontal="center" vertical="center"/>
    </xf>
    <xf numFmtId="0" fontId="0" fillId="30" borderId="35" xfId="0" applyNumberFormat="1" applyFont="1" applyFill="1" applyBorder="1" applyAlignment="1">
      <alignment horizontal="center" vertical="center"/>
    </xf>
    <xf numFmtId="0" fontId="0" fillId="30" borderId="36" xfId="0" applyNumberFormat="1" applyFont="1" applyFill="1" applyBorder="1" applyAlignment="1">
      <alignment horizontal="center" vertical="center"/>
    </xf>
    <xf numFmtId="0" fontId="0" fillId="30" borderId="28" xfId="500" applyNumberFormat="1" applyFont="1" applyFill="1" applyBorder="1" applyAlignment="1">
      <alignment horizontal="center" vertical="center"/>
    </xf>
    <xf numFmtId="0" fontId="0" fillId="30" borderId="37" xfId="0" applyNumberFormat="1" applyFont="1" applyFill="1" applyBorder="1" applyAlignment="1">
      <alignment horizontal="center" vertical="center" wrapText="1"/>
    </xf>
    <xf numFmtId="0" fontId="0" fillId="30" borderId="38" xfId="0" applyNumberFormat="1" applyFont="1" applyFill="1" applyBorder="1" applyAlignment="1">
      <alignment horizontal="center" vertical="center"/>
    </xf>
    <xf numFmtId="0" fontId="0" fillId="30" borderId="23" xfId="0" applyNumberFormat="1" applyFont="1" applyFill="1" applyBorder="1" applyAlignment="1">
      <alignment horizontal="center" vertical="center"/>
    </xf>
    <xf numFmtId="0" fontId="0" fillId="30" borderId="0" xfId="0" applyNumberFormat="1" applyFont="1" applyFill="1" applyBorder="1" applyAlignment="1">
      <alignment horizontal="center" vertical="center"/>
    </xf>
    <xf numFmtId="0" fontId="0" fillId="30" borderId="37" xfId="0" applyNumberFormat="1" applyFont="1" applyFill="1" applyBorder="1" applyAlignment="1">
      <alignment horizontal="center" vertical="center"/>
    </xf>
    <xf numFmtId="0" fontId="0" fillId="30" borderId="33" xfId="500" applyNumberFormat="1" applyFont="1" applyFill="1" applyBorder="1" applyAlignment="1">
      <alignment horizontal="center" vertical="center"/>
    </xf>
    <xf numFmtId="0" fontId="0" fillId="30" borderId="2" xfId="500" applyNumberFormat="1" applyFont="1" applyFill="1" applyBorder="1" applyAlignment="1">
      <alignment horizontal="center" vertical="center"/>
    </xf>
    <xf numFmtId="0" fontId="0" fillId="30" borderId="5" xfId="500" applyNumberFormat="1" applyFont="1" applyFill="1" applyBorder="1" applyAlignment="1">
      <alignment horizontal="center" vertical="center"/>
    </xf>
    <xf numFmtId="0" fontId="0" fillId="30" borderId="36" xfId="500" applyNumberFormat="1" applyFont="1" applyFill="1" applyBorder="1" applyAlignment="1">
      <alignment horizontal="center" vertical="center"/>
    </xf>
    <xf numFmtId="0" fontId="0" fillId="30" borderId="34" xfId="500" applyNumberFormat="1" applyFont="1" applyFill="1" applyBorder="1" applyAlignment="1">
      <alignment horizontal="center" vertical="center"/>
    </xf>
    <xf numFmtId="0" fontId="0" fillId="30" borderId="35" xfId="500" applyNumberFormat="1" applyFont="1" applyFill="1" applyBorder="1" applyAlignment="1">
      <alignment horizontal="center" vertical="center"/>
    </xf>
    <xf numFmtId="0" fontId="0" fillId="30" borderId="34" xfId="0" applyNumberFormat="1" applyFont="1" applyFill="1" applyBorder="1" applyAlignment="1">
      <alignment horizontal="center" vertical="center" wrapText="1"/>
    </xf>
    <xf numFmtId="0" fontId="0" fillId="30" borderId="5" xfId="0" applyNumberFormat="1" applyFont="1" applyFill="1" applyBorder="1" applyAlignment="1">
      <alignment horizontal="center" vertical="center" wrapText="1"/>
    </xf>
    <xf numFmtId="0" fontId="0" fillId="30" borderId="39" xfId="0" applyNumberFormat="1" applyFont="1" applyFill="1" applyBorder="1" applyAlignment="1">
      <alignment horizontal="center" vertical="center" wrapText="1"/>
    </xf>
    <xf numFmtId="0" fontId="0" fillId="30" borderId="4" xfId="0" applyNumberFormat="1" applyFont="1" applyFill="1" applyBorder="1" applyAlignment="1">
      <alignment horizontal="center" vertical="center" wrapText="1"/>
    </xf>
    <xf numFmtId="0" fontId="0" fillId="30" borderId="33" xfId="0" applyNumberFormat="1" applyFont="1" applyFill="1" applyBorder="1" applyAlignment="1">
      <alignment horizontal="center" vertical="center"/>
    </xf>
    <xf numFmtId="0" fontId="0" fillId="30" borderId="28" xfId="0" applyNumberFormat="1" applyFont="1" applyFill="1" applyBorder="1" applyAlignment="1">
      <alignment horizontal="center" vertical="center"/>
    </xf>
    <xf numFmtId="0" fontId="0" fillId="30" borderId="2" xfId="0" applyNumberFormat="1" applyFont="1" applyFill="1" applyBorder="1" applyAlignment="1">
      <alignment horizontal="center" vertical="center"/>
    </xf>
    <xf numFmtId="0" fontId="0" fillId="30" borderId="28" xfId="0" applyNumberFormat="1" applyFont="1" applyFill="1" applyBorder="1" applyAlignment="1">
      <alignment horizontal="distributed" vertical="center"/>
    </xf>
    <xf numFmtId="0" fontId="0" fillId="30" borderId="22" xfId="0" applyNumberFormat="1" applyFont="1" applyFill="1" applyBorder="1" applyAlignment="1">
      <alignment horizontal="center" vertical="center"/>
    </xf>
    <xf numFmtId="0" fontId="0" fillId="30" borderId="23" xfId="0" applyNumberFormat="1" applyFont="1" applyFill="1" applyBorder="1" applyAlignment="1">
      <alignment horizontal="center" vertical="center" wrapText="1"/>
    </xf>
    <xf numFmtId="0" fontId="1" fillId="30" borderId="0" xfId="500" applyNumberFormat="1" applyFont="1" applyFill="1" applyBorder="1" applyAlignment="1" quotePrefix="1">
      <alignment horizontal="centerContinuous" vertical="center"/>
    </xf>
    <xf numFmtId="0" fontId="1" fillId="30" borderId="0" xfId="500" applyNumberFormat="1" applyFont="1" applyFill="1" applyAlignment="1" quotePrefix="1">
      <alignment horizontal="centerContinuous" vertical="center"/>
    </xf>
    <xf numFmtId="0" fontId="0" fillId="30" borderId="0" xfId="500" applyNumberFormat="1" applyFont="1" applyFill="1" applyBorder="1" applyAlignment="1" quotePrefix="1">
      <alignment horizontal="centerContinuous" vertical="center"/>
    </xf>
    <xf numFmtId="0" fontId="0" fillId="30" borderId="0" xfId="500" applyNumberFormat="1" applyFont="1" applyFill="1" applyAlignment="1" quotePrefix="1">
      <alignment horizontal="centerContinuous" vertical="center"/>
    </xf>
    <xf numFmtId="0" fontId="0" fillId="30" borderId="0" xfId="500" applyNumberFormat="1" applyFont="1" applyFill="1" applyAlignment="1">
      <alignment horizontal="center" vertical="center"/>
    </xf>
    <xf numFmtId="0" fontId="0" fillId="30" borderId="0" xfId="500" applyNumberFormat="1" applyFont="1" applyFill="1" applyBorder="1" applyAlignment="1">
      <alignment horizontal="center" vertical="center"/>
    </xf>
    <xf numFmtId="0" fontId="0" fillId="30" borderId="38" xfId="500" applyNumberFormat="1" applyFont="1" applyFill="1" applyBorder="1" applyAlignment="1">
      <alignment horizontal="center" vertical="center"/>
    </xf>
    <xf numFmtId="0" fontId="0" fillId="30" borderId="22" xfId="500" applyNumberFormat="1" applyFont="1" applyFill="1" applyBorder="1" applyAlignment="1">
      <alignment horizontal="center" vertical="center"/>
    </xf>
    <xf numFmtId="0" fontId="0" fillId="30" borderId="28" xfId="500" applyNumberFormat="1" applyFont="1" applyFill="1" applyBorder="1" applyAlignment="1">
      <alignment horizontal="distributed" vertical="center"/>
    </xf>
    <xf numFmtId="0" fontId="0" fillId="30" borderId="2" xfId="0" applyNumberFormat="1" applyFont="1" applyFill="1" applyBorder="1" applyAlignment="1">
      <alignment horizontal="center" vertical="center" wrapText="1"/>
    </xf>
    <xf numFmtId="0" fontId="0" fillId="30" borderId="28" xfId="0" applyNumberFormat="1" applyFont="1" applyFill="1" applyBorder="1" applyAlignment="1">
      <alignment horizontal="center" vertical="center" wrapText="1"/>
    </xf>
    <xf numFmtId="0" fontId="0" fillId="30" borderId="33" xfId="0" applyNumberFormat="1" applyFont="1" applyFill="1" applyBorder="1" applyAlignment="1">
      <alignment horizontal="center" vertical="center" wrapText="1"/>
    </xf>
    <xf numFmtId="0" fontId="0" fillId="30" borderId="37" xfId="500" applyNumberFormat="1" applyFont="1" applyFill="1" applyBorder="1" applyAlignment="1">
      <alignment horizontal="distributed" vertical="center"/>
    </xf>
    <xf numFmtId="0" fontId="0" fillId="30" borderId="0" xfId="500" applyNumberFormat="1" applyFont="1" applyFill="1" applyBorder="1" applyAlignment="1">
      <alignment horizontal="distributed" vertical="center"/>
    </xf>
    <xf numFmtId="0" fontId="0" fillId="30" borderId="39" xfId="500" applyNumberFormat="1" applyFont="1" applyFill="1" applyBorder="1" applyAlignment="1">
      <alignment horizontal="center" vertical="center"/>
    </xf>
    <xf numFmtId="0" fontId="20" fillId="30" borderId="39" xfId="882" applyNumberFormat="1" applyFont="1" applyFill="1" applyBorder="1" applyAlignment="1">
      <alignment vertical="center"/>
      <protection/>
    </xf>
    <xf numFmtId="0" fontId="20" fillId="0" borderId="0" xfId="884" applyNumberFormat="1" applyFont="1" applyAlignment="1">
      <alignment horizontal="left" vertical="center"/>
      <protection/>
    </xf>
    <xf numFmtId="0" fontId="20" fillId="30" borderId="0" xfId="882" applyNumberFormat="1" applyFont="1" applyFill="1" applyAlignment="1">
      <alignment vertical="center"/>
      <protection/>
    </xf>
    <xf numFmtId="0" fontId="21" fillId="0" borderId="0" xfId="884" applyNumberFormat="1" applyFont="1" applyAlignment="1">
      <alignment horizontal="centerContinuous" vertical="center"/>
      <protection/>
    </xf>
    <xf numFmtId="0" fontId="21" fillId="30" borderId="0" xfId="882" applyNumberFormat="1" applyFont="1" applyFill="1" applyAlignment="1">
      <alignment horizontal="centerContinuous" vertical="center"/>
      <protection/>
    </xf>
    <xf numFmtId="0" fontId="21" fillId="30" borderId="0" xfId="882" applyNumberFormat="1" applyFont="1" applyFill="1" applyAlignment="1">
      <alignment vertical="center"/>
      <protection/>
    </xf>
    <xf numFmtId="0" fontId="20" fillId="30" borderId="2" xfId="882" applyNumberFormat="1" applyFont="1" applyFill="1" applyBorder="1" applyAlignment="1">
      <alignment vertical="center"/>
      <protection/>
    </xf>
    <xf numFmtId="0" fontId="20" fillId="30" borderId="28" xfId="882" applyNumberFormat="1" applyFont="1" applyFill="1" applyBorder="1" applyAlignment="1">
      <alignment horizontal="center" vertical="center"/>
      <protection/>
    </xf>
    <xf numFmtId="0" fontId="20" fillId="30" borderId="28" xfId="882" applyNumberFormat="1" applyFont="1" applyFill="1" applyBorder="1" applyAlignment="1">
      <alignment vertical="center"/>
      <protection/>
    </xf>
    <xf numFmtId="0" fontId="20" fillId="30" borderId="3" xfId="882" applyNumberFormat="1" applyFont="1" applyFill="1" applyBorder="1" applyAlignment="1">
      <alignment horizontal="center" vertical="center" wrapText="1"/>
      <protection/>
    </xf>
    <xf numFmtId="0" fontId="20" fillId="30" borderId="3" xfId="882" applyNumberFormat="1" applyFont="1" applyFill="1" applyBorder="1" applyAlignment="1">
      <alignment horizontal="center" vertical="center"/>
      <protection/>
    </xf>
    <xf numFmtId="0" fontId="20" fillId="30" borderId="36" xfId="882" applyNumberFormat="1" applyFont="1" applyFill="1" applyBorder="1" applyAlignment="1">
      <alignment vertical="center"/>
      <protection/>
    </xf>
    <xf numFmtId="0" fontId="20" fillId="30" borderId="37" xfId="882" applyNumberFormat="1" applyFont="1" applyFill="1" applyBorder="1" applyAlignment="1">
      <alignment vertical="center"/>
      <protection/>
    </xf>
    <xf numFmtId="0" fontId="20" fillId="30" borderId="35" xfId="882" applyNumberFormat="1" applyFont="1" applyFill="1" applyBorder="1" applyAlignment="1">
      <alignment vertical="center"/>
      <protection/>
    </xf>
    <xf numFmtId="0" fontId="20" fillId="30" borderId="4" xfId="882" applyNumberFormat="1" applyFont="1" applyFill="1" applyBorder="1" applyAlignment="1">
      <alignment vertical="center"/>
      <protection/>
    </xf>
    <xf numFmtId="0" fontId="20" fillId="30" borderId="0" xfId="882" applyNumberFormat="1" applyFont="1" applyFill="1" applyBorder="1" applyAlignment="1">
      <alignment horizontal="distributed" vertical="center"/>
      <protection/>
    </xf>
    <xf numFmtId="0" fontId="20" fillId="30" borderId="39" xfId="882" applyNumberFormat="1" applyFont="1" applyFill="1" applyBorder="1" applyAlignment="1">
      <alignment horizontal="center" vertical="center"/>
      <protection/>
    </xf>
    <xf numFmtId="0" fontId="20" fillId="30" borderId="5" xfId="882" applyNumberFormat="1" applyFont="1" applyFill="1" applyBorder="1" applyAlignment="1">
      <alignment vertical="center"/>
      <protection/>
    </xf>
    <xf numFmtId="0" fontId="20" fillId="30" borderId="40" xfId="882" applyNumberFormat="1" applyFont="1" applyFill="1" applyBorder="1" applyAlignment="1">
      <alignment horizontal="distributed" vertical="center"/>
      <protection/>
    </xf>
    <xf numFmtId="0" fontId="20" fillId="30" borderId="34" xfId="882" applyNumberFormat="1" applyFont="1" applyFill="1" applyBorder="1" applyAlignment="1">
      <alignment vertical="center"/>
      <protection/>
    </xf>
    <xf numFmtId="0" fontId="20" fillId="30" borderId="34" xfId="882" applyNumberFormat="1" applyFont="1" applyFill="1" applyBorder="1" applyAlignment="1">
      <alignment horizontal="center" vertical="center"/>
      <protection/>
    </xf>
    <xf numFmtId="0" fontId="21" fillId="30" borderId="0" xfId="882" applyNumberFormat="1" applyFont="1" applyFill="1" applyAlignment="1">
      <alignment horizontal="center" vertical="center"/>
      <protection/>
    </xf>
    <xf numFmtId="0" fontId="20" fillId="30" borderId="0" xfId="882" applyFont="1" applyFill="1" applyBorder="1" applyAlignment="1">
      <alignment vertical="center"/>
      <protection/>
    </xf>
    <xf numFmtId="179" fontId="20" fillId="30" borderId="39" xfId="882" applyNumberFormat="1" applyFont="1" applyFill="1" applyBorder="1" applyAlignment="1">
      <alignment horizontal="center" vertical="center"/>
      <protection/>
    </xf>
    <xf numFmtId="0" fontId="0" fillId="0" borderId="0" xfId="884" applyNumberFormat="1" applyFont="1" applyAlignment="1">
      <alignment horizontal="left" vertical="center"/>
      <protection/>
    </xf>
    <xf numFmtId="0" fontId="1" fillId="0" borderId="0" xfId="884" applyNumberFormat="1" applyFont="1" applyAlignment="1">
      <alignment horizontal="centerContinuous" vertical="center"/>
      <protection/>
    </xf>
    <xf numFmtId="0" fontId="1" fillId="0" borderId="0" xfId="884" applyNumberFormat="1" applyFont="1" applyAlignment="1">
      <alignment vertical="center"/>
      <protection/>
    </xf>
    <xf numFmtId="0" fontId="0" fillId="0" borderId="36" xfId="884" applyNumberFormat="1" applyFont="1" applyBorder="1" applyAlignment="1">
      <alignment vertical="center"/>
      <protection/>
    </xf>
    <xf numFmtId="0" fontId="0" fillId="0" borderId="37" xfId="884" applyNumberFormat="1" applyFont="1" applyBorder="1" applyAlignment="1">
      <alignment horizontal="center" vertical="center"/>
      <protection/>
    </xf>
    <xf numFmtId="0" fontId="0" fillId="0" borderId="35" xfId="884" applyNumberFormat="1" applyFont="1" applyBorder="1" applyAlignment="1">
      <alignment horizontal="center" vertical="center"/>
      <protection/>
    </xf>
    <xf numFmtId="0" fontId="0" fillId="0" borderId="23" xfId="884" applyNumberFormat="1" applyFont="1" applyBorder="1" applyAlignment="1">
      <alignment horizontal="centerContinuous" vertical="center"/>
      <protection/>
    </xf>
    <xf numFmtId="0" fontId="0" fillId="0" borderId="0" xfId="884" applyNumberFormat="1" applyFont="1" applyBorder="1" applyAlignment="1">
      <alignment vertical="center"/>
      <protection/>
    </xf>
    <xf numFmtId="0" fontId="0" fillId="0" borderId="5" xfId="884" applyNumberFormat="1" applyFont="1" applyBorder="1" applyAlignment="1">
      <alignment vertical="center"/>
      <protection/>
    </xf>
    <xf numFmtId="0" fontId="0" fillId="0" borderId="40" xfId="884" applyNumberFormat="1" applyFont="1" applyBorder="1" applyAlignment="1">
      <alignment horizontal="center" vertical="center"/>
      <protection/>
    </xf>
    <xf numFmtId="0" fontId="0" fillId="0" borderId="34" xfId="884" applyNumberFormat="1" applyFont="1" applyBorder="1" applyAlignment="1">
      <alignment horizontal="center" vertical="center"/>
      <protection/>
    </xf>
    <xf numFmtId="0" fontId="0" fillId="0" borderId="3" xfId="884" applyNumberFormat="1" applyFont="1" applyBorder="1" applyAlignment="1">
      <alignment horizontal="centerContinuous" vertical="center"/>
      <protection/>
    </xf>
    <xf numFmtId="0" fontId="0" fillId="0" borderId="4" xfId="884" applyNumberFormat="1" applyFont="1" applyBorder="1" applyAlignment="1">
      <alignment vertical="center"/>
      <protection/>
    </xf>
    <xf numFmtId="0" fontId="0" fillId="0" borderId="39" xfId="884" applyNumberFormat="1" applyFont="1" applyBorder="1" applyAlignment="1">
      <alignment vertical="center"/>
      <protection/>
    </xf>
    <xf numFmtId="0" fontId="0" fillId="0" borderId="38" xfId="884" applyNumberFormat="1" applyFont="1" applyBorder="1" applyAlignment="1">
      <alignment horizontal="center" vertical="center"/>
      <protection/>
    </xf>
    <xf numFmtId="0" fontId="0" fillId="0" borderId="38" xfId="884" applyNumberFormat="1" applyFont="1" applyBorder="1" applyAlignment="1">
      <alignment horizontal="centerContinuous" vertical="center"/>
      <protection/>
    </xf>
    <xf numFmtId="0" fontId="0" fillId="0" borderId="38" xfId="863" applyNumberFormat="1" applyFont="1" applyBorder="1" applyAlignment="1">
      <alignment horizontal="center" vertical="center"/>
    </xf>
    <xf numFmtId="0" fontId="0" fillId="0" borderId="0" xfId="884" applyNumberFormat="1" applyFont="1" applyAlignment="1">
      <alignment vertical="center"/>
      <protection/>
    </xf>
    <xf numFmtId="0" fontId="0" fillId="0" borderId="0" xfId="0" applyNumberFormat="1" applyFont="1" applyBorder="1" applyAlignment="1">
      <alignment horizontal="distributed" vertical="center"/>
    </xf>
    <xf numFmtId="0" fontId="0" fillId="0" borderId="0" xfId="884" applyNumberFormat="1" applyFont="1" applyBorder="1" applyAlignment="1">
      <alignment horizontal="distributed" vertical="center"/>
      <protection/>
    </xf>
    <xf numFmtId="0" fontId="0" fillId="0" borderId="0" xfId="884" applyNumberFormat="1" applyFont="1" applyBorder="1" applyAlignment="1">
      <alignment horizontal="center" vertical="center"/>
      <protection/>
    </xf>
    <xf numFmtId="0" fontId="0" fillId="0" borderId="40" xfId="0" applyNumberFormat="1" applyFont="1" applyBorder="1" applyAlignment="1">
      <alignment horizontal="distributed" vertical="center"/>
    </xf>
    <xf numFmtId="0" fontId="0" fillId="0" borderId="40" xfId="884" applyNumberFormat="1" applyFont="1" applyBorder="1" applyAlignment="1">
      <alignment vertical="center"/>
      <protection/>
    </xf>
    <xf numFmtId="0" fontId="0" fillId="0" borderId="34" xfId="884" applyNumberFormat="1" applyFont="1" applyBorder="1" applyAlignment="1">
      <alignment vertical="center"/>
      <protection/>
    </xf>
    <xf numFmtId="0" fontId="0" fillId="0" borderId="22" xfId="500" applyNumberFormat="1" applyFont="1" applyBorder="1" applyAlignment="1">
      <alignment horizontal="centerContinuous" vertical="center"/>
    </xf>
    <xf numFmtId="0" fontId="0" fillId="0" borderId="22" xfId="884" applyNumberFormat="1" applyFont="1" applyBorder="1" applyAlignment="1">
      <alignment horizontal="centerContinuous" vertical="center"/>
      <protection/>
    </xf>
    <xf numFmtId="0" fontId="0" fillId="0" borderId="0" xfId="863" applyNumberFormat="1" applyFont="1" applyAlignment="1">
      <alignment vertical="center"/>
    </xf>
    <xf numFmtId="0" fontId="0" fillId="0" borderId="0" xfId="884" applyNumberFormat="1" applyFont="1" applyAlignment="1" quotePrefix="1">
      <alignment horizontal="left" vertical="center"/>
      <protection/>
    </xf>
    <xf numFmtId="179" fontId="0" fillId="0" borderId="0" xfId="884" applyNumberFormat="1" applyFont="1" applyAlignment="1">
      <alignment horizontal="center" vertical="center"/>
      <protection/>
    </xf>
    <xf numFmtId="179" fontId="0" fillId="0" borderId="0" xfId="884" applyNumberFormat="1" applyFont="1" applyBorder="1" applyAlignment="1">
      <alignment horizontal="center" vertical="center"/>
      <protection/>
    </xf>
    <xf numFmtId="179" fontId="0" fillId="0" borderId="38" xfId="500" applyNumberFormat="1" applyFont="1" applyBorder="1" applyAlignment="1">
      <alignment horizontal="right" vertical="center"/>
    </xf>
    <xf numFmtId="0" fontId="0" fillId="0" borderId="4" xfId="884" applyNumberFormat="1" applyFont="1" applyBorder="1" applyAlignment="1">
      <alignment horizontal="center" vertical="center"/>
      <protection/>
    </xf>
    <xf numFmtId="0" fontId="0" fillId="0" borderId="39" xfId="884" applyNumberFormat="1" applyFont="1" applyBorder="1" applyAlignment="1">
      <alignment horizontal="center" vertical="center"/>
      <protection/>
    </xf>
    <xf numFmtId="0" fontId="0" fillId="0" borderId="0" xfId="884" applyNumberFormat="1" applyFont="1" applyAlignment="1">
      <alignment horizontal="centerContinuous" vertical="center"/>
      <protection/>
    </xf>
    <xf numFmtId="0" fontId="20" fillId="0" borderId="0" xfId="892" applyNumberFormat="1" applyFont="1" applyBorder="1" applyAlignment="1">
      <alignment horizontal="left" vertical="center"/>
      <protection/>
    </xf>
    <xf numFmtId="0" fontId="20" fillId="0" borderId="0" xfId="892" applyNumberFormat="1" applyFont="1" applyAlignment="1" quotePrefix="1">
      <alignment horizontal="left" vertical="center"/>
      <protection/>
    </xf>
    <xf numFmtId="0" fontId="20" fillId="0" borderId="0" xfId="892" applyNumberFormat="1" applyFont="1" applyAlignment="1">
      <alignment vertical="center"/>
      <protection/>
    </xf>
    <xf numFmtId="0" fontId="20" fillId="0" borderId="0" xfId="500" applyNumberFormat="1" applyFont="1" applyBorder="1" applyAlignment="1" quotePrefix="1">
      <alignment horizontal="left" vertical="center"/>
    </xf>
    <xf numFmtId="0" fontId="21" fillId="0" borderId="0" xfId="892" applyNumberFormat="1" applyFont="1" applyBorder="1" applyAlignment="1">
      <alignment horizontal="centerContinuous" vertical="center"/>
      <protection/>
    </xf>
    <xf numFmtId="0" fontId="20" fillId="0" borderId="0" xfId="892" applyNumberFormat="1" applyFont="1" applyAlignment="1">
      <alignment horizontal="centerContinuous" vertical="center"/>
      <protection/>
    </xf>
    <xf numFmtId="0" fontId="20" fillId="0" borderId="0" xfId="500" applyNumberFormat="1" applyFont="1" applyBorder="1" applyAlignment="1">
      <alignment horizontal="centerContinuous" vertical="center"/>
    </xf>
    <xf numFmtId="0" fontId="20" fillId="0" borderId="0" xfId="885" applyNumberFormat="1" applyFont="1" applyAlignment="1">
      <alignment vertical="center"/>
      <protection/>
    </xf>
    <xf numFmtId="0" fontId="20" fillId="0" borderId="2" xfId="892" applyNumberFormat="1" applyFont="1" applyBorder="1" applyAlignment="1">
      <alignment horizontal="centerContinuous" vertical="center"/>
      <protection/>
    </xf>
    <xf numFmtId="0" fontId="20" fillId="0" borderId="33" xfId="892" applyNumberFormat="1" applyFont="1" applyBorder="1" applyAlignment="1">
      <alignment horizontal="centerContinuous" vertical="center"/>
      <protection/>
    </xf>
    <xf numFmtId="0" fontId="20" fillId="0" borderId="28" xfId="500" applyNumberFormat="1" applyFont="1" applyBorder="1" applyAlignment="1">
      <alignment horizontal="centerContinuous" vertical="center"/>
    </xf>
    <xf numFmtId="0" fontId="20" fillId="0" borderId="3" xfId="892" applyNumberFormat="1" applyFont="1" applyBorder="1" applyAlignment="1">
      <alignment horizontal="center" vertical="center" wrapText="1"/>
      <protection/>
    </xf>
    <xf numFmtId="0" fontId="20" fillId="0" borderId="4" xfId="892" applyNumberFormat="1" applyFont="1" applyBorder="1" applyAlignment="1">
      <alignment horizontal="centerContinuous" vertical="center"/>
      <protection/>
    </xf>
    <xf numFmtId="0" fontId="20" fillId="0" borderId="0" xfId="892" applyNumberFormat="1" applyFont="1" applyBorder="1" applyAlignment="1">
      <alignment horizontal="centerContinuous" vertical="center" wrapText="1"/>
      <protection/>
    </xf>
    <xf numFmtId="0" fontId="20" fillId="0" borderId="0" xfId="892" applyNumberFormat="1" applyFont="1" applyBorder="1" applyAlignment="1">
      <alignment horizontal="centerContinuous" vertical="center"/>
      <protection/>
    </xf>
    <xf numFmtId="0" fontId="20" fillId="0" borderId="39" xfId="892" applyNumberFormat="1" applyFont="1" applyBorder="1" applyAlignment="1">
      <alignment horizontal="centerContinuous" vertical="center"/>
      <protection/>
    </xf>
    <xf numFmtId="0" fontId="20" fillId="0" borderId="4" xfId="892" applyNumberFormat="1" applyFont="1" applyBorder="1" applyAlignment="1">
      <alignment horizontal="centerContinuous" vertical="center" wrapText="1"/>
      <protection/>
    </xf>
    <xf numFmtId="0" fontId="20" fillId="0" borderId="39" xfId="892" applyNumberFormat="1" applyFont="1" applyBorder="1" applyAlignment="1">
      <alignment horizontal="centerContinuous" vertical="center" wrapText="1"/>
      <protection/>
    </xf>
    <xf numFmtId="0" fontId="20" fillId="0" borderId="38" xfId="892" applyNumberFormat="1" applyFont="1" applyBorder="1" applyAlignment="1">
      <alignment horizontal="center" vertical="center" wrapText="1"/>
      <protection/>
    </xf>
    <xf numFmtId="0" fontId="20" fillId="0" borderId="4" xfId="892" applyNumberFormat="1" applyFont="1" applyBorder="1" applyAlignment="1">
      <alignment vertical="center"/>
      <protection/>
    </xf>
    <xf numFmtId="0" fontId="20" fillId="0" borderId="0" xfId="892" applyNumberFormat="1" applyFont="1" applyBorder="1" applyAlignment="1">
      <alignment horizontal="center" vertical="center"/>
      <protection/>
    </xf>
    <xf numFmtId="0" fontId="20" fillId="0" borderId="0" xfId="892" applyNumberFormat="1" applyFont="1" applyBorder="1" applyAlignment="1">
      <alignment horizontal="distributed" vertical="center"/>
      <protection/>
    </xf>
    <xf numFmtId="0" fontId="20" fillId="0" borderId="39" xfId="892" applyNumberFormat="1" applyFont="1" applyBorder="1" applyAlignment="1">
      <alignment vertical="center"/>
      <protection/>
    </xf>
    <xf numFmtId="0" fontId="20" fillId="0" borderId="0" xfId="500" applyNumberFormat="1" applyFont="1" applyBorder="1" applyAlignment="1">
      <alignment vertical="center"/>
    </xf>
    <xf numFmtId="0" fontId="20" fillId="0" borderId="39" xfId="500" applyNumberFormat="1" applyFont="1" applyBorder="1" applyAlignment="1">
      <alignment vertical="center"/>
    </xf>
    <xf numFmtId="0" fontId="20" fillId="0" borderId="38" xfId="892" applyNumberFormat="1" applyFont="1" applyBorder="1" applyAlignment="1">
      <alignment horizontal="left" vertical="center"/>
      <protection/>
    </xf>
    <xf numFmtId="0" fontId="20" fillId="0" borderId="0" xfId="892" applyNumberFormat="1" applyFont="1" applyBorder="1" applyAlignment="1" quotePrefix="1">
      <alignment horizontal="center" vertical="center"/>
      <protection/>
    </xf>
    <xf numFmtId="0" fontId="20" fillId="0" borderId="0" xfId="892" applyNumberFormat="1" applyFont="1" applyBorder="1" applyAlignment="1">
      <alignment vertical="center"/>
      <protection/>
    </xf>
    <xf numFmtId="0" fontId="20" fillId="0" borderId="2" xfId="892" applyNumberFormat="1" applyFont="1" applyBorder="1" applyAlignment="1">
      <alignment horizontal="center" vertical="center"/>
      <protection/>
    </xf>
    <xf numFmtId="0" fontId="20" fillId="0" borderId="28" xfId="892" applyNumberFormat="1" applyFont="1" applyBorder="1" applyAlignment="1">
      <alignment horizontal="left" vertical="center"/>
      <protection/>
    </xf>
    <xf numFmtId="0" fontId="20" fillId="0" borderId="28" xfId="892" applyNumberFormat="1" applyFont="1" applyBorder="1" applyAlignment="1">
      <alignment horizontal="distributed" vertical="center"/>
      <protection/>
    </xf>
    <xf numFmtId="0" fontId="20" fillId="0" borderId="33" xfId="892" applyNumberFormat="1" applyFont="1" applyBorder="1" applyAlignment="1">
      <alignment horizontal="center" vertical="center"/>
      <protection/>
    </xf>
    <xf numFmtId="0" fontId="20" fillId="0" borderId="33" xfId="500" applyNumberFormat="1" applyFont="1" applyBorder="1" applyAlignment="1">
      <alignment vertical="center"/>
    </xf>
    <xf numFmtId="0" fontId="20" fillId="0" borderId="3" xfId="892" applyNumberFormat="1" applyFont="1" applyBorder="1" applyAlignment="1">
      <alignment horizontal="left" vertical="center"/>
      <protection/>
    </xf>
    <xf numFmtId="0" fontId="20" fillId="0" borderId="0" xfId="892" applyNumberFormat="1" applyFont="1" applyBorder="1" applyAlignment="1" quotePrefix="1">
      <alignment horizontal="left" vertical="center"/>
      <protection/>
    </xf>
    <xf numFmtId="0" fontId="20" fillId="0" borderId="0" xfId="886" applyNumberFormat="1" applyFont="1" applyAlignment="1">
      <alignment vertical="center"/>
      <protection/>
    </xf>
    <xf numFmtId="0" fontId="20" fillId="0" borderId="0" xfId="886" applyNumberFormat="1" applyFont="1" applyBorder="1" applyAlignment="1">
      <alignment vertical="center"/>
      <protection/>
    </xf>
    <xf numFmtId="0" fontId="0" fillId="30" borderId="0" xfId="892" applyNumberFormat="1" applyFont="1" applyFill="1" applyAlignment="1">
      <alignment horizontal="left" vertical="center"/>
      <protection/>
    </xf>
    <xf numFmtId="0" fontId="0" fillId="30" borderId="0" xfId="892" applyNumberFormat="1" applyFont="1" applyFill="1" applyAlignment="1" quotePrefix="1">
      <alignment horizontal="left" vertical="center"/>
      <protection/>
    </xf>
    <xf numFmtId="0" fontId="0" fillId="30" borderId="0" xfId="892" applyNumberFormat="1" applyFont="1" applyFill="1" applyAlignment="1">
      <alignment vertical="center"/>
      <protection/>
    </xf>
    <xf numFmtId="0" fontId="20" fillId="0" borderId="0" xfId="886" applyNumberFormat="1" applyFont="1" applyAlignment="1">
      <alignment horizontal="left" vertical="center"/>
      <protection/>
    </xf>
    <xf numFmtId="179" fontId="20" fillId="0" borderId="0" xfId="500" applyNumberFormat="1" applyFont="1" applyBorder="1" applyAlignment="1">
      <alignment horizontal="right" vertical="center"/>
    </xf>
    <xf numFmtId="179" fontId="20" fillId="0" borderId="4" xfId="500" applyNumberFormat="1" applyFont="1" applyBorder="1" applyAlignment="1">
      <alignment horizontal="right" vertical="center"/>
    </xf>
    <xf numFmtId="179" fontId="20" fillId="0" borderId="4" xfId="892" applyNumberFormat="1" applyFont="1" applyBorder="1" applyAlignment="1">
      <alignment horizontal="right" vertical="center"/>
      <protection/>
    </xf>
    <xf numFmtId="186" fontId="20" fillId="0" borderId="2" xfId="500" applyNumberFormat="1" applyFont="1" applyBorder="1" applyAlignment="1">
      <alignment horizontal="right" vertical="center"/>
    </xf>
    <xf numFmtId="186" fontId="20" fillId="0" borderId="28" xfId="500" applyNumberFormat="1" applyFont="1" applyBorder="1" applyAlignment="1">
      <alignment horizontal="right" vertical="center"/>
    </xf>
    <xf numFmtId="0" fontId="1" fillId="0" borderId="0" xfId="884" applyNumberFormat="1" applyFont="1" applyBorder="1" applyAlignment="1">
      <alignment horizontal="centerContinuous" vertical="center"/>
      <protection/>
    </xf>
    <xf numFmtId="179" fontId="0" fillId="0" borderId="40" xfId="884" applyNumberFormat="1" applyFont="1" applyBorder="1" applyAlignment="1">
      <alignment horizontal="center" vertical="center"/>
      <protection/>
    </xf>
    <xf numFmtId="179" fontId="0" fillId="0" borderId="22" xfId="500" applyNumberFormat="1" applyFont="1" applyBorder="1" applyAlignment="1">
      <alignment horizontal="right" vertical="center"/>
    </xf>
    <xf numFmtId="179" fontId="0" fillId="0" borderId="22" xfId="884" applyNumberFormat="1" applyFont="1" applyBorder="1" applyAlignment="1">
      <alignment horizontal="right" vertical="center"/>
      <protection/>
    </xf>
    <xf numFmtId="0" fontId="0" fillId="30" borderId="0" xfId="0" applyNumberFormat="1" applyFont="1" applyFill="1" applyBorder="1" applyAlignment="1">
      <alignment horizontal="centerContinuous" vertical="center"/>
    </xf>
    <xf numFmtId="0" fontId="0" fillId="30" borderId="0" xfId="0" applyNumberFormat="1" applyFont="1" applyFill="1" applyAlignment="1">
      <alignment horizontal="center" vertical="center"/>
    </xf>
    <xf numFmtId="0" fontId="1" fillId="30" borderId="0" xfId="500" applyNumberFormat="1" applyFont="1" applyFill="1" applyAlignment="1">
      <alignment horizontal="centerContinuous" vertical="center"/>
    </xf>
    <xf numFmtId="0" fontId="0" fillId="30" borderId="0" xfId="500" applyNumberFormat="1" applyFont="1" applyFill="1" applyBorder="1" applyAlignment="1">
      <alignment horizontal="centerContinuous" vertical="center"/>
    </xf>
    <xf numFmtId="0" fontId="0" fillId="30" borderId="0" xfId="501" applyNumberFormat="1" applyFont="1" applyFill="1" applyAlignment="1">
      <alignment horizontal="right" vertical="center"/>
    </xf>
    <xf numFmtId="0" fontId="0" fillId="30" borderId="39" xfId="500" applyNumberFormat="1" applyFont="1" applyFill="1" applyBorder="1" applyAlignment="1">
      <alignment horizontal="left" vertical="center"/>
    </xf>
    <xf numFmtId="0" fontId="0" fillId="30" borderId="34" xfId="500" applyNumberFormat="1" applyFont="1" applyFill="1" applyBorder="1" applyAlignment="1">
      <alignment horizontal="left" vertical="center"/>
    </xf>
    <xf numFmtId="0" fontId="0" fillId="30" borderId="0" xfId="500" applyNumberFormat="1" applyFont="1" applyFill="1" applyBorder="1" applyAlignment="1">
      <alignment vertical="center"/>
    </xf>
    <xf numFmtId="0" fontId="0" fillId="30" borderId="0" xfId="500" applyNumberFormat="1" applyFont="1" applyFill="1" applyAlignment="1">
      <alignment vertical="center"/>
    </xf>
    <xf numFmtId="179" fontId="0" fillId="30" borderId="38" xfId="500" applyNumberFormat="1" applyFont="1" applyFill="1" applyBorder="1" applyAlignment="1">
      <alignment horizontal="right" vertical="center"/>
    </xf>
    <xf numFmtId="179" fontId="0" fillId="30" borderId="22" xfId="500" applyNumberFormat="1" applyFont="1" applyFill="1" applyBorder="1" applyAlignment="1">
      <alignment horizontal="center" vertical="center"/>
    </xf>
    <xf numFmtId="179" fontId="0" fillId="30" borderId="22" xfId="500" applyNumberFormat="1" applyFont="1" applyFill="1" applyBorder="1" applyAlignment="1">
      <alignment horizontal="right" vertical="center"/>
    </xf>
    <xf numFmtId="179" fontId="0" fillId="30" borderId="3" xfId="500" applyNumberFormat="1" applyFont="1" applyFill="1" applyBorder="1" applyAlignment="1">
      <alignment horizontal="right" vertical="center"/>
    </xf>
    <xf numFmtId="0" fontId="0" fillId="30" borderId="39" xfId="0" applyNumberFormat="1" applyFont="1" applyFill="1" applyBorder="1" applyAlignment="1">
      <alignment horizontal="center" vertical="center"/>
    </xf>
    <xf numFmtId="0" fontId="1" fillId="30" borderId="0" xfId="0" applyNumberFormat="1" applyFont="1" applyFill="1" applyAlignment="1">
      <alignment horizontal="centerContinuous" vertical="center"/>
    </xf>
    <xf numFmtId="0" fontId="1" fillId="30" borderId="0" xfId="0" applyNumberFormat="1" applyFont="1" applyFill="1" applyBorder="1" applyAlignment="1">
      <alignment horizontal="centerContinuous" vertical="center"/>
    </xf>
    <xf numFmtId="0" fontId="1" fillId="30" borderId="0" xfId="500" applyNumberFormat="1" applyFont="1" applyFill="1" applyBorder="1" applyAlignment="1">
      <alignment horizontal="centerContinuous" vertical="center"/>
    </xf>
    <xf numFmtId="0" fontId="1" fillId="30" borderId="0" xfId="0" applyNumberFormat="1" applyFont="1" applyFill="1" applyAlignment="1">
      <alignment horizontal="center" vertical="center"/>
    </xf>
    <xf numFmtId="0" fontId="0" fillId="30" borderId="0" xfId="0" applyNumberFormat="1" applyFont="1" applyFill="1" applyAlignment="1">
      <alignment horizontal="left" vertical="center"/>
    </xf>
    <xf numFmtId="0" fontId="0" fillId="30" borderId="0" xfId="0" applyNumberFormat="1" applyFont="1" applyFill="1" applyBorder="1" applyAlignment="1">
      <alignment horizontal="left" vertical="center"/>
    </xf>
    <xf numFmtId="0" fontId="0" fillId="30" borderId="0" xfId="500" applyNumberFormat="1" applyFont="1" applyFill="1" applyAlignment="1">
      <alignment horizontal="left" vertical="center"/>
    </xf>
    <xf numFmtId="0" fontId="0" fillId="30" borderId="0" xfId="500" applyNumberFormat="1" applyFont="1" applyFill="1" applyBorder="1" applyAlignment="1">
      <alignment horizontal="right" vertical="center"/>
    </xf>
    <xf numFmtId="0" fontId="0" fillId="30" borderId="36" xfId="0" applyNumberFormat="1" applyFont="1" applyFill="1" applyBorder="1" applyAlignment="1">
      <alignment horizontal="centerContinuous" vertical="center"/>
    </xf>
    <xf numFmtId="0" fontId="0" fillId="30" borderId="37" xfId="0" applyNumberFormat="1" applyFont="1" applyFill="1" applyBorder="1" applyAlignment="1">
      <alignment horizontal="centerContinuous" vertical="center"/>
    </xf>
    <xf numFmtId="0" fontId="0" fillId="30" borderId="4" xfId="500" applyNumberFormat="1" applyFont="1" applyFill="1" applyBorder="1" applyAlignment="1">
      <alignment horizontal="center" vertical="center"/>
    </xf>
    <xf numFmtId="0" fontId="0" fillId="30" borderId="4" xfId="0" applyNumberFormat="1" applyFont="1" applyFill="1" applyBorder="1" applyAlignment="1">
      <alignment horizontal="center" vertical="center"/>
    </xf>
    <xf numFmtId="0" fontId="0" fillId="30" borderId="39" xfId="0" applyNumberFormat="1" applyFont="1" applyFill="1" applyBorder="1" applyAlignment="1">
      <alignment horizontal="left" vertical="center"/>
    </xf>
    <xf numFmtId="0" fontId="0" fillId="30" borderId="2" xfId="0" applyNumberFormat="1" applyFont="1" applyFill="1" applyBorder="1" applyAlignment="1">
      <alignment horizontal="centerContinuous" vertical="center"/>
    </xf>
    <xf numFmtId="0" fontId="0" fillId="30" borderId="33" xfId="500" applyNumberFormat="1" applyFont="1" applyFill="1" applyBorder="1" applyAlignment="1">
      <alignment horizontal="left" vertical="center"/>
    </xf>
    <xf numFmtId="0" fontId="0" fillId="30" borderId="0" xfId="892" applyNumberFormat="1" applyFont="1" applyFill="1" applyBorder="1" applyAlignment="1">
      <alignment vertical="center"/>
      <protection/>
    </xf>
    <xf numFmtId="0" fontId="0" fillId="30" borderId="0" xfId="500" applyNumberFormat="1" applyFont="1" applyFill="1" applyBorder="1" applyAlignment="1" quotePrefix="1">
      <alignment horizontal="left" vertical="center"/>
    </xf>
    <xf numFmtId="0" fontId="0" fillId="30" borderId="0" xfId="500" applyNumberFormat="1" applyFont="1" applyFill="1" applyBorder="1" applyAlignment="1">
      <alignment horizontal="left" vertical="center"/>
    </xf>
    <xf numFmtId="0" fontId="0" fillId="30" borderId="0" xfId="892" applyNumberFormat="1" applyFont="1" applyFill="1" applyAlignment="1">
      <alignment vertical="center"/>
      <protection/>
    </xf>
    <xf numFmtId="0" fontId="0" fillId="30" borderId="0" xfId="0" applyNumberFormat="1" applyFont="1" applyFill="1" applyAlignment="1">
      <alignment horizontal="centerContinuous" vertical="center"/>
    </xf>
    <xf numFmtId="179" fontId="0" fillId="30" borderId="4" xfId="500" applyNumberFormat="1" applyFont="1" applyFill="1" applyBorder="1" applyAlignment="1">
      <alignment horizontal="right" vertical="center"/>
    </xf>
    <xf numFmtId="179" fontId="0" fillId="30" borderId="2" xfId="500" applyNumberFormat="1" applyFont="1" applyFill="1" applyBorder="1" applyAlignment="1">
      <alignment horizontal="right" vertical="center"/>
    </xf>
    <xf numFmtId="0" fontId="0" fillId="30" borderId="23" xfId="500" applyNumberFormat="1" applyFont="1" applyFill="1" applyBorder="1" applyAlignment="1">
      <alignment horizontal="center" vertical="center"/>
    </xf>
    <xf numFmtId="0" fontId="0" fillId="30" borderId="0" xfId="0" applyNumberFormat="1" applyFont="1" applyFill="1" applyAlignment="1">
      <alignment vertical="center"/>
    </xf>
    <xf numFmtId="0" fontId="1" fillId="30" borderId="0" xfId="0" applyNumberFormat="1" applyFont="1" applyFill="1" applyAlignment="1">
      <alignment vertical="center"/>
    </xf>
    <xf numFmtId="0" fontId="0" fillId="30" borderId="0" xfId="0" applyNumberFormat="1" applyFont="1" applyFill="1" applyBorder="1" applyAlignment="1">
      <alignment vertical="center"/>
    </xf>
    <xf numFmtId="0" fontId="0" fillId="30" borderId="0" xfId="0" applyNumberFormat="1" applyFont="1" applyFill="1" applyBorder="1" applyAlignment="1">
      <alignment horizontal="distributed" vertical="center"/>
    </xf>
    <xf numFmtId="0" fontId="0" fillId="30" borderId="40" xfId="0" applyNumberFormat="1" applyFont="1" applyFill="1" applyBorder="1" applyAlignment="1">
      <alignment horizontal="distributed" vertical="center"/>
    </xf>
    <xf numFmtId="179" fontId="0" fillId="30" borderId="5" xfId="500" applyNumberFormat="1" applyFont="1" applyFill="1" applyBorder="1" applyAlignment="1">
      <alignment horizontal="right" vertical="center"/>
    </xf>
    <xf numFmtId="0" fontId="0" fillId="30" borderId="22" xfId="500" applyNumberFormat="1" applyFont="1" applyFill="1" applyBorder="1" applyAlignment="1">
      <alignment horizontal="left" vertical="center"/>
    </xf>
    <xf numFmtId="0" fontId="0" fillId="30" borderId="0" xfId="890" applyNumberFormat="1" applyFont="1" applyFill="1" applyAlignment="1">
      <alignment vertical="center"/>
      <protection/>
    </xf>
    <xf numFmtId="0" fontId="0" fillId="30" borderId="0" xfId="862" applyNumberFormat="1" applyFont="1" applyFill="1" applyAlignment="1">
      <alignment vertical="center"/>
    </xf>
    <xf numFmtId="0" fontId="1" fillId="30" borderId="0" xfId="890" applyNumberFormat="1" applyFont="1" applyFill="1" applyAlignment="1">
      <alignment horizontal="centerContinuous" vertical="center"/>
      <protection/>
    </xf>
    <xf numFmtId="0" fontId="1" fillId="30" borderId="0" xfId="862" applyNumberFormat="1" applyFont="1" applyFill="1" applyAlignment="1">
      <alignment horizontal="centerContinuous" vertical="center"/>
    </xf>
    <xf numFmtId="0" fontId="1" fillId="30" borderId="0" xfId="890" applyNumberFormat="1" applyFont="1" applyFill="1" applyAlignment="1">
      <alignment vertical="center"/>
      <protection/>
    </xf>
    <xf numFmtId="0" fontId="0" fillId="30" borderId="0" xfId="890" applyNumberFormat="1" applyFont="1" applyFill="1" applyAlignment="1">
      <alignment horizontal="centerContinuous" vertical="center"/>
      <protection/>
    </xf>
    <xf numFmtId="0" fontId="0" fillId="30" borderId="0" xfId="862" applyNumberFormat="1" applyFont="1" applyFill="1" applyAlignment="1">
      <alignment horizontal="centerContinuous" vertical="center"/>
    </xf>
    <xf numFmtId="0" fontId="0" fillId="30" borderId="0" xfId="890" applyNumberFormat="1" applyFont="1" applyFill="1" applyAlignment="1">
      <alignment horizontal="left" vertical="center"/>
      <protection/>
    </xf>
    <xf numFmtId="0" fontId="0" fillId="30" borderId="2" xfId="890" applyNumberFormat="1" applyFont="1" applyFill="1" applyBorder="1" applyAlignment="1">
      <alignment horizontal="centerContinuous" vertical="center"/>
      <protection/>
    </xf>
    <xf numFmtId="0" fontId="0" fillId="30" borderId="28" xfId="889" applyNumberFormat="1" applyFont="1" applyFill="1" applyBorder="1" applyAlignment="1">
      <alignment horizontal="distributed" vertical="center"/>
      <protection/>
    </xf>
    <xf numFmtId="0" fontId="0" fillId="30" borderId="33" xfId="890" applyNumberFormat="1" applyFont="1" applyFill="1" applyBorder="1" applyAlignment="1">
      <alignment horizontal="centerContinuous" vertical="center"/>
      <protection/>
    </xf>
    <xf numFmtId="0" fontId="0" fillId="30" borderId="0" xfId="890" applyNumberFormat="1" applyFont="1" applyFill="1" applyBorder="1" applyAlignment="1">
      <alignment horizontal="left" vertical="center"/>
      <protection/>
    </xf>
    <xf numFmtId="0" fontId="0" fillId="30" borderId="4" xfId="890" applyNumberFormat="1" applyFont="1" applyFill="1" applyBorder="1" applyAlignment="1">
      <alignment horizontal="centerContinuous" vertical="center"/>
      <protection/>
    </xf>
    <xf numFmtId="0" fontId="0" fillId="30" borderId="0" xfId="889" applyNumberFormat="1" applyFont="1" applyFill="1" applyBorder="1" applyAlignment="1">
      <alignment horizontal="distributed" vertical="center"/>
      <protection/>
    </xf>
    <xf numFmtId="0" fontId="0" fillId="30" borderId="39" xfId="890" applyNumberFormat="1" applyFont="1" applyFill="1" applyBorder="1" applyAlignment="1">
      <alignment horizontal="centerContinuous" vertical="center"/>
      <protection/>
    </xf>
    <xf numFmtId="179" fontId="0" fillId="30" borderId="4" xfId="862" applyNumberFormat="1" applyFont="1" applyFill="1" applyBorder="1" applyAlignment="1">
      <alignment horizontal="right" vertical="center"/>
    </xf>
    <xf numFmtId="179" fontId="0" fillId="30" borderId="39" xfId="862" applyNumberFormat="1" applyFont="1" applyFill="1" applyBorder="1" applyAlignment="1">
      <alignment horizontal="right" vertical="center"/>
    </xf>
    <xf numFmtId="0" fontId="0" fillId="30" borderId="39" xfId="862" applyNumberFormat="1" applyFont="1" applyFill="1" applyBorder="1" applyAlignment="1">
      <alignment vertical="center"/>
    </xf>
    <xf numFmtId="0" fontId="0" fillId="30" borderId="5" xfId="890" applyNumberFormat="1" applyFont="1" applyFill="1" applyBorder="1" applyAlignment="1">
      <alignment horizontal="centerContinuous" vertical="center"/>
      <protection/>
    </xf>
    <xf numFmtId="0" fontId="0" fillId="30" borderId="40" xfId="889" applyNumberFormat="1" applyFont="1" applyFill="1" applyBorder="1" applyAlignment="1">
      <alignment horizontal="distributed" vertical="center"/>
      <protection/>
    </xf>
    <xf numFmtId="0" fontId="0" fillId="30" borderId="34" xfId="890" applyNumberFormat="1" applyFont="1" applyFill="1" applyBorder="1" applyAlignment="1">
      <alignment horizontal="centerContinuous" vertical="center"/>
      <protection/>
    </xf>
    <xf numFmtId="179" fontId="0" fillId="30" borderId="5" xfId="862" applyNumberFormat="1" applyFont="1" applyFill="1" applyBorder="1" applyAlignment="1">
      <alignment horizontal="right" vertical="center"/>
    </xf>
    <xf numFmtId="179" fontId="0" fillId="30" borderId="34" xfId="862" applyNumberFormat="1" applyFont="1" applyFill="1" applyBorder="1" applyAlignment="1">
      <alignment horizontal="right" vertical="center"/>
    </xf>
    <xf numFmtId="0" fontId="0" fillId="30" borderId="34" xfId="862" applyNumberFormat="1" applyFont="1" applyFill="1" applyBorder="1" applyAlignment="1">
      <alignment vertical="center"/>
    </xf>
    <xf numFmtId="0" fontId="0" fillId="30" borderId="0" xfId="884" applyNumberFormat="1" applyFont="1" applyFill="1" applyAlignment="1">
      <alignment horizontal="left" vertical="center"/>
      <protection/>
    </xf>
    <xf numFmtId="0" fontId="0" fillId="30" borderId="0" xfId="884" applyNumberFormat="1" applyFont="1" applyFill="1" applyBorder="1" applyAlignment="1">
      <alignment horizontal="left" vertical="center"/>
      <protection/>
    </xf>
    <xf numFmtId="0" fontId="1" fillId="30" borderId="0" xfId="0" applyNumberFormat="1" applyFont="1" applyFill="1" applyAlignment="1" quotePrefix="1">
      <alignment horizontal="centerContinuous" vertical="center"/>
    </xf>
    <xf numFmtId="0" fontId="1" fillId="30" borderId="0" xfId="0" applyNumberFormat="1" applyFont="1" applyFill="1" applyBorder="1" applyAlignment="1" quotePrefix="1">
      <alignment horizontal="centerContinuous" vertical="center"/>
    </xf>
    <xf numFmtId="0" fontId="0" fillId="30" borderId="0" xfId="500" applyNumberFormat="1" applyFont="1" applyFill="1" applyAlignment="1">
      <alignment horizontal="right" vertical="center"/>
    </xf>
    <xf numFmtId="0" fontId="0" fillId="30" borderId="3" xfId="0" applyNumberFormat="1" applyFont="1" applyFill="1" applyBorder="1" applyAlignment="1">
      <alignment horizontal="left" vertical="center"/>
    </xf>
    <xf numFmtId="0" fontId="0" fillId="30" borderId="0" xfId="892" applyNumberFormat="1" applyFont="1" applyFill="1" applyBorder="1" applyAlignment="1" quotePrefix="1">
      <alignment horizontal="left" vertical="center"/>
      <protection/>
    </xf>
    <xf numFmtId="0" fontId="0" fillId="30" borderId="0" xfId="892" applyNumberFormat="1" applyFont="1" applyFill="1" applyAlignment="1" quotePrefix="1">
      <alignment horizontal="left" vertical="center"/>
      <protection/>
    </xf>
    <xf numFmtId="0" fontId="0" fillId="30" borderId="0" xfId="892" applyNumberFormat="1" applyFont="1" applyFill="1" applyAlignment="1">
      <alignment horizontal="left" vertical="center"/>
      <protection/>
    </xf>
    <xf numFmtId="179" fontId="0" fillId="30" borderId="33" xfId="500" applyNumberFormat="1" applyFont="1" applyFill="1" applyBorder="1" applyAlignment="1">
      <alignment horizontal="right" vertical="center"/>
    </xf>
    <xf numFmtId="179" fontId="0" fillId="30" borderId="3" xfId="862" applyNumberFormat="1" applyFont="1" applyFill="1" applyBorder="1" applyAlignment="1">
      <alignment horizontal="right" vertical="center"/>
    </xf>
    <xf numFmtId="0" fontId="0" fillId="30" borderId="2" xfId="862" applyNumberFormat="1" applyFont="1" applyFill="1" applyBorder="1" applyAlignment="1">
      <alignment horizontal="centerContinuous" vertical="center"/>
    </xf>
    <xf numFmtId="0" fontId="0" fillId="30" borderId="28" xfId="890" applyNumberFormat="1" applyFont="1" applyFill="1" applyBorder="1" applyAlignment="1">
      <alignment horizontal="centerContinuous" vertical="center"/>
      <protection/>
    </xf>
    <xf numFmtId="0" fontId="0" fillId="30" borderId="35" xfId="862" applyNumberFormat="1" applyFont="1" applyFill="1" applyBorder="1" applyAlignment="1">
      <alignment horizontal="center" vertical="center"/>
    </xf>
    <xf numFmtId="0" fontId="0" fillId="30" borderId="39" xfId="862" applyNumberFormat="1" applyFont="1" applyFill="1" applyBorder="1" applyAlignment="1">
      <alignment horizontal="center" vertical="center"/>
    </xf>
    <xf numFmtId="0" fontId="0" fillId="30" borderId="34" xfId="862" applyNumberFormat="1" applyFont="1" applyFill="1" applyBorder="1" applyAlignment="1">
      <alignment horizontal="center" vertical="center"/>
    </xf>
    <xf numFmtId="0" fontId="0" fillId="30" borderId="28" xfId="500" applyNumberFormat="1" applyFont="1" applyFill="1" applyBorder="1" applyAlignment="1">
      <alignment horizontal="centerContinuous" vertical="center"/>
    </xf>
    <xf numFmtId="0" fontId="0" fillId="30" borderId="36" xfId="0" applyNumberFormat="1" applyFont="1" applyFill="1" applyBorder="1" applyAlignment="1">
      <alignment horizontal="centerContinuous" vertical="center" wrapText="1"/>
    </xf>
    <xf numFmtId="0" fontId="0" fillId="30" borderId="37" xfId="0" applyNumberFormat="1" applyFont="1" applyFill="1" applyBorder="1" applyAlignment="1">
      <alignment horizontal="centerContinuous" vertical="center" wrapText="1"/>
    </xf>
    <xf numFmtId="0" fontId="0" fillId="30" borderId="35" xfId="0" applyNumberFormat="1" applyFont="1" applyFill="1" applyBorder="1" applyAlignment="1">
      <alignment horizontal="centerContinuous" vertical="center" wrapText="1"/>
    </xf>
    <xf numFmtId="0" fontId="0" fillId="30" borderId="2" xfId="500" applyNumberFormat="1" applyFont="1" applyFill="1" applyBorder="1" applyAlignment="1">
      <alignment horizontal="left" vertical="center"/>
    </xf>
    <xf numFmtId="0" fontId="0" fillId="30" borderId="28" xfId="500" applyNumberFormat="1" applyFont="1" applyFill="1" applyBorder="1" applyAlignment="1">
      <alignment horizontal="left" vertical="center"/>
    </xf>
    <xf numFmtId="0" fontId="0" fillId="30" borderId="37" xfId="500" applyNumberFormat="1" applyFont="1" applyFill="1" applyBorder="1" applyAlignment="1">
      <alignment horizontal="left" vertical="center"/>
    </xf>
    <xf numFmtId="0" fontId="0" fillId="30" borderId="4" xfId="500" applyNumberFormat="1" applyFont="1" applyFill="1" applyBorder="1" applyAlignment="1">
      <alignment horizontal="left" vertical="center"/>
    </xf>
    <xf numFmtId="0" fontId="0" fillId="30" borderId="5" xfId="500" applyNumberFormat="1" applyFont="1" applyFill="1" applyBorder="1" applyAlignment="1">
      <alignment horizontal="left" vertical="center"/>
    </xf>
    <xf numFmtId="0" fontId="0" fillId="30" borderId="33" xfId="500" applyNumberFormat="1" applyFont="1" applyFill="1" applyBorder="1" applyAlignment="1">
      <alignment horizontal="centerContinuous" vertical="center"/>
    </xf>
    <xf numFmtId="0" fontId="0" fillId="30" borderId="2" xfId="500" applyNumberFormat="1" applyFont="1" applyFill="1" applyBorder="1" applyAlignment="1">
      <alignment horizontal="centerContinuous" vertical="center"/>
    </xf>
    <xf numFmtId="0" fontId="0" fillId="30" borderId="39" xfId="500" applyNumberFormat="1" applyFont="1" applyFill="1" applyBorder="1" applyAlignment="1" quotePrefix="1">
      <alignment horizontal="left" vertical="center" shrinkToFit="1"/>
    </xf>
    <xf numFmtId="0" fontId="0" fillId="30" borderId="39" xfId="500" applyNumberFormat="1" applyFont="1" applyFill="1" applyBorder="1" applyAlignment="1">
      <alignment horizontal="left" vertical="center" shrinkToFit="1"/>
    </xf>
    <xf numFmtId="179" fontId="0" fillId="30" borderId="2" xfId="0" applyNumberFormat="1" applyFont="1" applyFill="1" applyBorder="1" applyAlignment="1">
      <alignment horizontal="right" vertical="center"/>
    </xf>
    <xf numFmtId="0" fontId="0" fillId="30" borderId="40" xfId="500" applyNumberFormat="1" applyFont="1" applyFill="1" applyBorder="1" applyAlignment="1">
      <alignment horizontal="distributed" vertical="center"/>
    </xf>
    <xf numFmtId="0" fontId="0" fillId="30" borderId="4" xfId="0" applyNumberFormat="1" applyFont="1" applyFill="1" applyBorder="1" applyAlignment="1">
      <alignment vertical="center"/>
    </xf>
    <xf numFmtId="0" fontId="0" fillId="30" borderId="39" xfId="0" applyNumberFormat="1" applyFont="1" applyFill="1" applyBorder="1" applyAlignment="1">
      <alignment vertical="center"/>
    </xf>
    <xf numFmtId="0" fontId="0" fillId="30" borderId="38" xfId="0" applyNumberFormat="1" applyFont="1" applyFill="1" applyBorder="1" applyAlignment="1">
      <alignment vertical="center"/>
    </xf>
    <xf numFmtId="0" fontId="1" fillId="30" borderId="0" xfId="500" applyNumberFormat="1" applyFont="1" applyFill="1" applyAlignment="1">
      <alignment horizontal="center" vertical="center"/>
    </xf>
    <xf numFmtId="0" fontId="1" fillId="30" borderId="0" xfId="0" applyNumberFormat="1" applyFont="1" applyFill="1" applyAlignment="1">
      <alignment horizontal="left" vertical="center"/>
    </xf>
    <xf numFmtId="0" fontId="0" fillId="30" borderId="2" xfId="500" applyNumberFormat="1" applyFont="1" applyFill="1" applyBorder="1" applyAlignment="1">
      <alignment vertical="center"/>
    </xf>
    <xf numFmtId="0" fontId="0" fillId="30" borderId="2" xfId="500" applyNumberFormat="1" applyFont="1" applyFill="1" applyBorder="1" applyAlignment="1">
      <alignment vertical="center" wrapText="1"/>
    </xf>
    <xf numFmtId="0" fontId="0" fillId="30" borderId="0" xfId="892" applyNumberFormat="1" applyFont="1" applyFill="1" applyBorder="1" applyAlignment="1">
      <alignment horizontal="left" vertical="center"/>
      <protection/>
    </xf>
    <xf numFmtId="183" fontId="0" fillId="30" borderId="2" xfId="500" applyNumberFormat="1" applyFont="1" applyFill="1" applyBorder="1" applyAlignment="1">
      <alignment horizontal="right" vertical="center"/>
    </xf>
    <xf numFmtId="183" fontId="0" fillId="30" borderId="33" xfId="500" applyNumberFormat="1" applyFont="1" applyFill="1" applyBorder="1" applyAlignment="1">
      <alignment horizontal="right" vertical="center"/>
    </xf>
    <xf numFmtId="179" fontId="0" fillId="30" borderId="28" xfId="500" applyNumberFormat="1" applyFont="1" applyFill="1" applyBorder="1" applyAlignment="1">
      <alignment horizontal="right" vertical="center"/>
    </xf>
    <xf numFmtId="183" fontId="0" fillId="30" borderId="28" xfId="500" applyNumberFormat="1" applyFont="1" applyFill="1" applyBorder="1" applyAlignment="1">
      <alignment horizontal="right" vertical="center"/>
    </xf>
    <xf numFmtId="0" fontId="0" fillId="30" borderId="28" xfId="500" applyNumberFormat="1" applyFont="1" applyFill="1" applyBorder="1" applyAlignment="1">
      <alignment vertical="center"/>
    </xf>
    <xf numFmtId="0" fontId="0" fillId="30" borderId="28" xfId="500" applyNumberFormat="1" applyFont="1" applyFill="1" applyBorder="1" applyAlignment="1">
      <alignment vertical="center" wrapText="1"/>
    </xf>
    <xf numFmtId="0" fontId="0" fillId="30" borderId="0" xfId="0" applyNumberFormat="1" applyFont="1" applyFill="1" applyAlignment="1" quotePrefix="1">
      <alignment horizontal="centerContinuous" vertical="center"/>
    </xf>
    <xf numFmtId="0" fontId="0" fillId="30" borderId="0" xfId="0" applyNumberFormat="1" applyFont="1" applyFill="1" applyBorder="1" applyAlignment="1" quotePrefix="1">
      <alignment horizontal="centerContinuous" vertical="center"/>
    </xf>
    <xf numFmtId="0" fontId="0" fillId="30" borderId="0" xfId="500" applyNumberFormat="1" applyFont="1" applyFill="1" applyAlignment="1">
      <alignment horizontal="centerContinuous" vertical="center"/>
    </xf>
    <xf numFmtId="0" fontId="0" fillId="30" borderId="0" xfId="0" applyNumberFormat="1" applyFont="1" applyFill="1" applyAlignment="1">
      <alignment horizontal="right" vertical="center"/>
    </xf>
    <xf numFmtId="0" fontId="0" fillId="30" borderId="36" xfId="891" applyNumberFormat="1" applyFont="1" applyFill="1" applyBorder="1" applyAlignment="1">
      <alignment horizontal="center" vertical="center"/>
      <protection/>
    </xf>
    <xf numFmtId="0" fontId="0" fillId="30" borderId="37" xfId="891" applyNumberFormat="1" applyFont="1" applyFill="1" applyBorder="1" applyAlignment="1">
      <alignment horizontal="center" vertical="center"/>
      <protection/>
    </xf>
    <xf numFmtId="0" fontId="0" fillId="30" borderId="37" xfId="891" applyNumberFormat="1" applyFont="1" applyFill="1" applyBorder="1" applyAlignment="1">
      <alignment horizontal="right" vertical="center"/>
      <protection/>
    </xf>
    <xf numFmtId="0" fontId="0" fillId="30" borderId="5" xfId="891" applyNumberFormat="1" applyFont="1" applyFill="1" applyBorder="1" applyAlignment="1">
      <alignment horizontal="left" vertical="center"/>
      <protection/>
    </xf>
    <xf numFmtId="0" fontId="0" fillId="30" borderId="40" xfId="891" applyNumberFormat="1" applyFont="1" applyFill="1" applyBorder="1" applyAlignment="1">
      <alignment vertical="center"/>
      <protection/>
    </xf>
    <xf numFmtId="0" fontId="0" fillId="30" borderId="28" xfId="0" applyNumberFormat="1" applyFont="1" applyFill="1" applyBorder="1" applyAlignment="1" quotePrefix="1">
      <alignment horizontal="distributed" vertical="center"/>
    </xf>
    <xf numFmtId="0" fontId="0" fillId="30" borderId="28" xfId="0" applyNumberFormat="1" applyFont="1" applyFill="1" applyBorder="1" applyAlignment="1" quotePrefix="1">
      <alignment horizontal="center" vertical="center"/>
    </xf>
    <xf numFmtId="0" fontId="0" fillId="30" borderId="5" xfId="0" applyNumberFormat="1" applyFont="1" applyFill="1" applyBorder="1" applyAlignment="1">
      <alignment horizontal="centerContinuous" vertical="center"/>
    </xf>
    <xf numFmtId="185" fontId="0" fillId="30" borderId="2" xfId="0" applyNumberFormat="1" applyFont="1" applyFill="1" applyBorder="1" applyAlignment="1">
      <alignment horizontal="right" vertical="center"/>
    </xf>
    <xf numFmtId="0" fontId="0" fillId="30" borderId="40" xfId="891" applyNumberFormat="1" applyFont="1" applyFill="1" applyBorder="1" applyAlignment="1">
      <alignment horizontal="left" vertical="center"/>
      <protection/>
    </xf>
    <xf numFmtId="0" fontId="0" fillId="30" borderId="40" xfId="0" applyNumberFormat="1" applyFont="1" applyFill="1" applyBorder="1" applyAlignment="1" quotePrefix="1">
      <alignment vertical="center"/>
    </xf>
    <xf numFmtId="0" fontId="0" fillId="30" borderId="28" xfId="0" applyNumberFormat="1" applyFont="1" applyFill="1" applyBorder="1" applyAlignment="1" quotePrefix="1">
      <alignment vertical="center"/>
    </xf>
    <xf numFmtId="0" fontId="0" fillId="30" borderId="28" xfId="500" applyNumberFormat="1" applyFont="1" applyFill="1" applyBorder="1" applyAlignment="1">
      <alignment horizontal="right" vertical="center"/>
    </xf>
    <xf numFmtId="0" fontId="0" fillId="30" borderId="37" xfId="500" applyNumberFormat="1" applyFont="1" applyFill="1" applyBorder="1" applyAlignment="1">
      <alignment horizontal="center" vertical="center"/>
    </xf>
    <xf numFmtId="0" fontId="0" fillId="30" borderId="40" xfId="50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Alignment="1">
      <alignment horizontal="centerContinuous" vertical="center"/>
    </xf>
    <xf numFmtId="41" fontId="0" fillId="30" borderId="33" xfId="500" applyFont="1" applyFill="1" applyBorder="1" applyAlignment="1">
      <alignment horizontal="left" vertical="center"/>
    </xf>
    <xf numFmtId="41" fontId="0" fillId="30" borderId="3" xfId="500" applyFont="1" applyFill="1" applyBorder="1" applyAlignment="1">
      <alignment horizontal="left" vertical="center" wrapText="1"/>
    </xf>
    <xf numFmtId="0" fontId="0" fillId="30" borderId="0" xfId="0" applyFont="1" applyFill="1" applyAlignment="1">
      <alignment horizontal="center" vertical="center"/>
    </xf>
    <xf numFmtId="41" fontId="0" fillId="30" borderId="0" xfId="500" applyFont="1" applyFill="1" applyAlignment="1">
      <alignment horizontal="left" vertical="center"/>
    </xf>
    <xf numFmtId="0" fontId="0" fillId="30" borderId="0" xfId="884" applyFont="1" applyFill="1" applyAlignment="1">
      <alignment horizontal="left" vertical="center"/>
      <protection/>
    </xf>
    <xf numFmtId="0" fontId="0" fillId="30" borderId="0" xfId="884" applyFont="1" applyFill="1" applyBorder="1" applyAlignment="1">
      <alignment horizontal="left" vertical="center"/>
      <protection/>
    </xf>
    <xf numFmtId="0" fontId="0" fillId="30" borderId="0" xfId="0" applyFont="1" applyFill="1" applyAlignment="1">
      <alignment horizontal="centerContinuous" vertical="center"/>
    </xf>
    <xf numFmtId="0" fontId="0" fillId="30" borderId="0" xfId="0" applyFont="1" applyFill="1" applyBorder="1" applyAlignment="1">
      <alignment horizontal="centerContinuous" vertical="center"/>
    </xf>
    <xf numFmtId="0" fontId="0" fillId="30" borderId="0" xfId="0" applyFont="1" applyFill="1" applyBorder="1" applyAlignment="1">
      <alignment horizontal="center" vertical="center"/>
    </xf>
    <xf numFmtId="0" fontId="0" fillId="30" borderId="3" xfId="500" applyNumberFormat="1" applyFont="1" applyFill="1" applyBorder="1" applyAlignment="1">
      <alignment horizontal="center" vertical="center" wrapText="1"/>
    </xf>
    <xf numFmtId="41" fontId="0" fillId="30" borderId="3" xfId="500" applyFont="1" applyFill="1" applyBorder="1" applyAlignment="1">
      <alignment horizontal="left" vertical="center"/>
    </xf>
    <xf numFmtId="41" fontId="0" fillId="30" borderId="3" xfId="500" applyFont="1" applyFill="1" applyBorder="1" applyAlignment="1">
      <alignment horizontal="left" vertical="center" wrapText="1" shrinkToFit="1"/>
    </xf>
    <xf numFmtId="0" fontId="0" fillId="0" borderId="0" xfId="884" applyNumberFormat="1" applyFont="1" applyBorder="1" applyAlignment="1" quotePrefix="1">
      <alignment horizontal="left" vertical="center"/>
      <protection/>
    </xf>
    <xf numFmtId="0" fontId="0" fillId="0" borderId="0" xfId="884" applyNumberFormat="1" applyFont="1" applyBorder="1" applyAlignment="1" quotePrefix="1">
      <alignment horizontal="center" vertical="center"/>
      <protection/>
    </xf>
    <xf numFmtId="0" fontId="0" fillId="0" borderId="0" xfId="884" applyNumberFormat="1" applyFont="1" applyBorder="1" applyAlignment="1">
      <alignment horizontal="left" vertical="center"/>
      <protection/>
    </xf>
    <xf numFmtId="0" fontId="22" fillId="0" borderId="0" xfId="892" applyNumberFormat="1" applyFont="1" applyAlignment="1">
      <alignment horizontal="centerContinuous" vertical="center"/>
      <protection/>
    </xf>
    <xf numFmtId="0" fontId="22" fillId="0" borderId="0" xfId="500" applyNumberFormat="1" applyFont="1" applyBorder="1" applyAlignment="1">
      <alignment horizontal="centerContinuous" vertical="center"/>
    </xf>
    <xf numFmtId="49" fontId="80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49" fontId="81" fillId="30" borderId="0" xfId="0" applyNumberFormat="1" applyFont="1" applyFill="1" applyAlignment="1">
      <alignment horizontal="left" vertical="center"/>
    </xf>
    <xf numFmtId="49" fontId="1" fillId="30" borderId="0" xfId="0" applyNumberFormat="1" applyFont="1" applyFill="1" applyAlignment="1">
      <alignment horizontal="right" vertical="center"/>
    </xf>
    <xf numFmtId="0" fontId="6" fillId="30" borderId="0" xfId="0" applyFont="1" applyFill="1" applyAlignment="1">
      <alignment/>
    </xf>
    <xf numFmtId="0" fontId="82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distributed" vertical="center"/>
    </xf>
    <xf numFmtId="229" fontId="80" fillId="0" borderId="0" xfId="0" applyNumberFormat="1" applyFont="1" applyAlignment="1">
      <alignment horizontal="right" vertical="center"/>
    </xf>
    <xf numFmtId="0" fontId="80" fillId="0" borderId="0" xfId="0" applyNumberFormat="1" applyFont="1" applyAlignment="1">
      <alignment vertical="center"/>
    </xf>
    <xf numFmtId="0" fontId="84" fillId="0" borderId="0" xfId="0" applyFont="1" applyAlignment="1">
      <alignment vertical="center"/>
    </xf>
    <xf numFmtId="0" fontId="0" fillId="30" borderId="35" xfId="884" applyNumberFormat="1" applyFont="1" applyFill="1" applyBorder="1" applyAlignment="1">
      <alignment horizontal="center" vertical="center" wrapText="1"/>
      <protection/>
    </xf>
    <xf numFmtId="0" fontId="0" fillId="30" borderId="4" xfId="0" applyNumberFormat="1" applyFont="1" applyFill="1" applyBorder="1" applyAlignment="1">
      <alignment horizontal="left" vertical="center"/>
    </xf>
    <xf numFmtId="0" fontId="0" fillId="30" borderId="40" xfId="0" applyNumberFormat="1" applyFont="1" applyFill="1" applyBorder="1" applyAlignment="1">
      <alignment horizontal="distributed" vertical="center" wrapText="1"/>
    </xf>
    <xf numFmtId="0" fontId="0" fillId="30" borderId="39" xfId="884" applyNumberFormat="1" applyFont="1" applyFill="1" applyBorder="1" applyAlignment="1">
      <alignment horizontal="center" vertical="center" wrapText="1"/>
      <protection/>
    </xf>
    <xf numFmtId="0" fontId="0" fillId="30" borderId="0" xfId="0" applyNumberFormat="1" applyFont="1" applyFill="1" applyBorder="1" applyAlignment="1">
      <alignment horizontal="distributed" vertical="center" wrapText="1"/>
    </xf>
    <xf numFmtId="0" fontId="0" fillId="30" borderId="28" xfId="889" applyNumberFormat="1" applyFont="1" applyFill="1" applyBorder="1" applyAlignment="1">
      <alignment horizontal="center" vertical="center"/>
      <protection/>
    </xf>
    <xf numFmtId="179" fontId="0" fillId="30" borderId="38" xfId="0" applyNumberFormat="1" applyFont="1" applyFill="1" applyBorder="1" applyAlignment="1">
      <alignment horizontal="right" vertical="center" shrinkToFit="1"/>
    </xf>
    <xf numFmtId="179" fontId="0" fillId="30" borderId="39" xfId="500" applyNumberFormat="1" applyFont="1" applyFill="1" applyBorder="1" applyAlignment="1">
      <alignment horizontal="right" vertical="center" shrinkToFit="1"/>
    </xf>
    <xf numFmtId="179" fontId="0" fillId="30" borderId="38" xfId="500" applyNumberFormat="1" applyFont="1" applyFill="1" applyBorder="1" applyAlignment="1">
      <alignment horizontal="right" vertical="center" shrinkToFit="1"/>
    </xf>
    <xf numFmtId="179" fontId="0" fillId="30" borderId="22" xfId="0" applyNumberFormat="1" applyFont="1" applyFill="1" applyBorder="1" applyAlignment="1">
      <alignment horizontal="right" vertical="center" shrinkToFit="1"/>
    </xf>
    <xf numFmtId="179" fontId="0" fillId="30" borderId="34" xfId="0" applyNumberFormat="1" applyFont="1" applyFill="1" applyBorder="1" applyAlignment="1">
      <alignment horizontal="right" vertical="center" shrinkToFit="1"/>
    </xf>
    <xf numFmtId="186" fontId="0" fillId="30" borderId="34" xfId="500" applyNumberFormat="1" applyFont="1" applyFill="1" applyBorder="1" applyAlignment="1">
      <alignment horizontal="center" vertical="center" shrinkToFit="1"/>
    </xf>
    <xf numFmtId="179" fontId="0" fillId="30" borderId="22" xfId="500" applyNumberFormat="1" applyFont="1" applyFill="1" applyBorder="1" applyAlignment="1">
      <alignment horizontal="right" vertical="center" shrinkToFit="1"/>
    </xf>
    <xf numFmtId="179" fontId="0" fillId="30" borderId="3" xfId="0" applyNumberFormat="1" applyFont="1" applyFill="1" applyBorder="1" applyAlignment="1">
      <alignment horizontal="right" vertical="center" shrinkToFit="1"/>
    </xf>
    <xf numFmtId="179" fontId="0" fillId="30" borderId="3" xfId="500" applyNumberFormat="1" applyFont="1" applyFill="1" applyBorder="1" applyAlignment="1">
      <alignment horizontal="right" vertical="center" shrinkToFit="1"/>
    </xf>
    <xf numFmtId="179" fontId="0" fillId="30" borderId="33" xfId="500" applyNumberFormat="1" applyFont="1" applyFill="1" applyBorder="1" applyAlignment="1">
      <alignment horizontal="right" vertical="center" shrinkToFit="1"/>
    </xf>
    <xf numFmtId="186" fontId="0" fillId="30" borderId="39" xfId="500" applyNumberFormat="1" applyFont="1" applyFill="1" applyBorder="1" applyAlignment="1">
      <alignment horizontal="right" vertical="center" shrinkToFit="1"/>
    </xf>
    <xf numFmtId="0" fontId="0" fillId="30" borderId="2" xfId="500" applyNumberFormat="1" applyFont="1" applyFill="1" applyBorder="1" applyAlignment="1">
      <alignment horizontal="left" vertical="center"/>
    </xf>
    <xf numFmtId="0" fontId="0" fillId="30" borderId="28" xfId="500" applyNumberFormat="1" applyFont="1" applyFill="1" applyBorder="1" applyAlignment="1">
      <alignment horizontal="distributed" vertical="center"/>
    </xf>
    <xf numFmtId="41" fontId="0" fillId="30" borderId="33" xfId="500" applyFont="1" applyFill="1" applyBorder="1" applyAlignment="1">
      <alignment horizontal="left" vertical="center"/>
    </xf>
    <xf numFmtId="41" fontId="0" fillId="30" borderId="3" xfId="500" applyFont="1" applyFill="1" applyBorder="1" applyAlignment="1">
      <alignment horizontal="left" vertical="center" wrapText="1"/>
    </xf>
    <xf numFmtId="41" fontId="0" fillId="30" borderId="3" xfId="500" applyFont="1" applyFill="1" applyBorder="1" applyAlignment="1">
      <alignment horizontal="left" vertical="center"/>
    </xf>
    <xf numFmtId="0" fontId="0" fillId="30" borderId="0" xfId="0" applyFont="1" applyFill="1" applyAlignment="1">
      <alignment horizontal="center" vertical="center"/>
    </xf>
    <xf numFmtId="0" fontId="0" fillId="30" borderId="0" xfId="881" applyFont="1" applyFill="1" applyBorder="1" applyAlignment="1">
      <alignment vertical="center"/>
      <protection/>
    </xf>
    <xf numFmtId="180" fontId="0" fillId="30" borderId="0" xfId="884" applyNumberFormat="1" applyFont="1" applyFill="1" applyAlignment="1">
      <alignment vertical="center"/>
      <protection/>
    </xf>
    <xf numFmtId="41" fontId="0" fillId="30" borderId="0" xfId="863" applyFont="1" applyFill="1" applyAlignment="1">
      <alignment horizontal="center" vertical="center"/>
    </xf>
    <xf numFmtId="0" fontId="0" fillId="30" borderId="0" xfId="884" applyFont="1" applyFill="1" applyAlignment="1">
      <alignment horizontal="distributed" vertical="center"/>
      <protection/>
    </xf>
    <xf numFmtId="41" fontId="0" fillId="30" borderId="0" xfId="863" applyNumberFormat="1" applyFont="1" applyFill="1" applyAlignment="1">
      <alignment horizontal="center" vertical="center"/>
    </xf>
    <xf numFmtId="0" fontId="1" fillId="30" borderId="0" xfId="884" applyFont="1" applyFill="1" applyBorder="1" applyAlignment="1">
      <alignment horizontal="centerContinuous" vertical="center"/>
      <protection/>
    </xf>
    <xf numFmtId="0" fontId="0" fillId="30" borderId="0" xfId="884" applyFont="1" applyFill="1" applyBorder="1" applyAlignment="1">
      <alignment horizontal="centerContinuous" vertical="center"/>
      <protection/>
    </xf>
    <xf numFmtId="0" fontId="0" fillId="30" borderId="0" xfId="884" applyFont="1" applyFill="1" applyAlignment="1">
      <alignment horizontal="centerContinuous" vertical="center"/>
      <protection/>
    </xf>
    <xf numFmtId="41" fontId="0" fillId="30" borderId="0" xfId="863" applyFont="1" applyFill="1" applyBorder="1" applyAlignment="1">
      <alignment horizontal="centerContinuous" vertical="center"/>
    </xf>
    <xf numFmtId="0" fontId="0" fillId="30" borderId="0" xfId="884" applyFont="1" applyFill="1" applyBorder="1" applyAlignment="1">
      <alignment horizontal="distributed" vertical="center"/>
      <protection/>
    </xf>
    <xf numFmtId="41" fontId="0" fillId="30" borderId="0" xfId="863" applyFont="1" applyFill="1" applyBorder="1" applyAlignment="1">
      <alignment horizontal="center" vertical="center"/>
    </xf>
    <xf numFmtId="179" fontId="0" fillId="30" borderId="0" xfId="863" applyNumberFormat="1" applyFont="1" applyFill="1" applyAlignment="1">
      <alignment horizontal="right" vertical="center"/>
    </xf>
    <xf numFmtId="41" fontId="0" fillId="30" borderId="2" xfId="863" applyFont="1" applyFill="1" applyBorder="1" applyAlignment="1">
      <alignment horizontal="center" vertical="center"/>
    </xf>
    <xf numFmtId="0" fontId="0" fillId="30" borderId="28" xfId="884" applyFont="1" applyFill="1" applyBorder="1" applyAlignment="1">
      <alignment horizontal="center" vertical="center"/>
      <protection/>
    </xf>
    <xf numFmtId="41" fontId="0" fillId="30" borderId="33" xfId="863" applyFont="1" applyFill="1" applyBorder="1" applyAlignment="1">
      <alignment horizontal="center" vertical="center"/>
    </xf>
    <xf numFmtId="41" fontId="0" fillId="30" borderId="33" xfId="863" applyFont="1" applyFill="1" applyBorder="1" applyAlignment="1" quotePrefix="1">
      <alignment horizontal="centerContinuous" vertical="center" shrinkToFit="1"/>
    </xf>
    <xf numFmtId="41" fontId="0" fillId="30" borderId="28" xfId="863" applyFont="1" applyFill="1" applyBorder="1" applyAlignment="1">
      <alignment horizontal="center" vertical="center"/>
    </xf>
    <xf numFmtId="41" fontId="0" fillId="30" borderId="4" xfId="863" applyFont="1" applyFill="1" applyBorder="1" applyAlignment="1">
      <alignment horizontal="center" vertical="center"/>
    </xf>
    <xf numFmtId="0" fontId="0" fillId="30" borderId="0" xfId="884" applyFont="1" applyFill="1" applyAlignment="1">
      <alignment horizontal="left" vertical="center" shrinkToFit="1"/>
      <protection/>
    </xf>
    <xf numFmtId="41" fontId="0" fillId="30" borderId="41" xfId="863" applyFont="1" applyFill="1" applyBorder="1" applyAlignment="1">
      <alignment horizontal="center" vertical="center"/>
    </xf>
    <xf numFmtId="41" fontId="0" fillId="30" borderId="39" xfId="863" applyFont="1" applyFill="1" applyBorder="1" applyAlignment="1">
      <alignment horizontal="center" vertical="center"/>
    </xf>
    <xf numFmtId="49" fontId="0" fillId="30" borderId="0" xfId="863" applyNumberFormat="1" applyFont="1" applyFill="1" applyAlignment="1">
      <alignment horizontal="center" vertical="center"/>
    </xf>
    <xf numFmtId="49" fontId="0" fillId="30" borderId="39" xfId="863" applyNumberFormat="1" applyFont="1" applyFill="1" applyBorder="1" applyAlignment="1">
      <alignment horizontal="center" vertical="center"/>
    </xf>
    <xf numFmtId="0" fontId="0" fillId="30" borderId="0" xfId="884" applyFont="1" applyFill="1" applyAlignment="1">
      <alignment horizontal="left" vertical="center" wrapText="1" shrinkToFit="1"/>
      <protection/>
    </xf>
    <xf numFmtId="49" fontId="0" fillId="30" borderId="38" xfId="863" applyNumberFormat="1" applyFont="1" applyFill="1" applyBorder="1" applyAlignment="1">
      <alignment horizontal="center" vertical="center"/>
    </xf>
    <xf numFmtId="41" fontId="0" fillId="30" borderId="5" xfId="863" applyFont="1" applyFill="1" applyBorder="1" applyAlignment="1">
      <alignment horizontal="center" vertical="center"/>
    </xf>
    <xf numFmtId="0" fontId="0" fillId="30" borderId="40" xfId="884" applyFont="1" applyFill="1" applyBorder="1" applyAlignment="1">
      <alignment horizontal="distributed" vertical="center"/>
      <protection/>
    </xf>
    <xf numFmtId="41" fontId="0" fillId="30" borderId="40" xfId="863" applyFont="1" applyFill="1" applyBorder="1" applyAlignment="1">
      <alignment horizontal="center" vertical="center"/>
    </xf>
    <xf numFmtId="49" fontId="0" fillId="30" borderId="22" xfId="863" applyNumberFormat="1" applyFont="1" applyFill="1" applyBorder="1" applyAlignment="1">
      <alignment horizontal="right" vertical="center"/>
    </xf>
    <xf numFmtId="41" fontId="0" fillId="30" borderId="34" xfId="863" applyFont="1" applyFill="1" applyBorder="1" applyAlignment="1">
      <alignment horizontal="center" vertical="center"/>
    </xf>
    <xf numFmtId="49" fontId="0" fillId="30" borderId="34" xfId="863" applyNumberFormat="1" applyFont="1" applyFill="1" applyBorder="1" applyAlignment="1">
      <alignment horizontal="right" vertical="center"/>
    </xf>
    <xf numFmtId="0" fontId="0" fillId="30" borderId="0" xfId="884" applyFont="1" applyFill="1" applyBorder="1" applyAlignment="1">
      <alignment horizontal="left" vertical="center"/>
      <protection/>
    </xf>
    <xf numFmtId="186" fontId="0" fillId="30" borderId="34" xfId="500" applyNumberFormat="1" applyFont="1" applyFill="1" applyBorder="1" applyAlignment="1">
      <alignment horizontal="right" vertical="center" shrinkToFit="1"/>
    </xf>
    <xf numFmtId="0" fontId="0" fillId="30" borderId="4" xfId="500" applyNumberFormat="1" applyFont="1" applyFill="1" applyBorder="1" applyAlignment="1">
      <alignment horizontal="right" vertical="center"/>
    </xf>
    <xf numFmtId="0" fontId="0" fillId="30" borderId="5" xfId="500" applyNumberFormat="1" applyFont="1" applyFill="1" applyBorder="1" applyAlignment="1">
      <alignment horizontal="right" vertical="center"/>
    </xf>
    <xf numFmtId="0" fontId="0" fillId="30" borderId="35" xfId="0" applyNumberFormat="1" applyFont="1" applyFill="1" applyBorder="1" applyAlignment="1">
      <alignment horizontal="left" vertical="center"/>
    </xf>
    <xf numFmtId="0" fontId="0" fillId="30" borderId="37" xfId="0" applyNumberFormat="1" applyFont="1" applyFill="1" applyBorder="1" applyAlignment="1">
      <alignment horizontal="left" vertical="center"/>
    </xf>
    <xf numFmtId="0" fontId="0" fillId="30" borderId="35" xfId="500" applyNumberFormat="1" applyFont="1" applyFill="1" applyBorder="1" applyAlignment="1" quotePrefix="1">
      <alignment horizontal="left" vertical="center" shrinkToFit="1"/>
    </xf>
    <xf numFmtId="0" fontId="0" fillId="30" borderId="40" xfId="500" applyNumberFormat="1" applyFont="1" applyFill="1" applyBorder="1" applyAlignment="1">
      <alignment horizontal="left" vertical="center"/>
    </xf>
    <xf numFmtId="0" fontId="0" fillId="30" borderId="34" xfId="0" applyNumberFormat="1" applyFont="1" applyFill="1" applyBorder="1" applyAlignment="1">
      <alignment horizontal="left" vertical="center"/>
    </xf>
    <xf numFmtId="0" fontId="0" fillId="30" borderId="40" xfId="0" applyNumberFormat="1" applyFont="1" applyFill="1" applyBorder="1" applyAlignment="1">
      <alignment horizontal="left" vertical="center"/>
    </xf>
    <xf numFmtId="0" fontId="0" fillId="30" borderId="34" xfId="500" applyNumberFormat="1" applyFont="1" applyFill="1" applyBorder="1" applyAlignment="1" quotePrefix="1">
      <alignment horizontal="left" vertical="center" shrinkToFit="1"/>
    </xf>
    <xf numFmtId="0" fontId="0" fillId="0" borderId="0" xfId="884" applyNumberFormat="1" applyFont="1" applyAlignment="1">
      <alignment horizontal="left" vertical="center"/>
      <protection/>
    </xf>
    <xf numFmtId="0" fontId="0" fillId="0" borderId="0" xfId="884" applyNumberFormat="1" applyFont="1" applyAlignment="1" quotePrefix="1">
      <alignment horizontal="left" vertical="center"/>
      <protection/>
    </xf>
    <xf numFmtId="0" fontId="0" fillId="0" borderId="0" xfId="884" applyNumberFormat="1" applyFont="1" applyAlignment="1">
      <alignment vertical="center"/>
      <protection/>
    </xf>
    <xf numFmtId="0" fontId="0" fillId="0" borderId="0" xfId="884" applyNumberFormat="1" applyFont="1" applyBorder="1" applyAlignment="1">
      <alignment vertical="center"/>
      <protection/>
    </xf>
    <xf numFmtId="0" fontId="0" fillId="0" borderId="0" xfId="863" applyNumberFormat="1" applyFont="1" applyAlignment="1">
      <alignment vertical="center"/>
    </xf>
    <xf numFmtId="0" fontId="0" fillId="0" borderId="0" xfId="884" applyNumberFormat="1" applyFont="1" applyBorder="1" applyAlignment="1" quotePrefix="1">
      <alignment horizontal="left" vertical="center"/>
      <protection/>
    </xf>
    <xf numFmtId="0" fontId="0" fillId="0" borderId="0" xfId="884" applyNumberFormat="1" applyFont="1" applyBorder="1" applyAlignment="1" quotePrefix="1">
      <alignment horizontal="center" vertical="center"/>
      <protection/>
    </xf>
    <xf numFmtId="0" fontId="0" fillId="0" borderId="0" xfId="884" applyNumberFormat="1" applyFont="1" applyBorder="1" applyAlignment="1">
      <alignment horizontal="left" vertical="center"/>
      <protection/>
    </xf>
    <xf numFmtId="0" fontId="0" fillId="0" borderId="0" xfId="863" applyNumberFormat="1" applyFont="1" applyBorder="1" applyAlignment="1" quotePrefix="1">
      <alignment horizontal="center" vertical="center"/>
    </xf>
    <xf numFmtId="0" fontId="0" fillId="0" borderId="5" xfId="884" applyNumberFormat="1" applyFont="1" applyBorder="1" applyAlignment="1">
      <alignment vertical="center"/>
      <protection/>
    </xf>
    <xf numFmtId="0" fontId="0" fillId="0" borderId="4" xfId="884" applyNumberFormat="1" applyFont="1" applyBorder="1" applyAlignment="1">
      <alignment vertical="center"/>
      <protection/>
    </xf>
    <xf numFmtId="0" fontId="0" fillId="0" borderId="0" xfId="884" applyNumberFormat="1" applyFont="1" applyBorder="1" applyAlignment="1">
      <alignment horizontal="center" vertical="center"/>
      <protection/>
    </xf>
    <xf numFmtId="0" fontId="0" fillId="0" borderId="4" xfId="884" applyNumberFormat="1" applyFont="1" applyBorder="1" applyAlignment="1">
      <alignment horizontal="center" vertical="center"/>
      <protection/>
    </xf>
    <xf numFmtId="0" fontId="0" fillId="0" borderId="39" xfId="884" applyNumberFormat="1" applyFont="1" applyBorder="1" applyAlignment="1">
      <alignment horizontal="center" vertical="center"/>
      <protection/>
    </xf>
    <xf numFmtId="0" fontId="0" fillId="0" borderId="38" xfId="863" applyNumberFormat="1" applyFont="1" applyBorder="1" applyAlignment="1">
      <alignment horizontal="center" vertical="center"/>
    </xf>
    <xf numFmtId="0" fontId="0" fillId="0" borderId="39" xfId="884" applyNumberFormat="1" applyFont="1" applyBorder="1" applyAlignment="1">
      <alignment vertical="center"/>
      <protection/>
    </xf>
    <xf numFmtId="0" fontId="0" fillId="0" borderId="0" xfId="0" applyNumberFormat="1" applyFont="1" applyBorder="1" applyAlignment="1">
      <alignment horizontal="distributed" vertical="center"/>
    </xf>
    <xf numFmtId="179" fontId="0" fillId="0" borderId="38" xfId="500" applyNumberFormat="1" applyFont="1" applyBorder="1" applyAlignment="1">
      <alignment horizontal="right" vertical="center"/>
    </xf>
    <xf numFmtId="0" fontId="0" fillId="0" borderId="40" xfId="0" applyNumberFormat="1" applyFont="1" applyBorder="1" applyAlignment="1">
      <alignment horizontal="distributed" vertical="center"/>
    </xf>
    <xf numFmtId="0" fontId="0" fillId="0" borderId="40" xfId="884" applyNumberFormat="1" applyFont="1" applyBorder="1" applyAlignment="1">
      <alignment vertical="center"/>
      <protection/>
    </xf>
    <xf numFmtId="0" fontId="0" fillId="0" borderId="34" xfId="884" applyNumberFormat="1" applyFont="1" applyBorder="1" applyAlignment="1">
      <alignment vertical="center"/>
      <protection/>
    </xf>
    <xf numFmtId="179" fontId="0" fillId="0" borderId="40" xfId="884" applyNumberFormat="1" applyFont="1" applyBorder="1" applyAlignment="1">
      <alignment horizontal="center" vertical="center"/>
      <protection/>
    </xf>
    <xf numFmtId="179" fontId="0" fillId="0" borderId="22" xfId="884" applyNumberFormat="1" applyFont="1" applyBorder="1" applyAlignment="1">
      <alignment horizontal="right" vertical="center"/>
      <protection/>
    </xf>
    <xf numFmtId="0" fontId="0" fillId="0" borderId="2" xfId="884" applyNumberFormat="1" applyFont="1" applyBorder="1" applyAlignment="1">
      <alignment vertical="center"/>
      <protection/>
    </xf>
    <xf numFmtId="0" fontId="0" fillId="0" borderId="28" xfId="884" applyNumberFormat="1" applyFont="1" applyBorder="1" applyAlignment="1">
      <alignment horizontal="center" vertical="center"/>
      <protection/>
    </xf>
    <xf numFmtId="0" fontId="0" fillId="0" borderId="2" xfId="884" applyNumberFormat="1" applyFont="1" applyBorder="1" applyAlignment="1">
      <alignment horizontal="center" vertical="center"/>
      <protection/>
    </xf>
    <xf numFmtId="0" fontId="0" fillId="0" borderId="33" xfId="884" applyNumberFormat="1" applyFont="1" applyBorder="1" applyAlignment="1">
      <alignment horizontal="center" vertical="center"/>
      <protection/>
    </xf>
    <xf numFmtId="0" fontId="0" fillId="0" borderId="3" xfId="863" applyNumberFormat="1" applyFont="1" applyBorder="1" applyAlignment="1">
      <alignment horizontal="center" vertical="center"/>
    </xf>
    <xf numFmtId="0" fontId="0" fillId="0" borderId="2" xfId="884" applyNumberFormat="1" applyFont="1" applyBorder="1" applyAlignment="1">
      <alignment horizontal="centerContinuous" vertical="center" wrapText="1"/>
      <protection/>
    </xf>
    <xf numFmtId="0" fontId="0" fillId="0" borderId="4" xfId="884" applyNumberFormat="1" applyFont="1" applyBorder="1" applyAlignment="1">
      <alignment horizontal="centerContinuous" vertical="center"/>
      <protection/>
    </xf>
    <xf numFmtId="179" fontId="0" fillId="0" borderId="4" xfId="500" applyNumberFormat="1" applyFont="1" applyBorder="1" applyAlignment="1">
      <alignment horizontal="right" vertical="center"/>
    </xf>
    <xf numFmtId="179" fontId="0" fillId="0" borderId="5" xfId="500" applyNumberFormat="1" applyFont="1" applyBorder="1" applyAlignment="1">
      <alignment horizontal="right" vertical="center"/>
    </xf>
    <xf numFmtId="0" fontId="0" fillId="0" borderId="39" xfId="884" applyNumberFormat="1" applyFont="1" applyBorder="1" applyAlignment="1">
      <alignment horizontal="centerContinuous" vertical="center"/>
      <protection/>
    </xf>
    <xf numFmtId="0" fontId="0" fillId="0" borderId="33" xfId="884" applyNumberFormat="1" applyFont="1" applyBorder="1" applyAlignment="1">
      <alignment horizontal="centerContinuous" vertical="center" wrapText="1"/>
      <protection/>
    </xf>
    <xf numFmtId="179" fontId="0" fillId="0" borderId="39" xfId="500" applyNumberFormat="1" applyFont="1" applyBorder="1" applyAlignment="1">
      <alignment horizontal="right" vertical="center"/>
    </xf>
    <xf numFmtId="179" fontId="0" fillId="0" borderId="34" xfId="500" applyNumberFormat="1" applyFont="1" applyBorder="1" applyAlignment="1">
      <alignment horizontal="right" vertical="center"/>
    </xf>
    <xf numFmtId="0" fontId="0" fillId="0" borderId="33" xfId="884" applyNumberFormat="1" applyFont="1" applyBorder="1" applyAlignment="1">
      <alignment horizontal="center" vertical="center" wrapText="1"/>
      <protection/>
    </xf>
    <xf numFmtId="0" fontId="0" fillId="0" borderId="2" xfId="863" applyNumberFormat="1" applyFont="1" applyBorder="1" applyAlignment="1">
      <alignment horizontal="centerContinuous" vertical="center"/>
    </xf>
    <xf numFmtId="0" fontId="0" fillId="0" borderId="4" xfId="863" applyNumberFormat="1" applyFont="1" applyBorder="1" applyAlignment="1">
      <alignment horizontal="center" vertical="center"/>
    </xf>
    <xf numFmtId="179" fontId="0" fillId="0" borderId="5" xfId="884" applyNumberFormat="1" applyFont="1" applyBorder="1" applyAlignment="1">
      <alignment horizontal="right" vertical="center"/>
      <protection/>
    </xf>
    <xf numFmtId="0" fontId="0" fillId="0" borderId="0" xfId="863" applyNumberFormat="1" applyFont="1" applyBorder="1" applyAlignment="1">
      <alignment vertical="center"/>
    </xf>
    <xf numFmtId="0" fontId="0" fillId="0" borderId="33" xfId="863" applyNumberFormat="1" applyFont="1" applyBorder="1" applyAlignment="1">
      <alignment horizontal="centerContinuous" vertical="center"/>
    </xf>
    <xf numFmtId="0" fontId="0" fillId="0" borderId="39" xfId="863" applyNumberFormat="1" applyFont="1" applyBorder="1" applyAlignment="1">
      <alignment horizontal="center" vertical="center"/>
    </xf>
    <xf numFmtId="179" fontId="0" fillId="0" borderId="34" xfId="884" applyNumberFormat="1" applyFont="1" applyBorder="1" applyAlignment="1">
      <alignment horizontal="right" vertical="center"/>
      <protection/>
    </xf>
    <xf numFmtId="185" fontId="0" fillId="0" borderId="0" xfId="884" applyNumberFormat="1" applyFont="1" applyAlignment="1">
      <alignment horizontal="center" vertical="center"/>
      <protection/>
    </xf>
    <xf numFmtId="0" fontId="0" fillId="30" borderId="23" xfId="880" applyNumberFormat="1" applyFont="1" applyFill="1" applyBorder="1" applyAlignment="1">
      <alignment horizontal="center" shrinkToFit="1"/>
      <protection/>
    </xf>
    <xf numFmtId="0" fontId="0" fillId="30" borderId="0" xfId="890" applyNumberFormat="1" applyFont="1" applyFill="1" applyBorder="1" applyAlignment="1">
      <alignment horizontal="centerContinuous" vertical="center"/>
      <protection/>
    </xf>
    <xf numFmtId="0" fontId="0" fillId="30" borderId="40" xfId="890" applyNumberFormat="1" applyFont="1" applyFill="1" applyBorder="1" applyAlignment="1">
      <alignment horizontal="centerContinuous" vertical="center"/>
      <protection/>
    </xf>
    <xf numFmtId="0" fontId="0" fillId="30" borderId="40" xfId="890" applyNumberFormat="1" applyFont="1" applyFill="1" applyBorder="1" applyAlignment="1">
      <alignment horizontal="distributed" vertical="center"/>
      <protection/>
    </xf>
    <xf numFmtId="0" fontId="0" fillId="30" borderId="23" xfId="500" applyNumberFormat="1" applyFont="1" applyFill="1" applyBorder="1" applyAlignment="1">
      <alignment horizontal="center" shrinkToFit="1"/>
    </xf>
    <xf numFmtId="0" fontId="0" fillId="30" borderId="22" xfId="500" applyNumberFormat="1" applyFont="1" applyFill="1" applyBorder="1" applyAlignment="1">
      <alignment horizontal="center" vertical="top" shrinkToFit="1"/>
    </xf>
    <xf numFmtId="179" fontId="0" fillId="30" borderId="0" xfId="0" applyNumberFormat="1" applyFont="1" applyFill="1" applyAlignment="1">
      <alignment horizontal="center" vertical="center"/>
    </xf>
    <xf numFmtId="0" fontId="0" fillId="30" borderId="28" xfId="884" applyFont="1" applyFill="1" applyBorder="1" applyAlignment="1">
      <alignment horizontal="left" vertical="center" shrinkToFit="1"/>
      <protection/>
    </xf>
    <xf numFmtId="49" fontId="0" fillId="30" borderId="33" xfId="863" applyNumberFormat="1" applyFont="1" applyFill="1" applyBorder="1" applyAlignment="1">
      <alignment horizontal="center" vertical="center"/>
    </xf>
    <xf numFmtId="179" fontId="0" fillId="0" borderId="0" xfId="884" applyNumberFormat="1" applyFont="1" applyAlignment="1">
      <alignment horizontal="center" vertical="center"/>
      <protection/>
    </xf>
    <xf numFmtId="0" fontId="0" fillId="30" borderId="33" xfId="500" applyNumberFormat="1" applyFont="1" applyFill="1" applyBorder="1" applyAlignment="1">
      <alignment horizontal="left" vertical="center"/>
    </xf>
    <xf numFmtId="179" fontId="0" fillId="30" borderId="38" xfId="500" applyNumberFormat="1" applyFont="1" applyFill="1" applyBorder="1" applyAlignment="1">
      <alignment horizontal="center" vertical="center"/>
    </xf>
    <xf numFmtId="0" fontId="0" fillId="30" borderId="0" xfId="500" applyNumberFormat="1" applyFont="1" applyFill="1" applyBorder="1" applyAlignment="1">
      <alignment horizontal="distributed" vertical="center"/>
    </xf>
    <xf numFmtId="0" fontId="0" fillId="30" borderId="39" xfId="500" applyNumberFormat="1" applyFont="1" applyFill="1" applyBorder="1" applyAlignment="1">
      <alignment horizontal="left" vertical="center"/>
    </xf>
    <xf numFmtId="0" fontId="0" fillId="30" borderId="38" xfId="500" applyNumberFormat="1" applyFont="1" applyFill="1" applyBorder="1" applyAlignment="1">
      <alignment horizontal="center" vertical="center"/>
    </xf>
    <xf numFmtId="179" fontId="0" fillId="30" borderId="38" xfId="500" applyNumberFormat="1" applyFont="1" applyFill="1" applyBorder="1" applyAlignment="1">
      <alignment horizontal="right" vertical="center"/>
    </xf>
    <xf numFmtId="0" fontId="0" fillId="30" borderId="0" xfId="879" applyNumberFormat="1" applyFont="1" applyFill="1" applyAlignment="1">
      <alignment vertical="center"/>
      <protection/>
    </xf>
    <xf numFmtId="0" fontId="0" fillId="30" borderId="0" xfId="879" applyNumberFormat="1" applyFont="1" applyFill="1" applyBorder="1" applyAlignment="1">
      <alignment vertical="center"/>
      <protection/>
    </xf>
    <xf numFmtId="0" fontId="1" fillId="30" borderId="0" xfId="878" applyNumberFormat="1" applyFont="1" applyFill="1" applyAlignment="1">
      <alignment horizontal="centerContinuous" vertical="center"/>
      <protection/>
    </xf>
    <xf numFmtId="0" fontId="0" fillId="30" borderId="0" xfId="878" applyNumberFormat="1" applyFont="1" applyFill="1" applyBorder="1" applyAlignment="1">
      <alignment horizontal="centerContinuous" vertical="center"/>
      <protection/>
    </xf>
    <xf numFmtId="0" fontId="0" fillId="30" borderId="0" xfId="878" applyNumberFormat="1" applyFont="1" applyFill="1" applyAlignment="1">
      <alignment horizontal="centerContinuous" vertical="center"/>
      <protection/>
    </xf>
    <xf numFmtId="0" fontId="0" fillId="30" borderId="0" xfId="500" applyNumberFormat="1" applyFont="1" applyFill="1" applyBorder="1" applyAlignment="1">
      <alignment horizontal="center" vertical="center"/>
    </xf>
    <xf numFmtId="0" fontId="0" fillId="30" borderId="0" xfId="500" applyNumberFormat="1" applyFont="1" applyFill="1" applyAlignment="1" quotePrefix="1">
      <alignment horizontal="centerContinuous" vertical="center"/>
    </xf>
    <xf numFmtId="0" fontId="0" fillId="30" borderId="0" xfId="500" applyNumberFormat="1" applyFont="1" applyFill="1" applyBorder="1" applyAlignment="1">
      <alignment horizontal="centerContinuous" vertical="center"/>
    </xf>
    <xf numFmtId="0" fontId="0" fillId="30" borderId="0" xfId="878" applyNumberFormat="1" applyFont="1" applyFill="1" applyAlignment="1">
      <alignment horizontal="left" vertical="center"/>
      <protection/>
    </xf>
    <xf numFmtId="0" fontId="0" fillId="30" borderId="0" xfId="878" applyNumberFormat="1" applyFont="1" applyFill="1" applyBorder="1" applyAlignment="1">
      <alignment horizontal="left" vertical="center"/>
      <protection/>
    </xf>
    <xf numFmtId="0" fontId="0" fillId="30" borderId="0" xfId="500" applyNumberFormat="1" applyFont="1" applyFill="1" applyBorder="1" applyAlignment="1">
      <alignment horizontal="left" vertical="center"/>
    </xf>
    <xf numFmtId="0" fontId="0" fillId="30" borderId="0" xfId="500" applyNumberFormat="1" applyFont="1" applyFill="1" applyAlignment="1">
      <alignment horizontal="right" vertical="center"/>
    </xf>
    <xf numFmtId="0" fontId="0" fillId="30" borderId="2" xfId="878" applyNumberFormat="1" applyFont="1" applyFill="1" applyBorder="1" applyAlignment="1">
      <alignment vertical="center"/>
      <protection/>
    </xf>
    <xf numFmtId="0" fontId="0" fillId="30" borderId="28" xfId="878" applyNumberFormat="1" applyFont="1" applyFill="1" applyBorder="1" applyAlignment="1">
      <alignment horizontal="centerContinuous" vertical="center"/>
      <protection/>
    </xf>
    <xf numFmtId="0" fontId="0" fillId="30" borderId="28" xfId="878" applyNumberFormat="1" applyFont="1" applyFill="1" applyBorder="1" applyAlignment="1">
      <alignment horizontal="center" vertical="center"/>
      <protection/>
    </xf>
    <xf numFmtId="0" fontId="0" fillId="30" borderId="28" xfId="500" applyNumberFormat="1" applyFont="1" applyFill="1" applyBorder="1" applyAlignment="1">
      <alignment horizontal="centerContinuous" vertical="center"/>
    </xf>
    <xf numFmtId="0" fontId="0" fillId="30" borderId="3" xfId="500" applyNumberFormat="1" applyFont="1" applyFill="1" applyBorder="1" applyAlignment="1">
      <alignment horizontal="centerContinuous" vertical="center"/>
    </xf>
    <xf numFmtId="0" fontId="0" fillId="30" borderId="3" xfId="500" applyNumberFormat="1" applyFont="1" applyFill="1" applyBorder="1" applyAlignment="1">
      <alignment horizontal="center" vertical="center"/>
    </xf>
    <xf numFmtId="0" fontId="0" fillId="30" borderId="28" xfId="878" applyNumberFormat="1" applyFont="1" applyFill="1" applyBorder="1" applyAlignment="1">
      <alignment horizontal="distributed" vertical="center"/>
      <protection/>
    </xf>
    <xf numFmtId="179" fontId="0" fillId="30" borderId="28" xfId="500" applyNumberFormat="1" applyFont="1" applyFill="1" applyBorder="1" applyAlignment="1">
      <alignment horizontal="right" vertical="center"/>
    </xf>
    <xf numFmtId="179" fontId="0" fillId="30" borderId="3" xfId="500" applyNumberFormat="1" applyFont="1" applyFill="1" applyBorder="1" applyAlignment="1">
      <alignment horizontal="center" vertical="center"/>
    </xf>
    <xf numFmtId="179" fontId="0" fillId="30" borderId="2" xfId="500" applyNumberFormat="1" applyFont="1" applyFill="1" applyBorder="1" applyAlignment="1">
      <alignment horizontal="right" vertical="center"/>
    </xf>
    <xf numFmtId="0" fontId="0" fillId="30" borderId="0" xfId="892" applyNumberFormat="1" applyFont="1" applyFill="1" applyBorder="1" applyAlignment="1">
      <alignment horizontal="left" vertical="center"/>
      <protection/>
    </xf>
    <xf numFmtId="0" fontId="0" fillId="30" borderId="0" xfId="892" applyNumberFormat="1" applyFont="1" applyFill="1" applyBorder="1" applyAlignment="1" quotePrefix="1">
      <alignment horizontal="left" vertical="center"/>
      <protection/>
    </xf>
    <xf numFmtId="0" fontId="0" fillId="30" borderId="0" xfId="500" applyNumberFormat="1" applyFont="1" applyFill="1" applyBorder="1" applyAlignment="1" quotePrefix="1">
      <alignment horizontal="left" vertical="center"/>
    </xf>
    <xf numFmtId="183" fontId="0" fillId="30" borderId="2" xfId="500" applyNumberFormat="1" applyFont="1" applyFill="1" applyBorder="1" applyAlignment="1">
      <alignment horizontal="right" vertical="center"/>
    </xf>
    <xf numFmtId="41" fontId="0" fillId="30" borderId="0" xfId="500" applyFont="1" applyFill="1" applyAlignment="1">
      <alignment horizontal="center" vertical="center"/>
    </xf>
    <xf numFmtId="41" fontId="0" fillId="30" borderId="0" xfId="0" applyNumberFormat="1" applyFont="1" applyFill="1" applyAlignment="1">
      <alignment horizontal="center" vertical="center"/>
    </xf>
    <xf numFmtId="9" fontId="0" fillId="30" borderId="38" xfId="500" applyNumberFormat="1" applyFont="1" applyFill="1" applyBorder="1" applyAlignment="1">
      <alignment horizontal="center" vertical="center"/>
    </xf>
    <xf numFmtId="232" fontId="0" fillId="30" borderId="0" xfId="0" applyNumberFormat="1" applyFont="1" applyFill="1" applyAlignment="1">
      <alignment horizontal="center" vertical="center"/>
    </xf>
    <xf numFmtId="0" fontId="0" fillId="0" borderId="0" xfId="863" applyNumberFormat="1" applyFont="1" applyBorder="1" applyAlignment="1">
      <alignment horizontal="right" vertical="center"/>
    </xf>
    <xf numFmtId="186" fontId="0" fillId="30" borderId="28" xfId="500" applyNumberFormat="1" applyFont="1" applyFill="1" applyBorder="1" applyAlignment="1">
      <alignment horizontal="right" vertical="center"/>
    </xf>
    <xf numFmtId="186" fontId="0" fillId="30" borderId="38" xfId="500" applyNumberFormat="1" applyFont="1" applyFill="1" applyBorder="1" applyAlignment="1">
      <alignment horizontal="center" vertical="center"/>
    </xf>
    <xf numFmtId="186" fontId="0" fillId="30" borderId="38" xfId="500" applyNumberFormat="1" applyFont="1" applyFill="1" applyBorder="1" applyAlignment="1">
      <alignment horizontal="center" vertical="center"/>
    </xf>
    <xf numFmtId="186" fontId="0" fillId="30" borderId="22" xfId="500" applyNumberFormat="1" applyFont="1" applyFill="1" applyBorder="1" applyAlignment="1">
      <alignment horizontal="center" vertical="center"/>
    </xf>
    <xf numFmtId="0" fontId="0" fillId="30" borderId="2" xfId="500" applyNumberFormat="1" applyFont="1" applyFill="1" applyBorder="1" applyAlignment="1">
      <alignment horizontal="centerContinuous" vertical="center" wrapText="1"/>
    </xf>
    <xf numFmtId="0" fontId="0" fillId="30" borderId="28" xfId="500" applyNumberFormat="1" applyFont="1" applyFill="1" applyBorder="1" applyAlignment="1">
      <alignment horizontal="centerContinuous" vertical="center" wrapText="1"/>
    </xf>
    <xf numFmtId="0" fontId="0" fillId="30" borderId="36" xfId="878" applyNumberFormat="1" applyFont="1" applyFill="1" applyBorder="1" applyAlignment="1">
      <alignment vertical="center"/>
      <protection/>
    </xf>
    <xf numFmtId="0" fontId="0" fillId="30" borderId="37" xfId="878" applyNumberFormat="1" applyFont="1" applyFill="1" applyBorder="1" applyAlignment="1">
      <alignment horizontal="centerContinuous" vertical="center"/>
      <protection/>
    </xf>
    <xf numFmtId="0" fontId="0" fillId="30" borderId="37" xfId="878" applyNumberFormat="1" applyFont="1" applyFill="1" applyBorder="1" applyAlignment="1">
      <alignment horizontal="center" vertical="center"/>
      <protection/>
    </xf>
    <xf numFmtId="0" fontId="0" fillId="30" borderId="36" xfId="500" applyNumberFormat="1" applyFont="1" applyFill="1" applyBorder="1" applyAlignment="1">
      <alignment horizontal="centerContinuous" vertical="center" wrapText="1"/>
    </xf>
    <xf numFmtId="0" fontId="0" fillId="30" borderId="37" xfId="500" applyNumberFormat="1" applyFont="1" applyFill="1" applyBorder="1" applyAlignment="1">
      <alignment horizontal="centerContinuous" vertical="center"/>
    </xf>
    <xf numFmtId="0" fontId="0" fillId="30" borderId="23" xfId="500" applyNumberFormat="1" applyFont="1" applyFill="1" applyBorder="1" applyAlignment="1">
      <alignment horizontal="centerContinuous" vertical="center"/>
    </xf>
    <xf numFmtId="0" fontId="0" fillId="30" borderId="37" xfId="500" applyNumberFormat="1" applyFont="1" applyFill="1" applyBorder="1" applyAlignment="1">
      <alignment horizontal="centerContinuous" vertical="center" wrapText="1"/>
    </xf>
    <xf numFmtId="0" fontId="0" fillId="30" borderId="4" xfId="878" applyNumberFormat="1" applyFont="1" applyFill="1" applyBorder="1" applyAlignment="1">
      <alignment vertical="center"/>
      <protection/>
    </xf>
    <xf numFmtId="0" fontId="0" fillId="30" borderId="0" xfId="878" applyNumberFormat="1" applyFont="1" applyFill="1" applyBorder="1" applyAlignment="1">
      <alignment horizontal="center" vertical="center"/>
      <protection/>
    </xf>
    <xf numFmtId="0" fontId="0" fillId="30" borderId="38" xfId="500" applyNumberFormat="1" applyFont="1" applyFill="1" applyBorder="1" applyAlignment="1">
      <alignment horizontal="centerContinuous" vertical="center"/>
    </xf>
    <xf numFmtId="0" fontId="0" fillId="30" borderId="4" xfId="878" applyNumberFormat="1" applyFont="1" applyFill="1" applyBorder="1" applyAlignment="1">
      <alignment vertical="center" wrapText="1"/>
      <protection/>
    </xf>
    <xf numFmtId="0" fontId="0" fillId="30" borderId="0" xfId="878" applyNumberFormat="1" applyFont="1" applyFill="1" applyBorder="1" applyAlignment="1">
      <alignment horizontal="distributed" vertical="center" wrapText="1"/>
      <protection/>
    </xf>
    <xf numFmtId="186" fontId="0" fillId="30" borderId="4" xfId="500" applyNumberFormat="1" applyFont="1" applyFill="1" applyBorder="1" applyAlignment="1">
      <alignment horizontal="right" vertical="center"/>
    </xf>
    <xf numFmtId="179" fontId="0" fillId="30" borderId="0" xfId="500" applyNumberFormat="1" applyFont="1" applyFill="1" applyBorder="1" applyAlignment="1">
      <alignment horizontal="right" vertical="center"/>
    </xf>
    <xf numFmtId="186" fontId="0" fillId="30" borderId="0" xfId="500" applyNumberFormat="1" applyFont="1" applyFill="1" applyBorder="1" applyAlignment="1">
      <alignment horizontal="right" vertical="center"/>
    </xf>
    <xf numFmtId="0" fontId="0" fillId="30" borderId="5" xfId="878" applyNumberFormat="1" applyFont="1" applyFill="1" applyBorder="1" applyAlignment="1">
      <alignment vertical="center" wrapText="1"/>
      <protection/>
    </xf>
    <xf numFmtId="0" fontId="0" fillId="30" borderId="40" xfId="878" applyNumberFormat="1" applyFont="1" applyFill="1" applyBorder="1" applyAlignment="1">
      <alignment horizontal="distributed" vertical="center" wrapText="1"/>
      <protection/>
    </xf>
    <xf numFmtId="186" fontId="0" fillId="30" borderId="5" xfId="500" applyNumberFormat="1" applyFont="1" applyFill="1" applyBorder="1" applyAlignment="1">
      <alignment horizontal="right" vertical="center"/>
    </xf>
    <xf numFmtId="179" fontId="0" fillId="30" borderId="40" xfId="500" applyNumberFormat="1" applyFont="1" applyFill="1" applyBorder="1" applyAlignment="1">
      <alignment horizontal="right" vertical="center"/>
    </xf>
    <xf numFmtId="186" fontId="0" fillId="30" borderId="22" xfId="500" applyNumberFormat="1" applyFont="1" applyFill="1" applyBorder="1" applyAlignment="1">
      <alignment horizontal="center" vertical="center"/>
    </xf>
    <xf numFmtId="186" fontId="0" fillId="30" borderId="40" xfId="500" applyNumberFormat="1" applyFont="1" applyFill="1" applyBorder="1" applyAlignment="1">
      <alignment horizontal="right" vertical="center"/>
    </xf>
    <xf numFmtId="0" fontId="0" fillId="30" borderId="22" xfId="500" applyNumberFormat="1" applyFont="1" applyFill="1" applyBorder="1" applyAlignment="1">
      <alignment horizontal="center" vertical="center"/>
    </xf>
    <xf numFmtId="0" fontId="0" fillId="30" borderId="3" xfId="500" applyNumberFormat="1" applyFont="1" applyFill="1" applyBorder="1" applyAlignment="1">
      <alignment horizontal="centerContinuous" vertical="center"/>
    </xf>
    <xf numFmtId="0" fontId="0" fillId="30" borderId="0" xfId="0" applyNumberFormat="1" applyFont="1" applyFill="1" applyBorder="1" applyAlignment="1">
      <alignment horizontal="right" vertical="center"/>
    </xf>
    <xf numFmtId="232" fontId="0" fillId="30" borderId="0" xfId="0" applyNumberFormat="1" applyFont="1" applyFill="1" applyAlignment="1">
      <alignment vertical="center"/>
    </xf>
    <xf numFmtId="179" fontId="0" fillId="30" borderId="34" xfId="500" applyNumberFormat="1" applyFont="1" applyFill="1" applyBorder="1" applyAlignment="1">
      <alignment horizontal="right" vertical="center"/>
    </xf>
    <xf numFmtId="179" fontId="0" fillId="30" borderId="33" xfId="500" applyNumberFormat="1" applyFont="1" applyFill="1" applyBorder="1" applyAlignment="1">
      <alignment horizontal="right" vertical="center"/>
    </xf>
    <xf numFmtId="0" fontId="0" fillId="30" borderId="28" xfId="500" applyNumberFormat="1" applyFont="1" applyFill="1" applyBorder="1" applyAlignment="1">
      <alignment horizontal="right" vertical="center"/>
    </xf>
    <xf numFmtId="185" fontId="0" fillId="30" borderId="2" xfId="0" applyNumberFormat="1" applyFont="1" applyFill="1" applyBorder="1" applyAlignment="1">
      <alignment horizontal="right" vertical="center"/>
    </xf>
    <xf numFmtId="0" fontId="0" fillId="0" borderId="0" xfId="884" applyNumberFormat="1" applyFont="1" applyBorder="1" applyAlignment="1">
      <alignment horizontal="center" vertical="center" shrinkToFit="1"/>
      <protection/>
    </xf>
    <xf numFmtId="0" fontId="0" fillId="30" borderId="0" xfId="0" applyNumberFormat="1" applyFont="1" applyFill="1" applyBorder="1" applyAlignment="1">
      <alignment horizontal="distributed" vertical="center" shrinkToFit="1"/>
    </xf>
    <xf numFmtId="0" fontId="0" fillId="30" borderId="0" xfId="890" applyNumberFormat="1" applyFont="1" applyFill="1" applyBorder="1" applyAlignment="1">
      <alignment horizontal="distributed" vertical="center" shrinkToFit="1"/>
      <protection/>
    </xf>
    <xf numFmtId="0" fontId="0" fillId="0" borderId="0" xfId="884" applyNumberFormat="1" applyFont="1" applyBorder="1" applyAlignment="1">
      <alignment horizontal="distributed" vertical="center" shrinkToFit="1"/>
      <protection/>
    </xf>
    <xf numFmtId="0" fontId="0" fillId="0" borderId="0" xfId="884" applyNumberFormat="1" applyFont="1" applyBorder="1" applyAlignment="1">
      <alignment horizontal="distributed" vertical="center" shrinkToFit="1"/>
      <protection/>
    </xf>
    <xf numFmtId="0" fontId="0" fillId="30" borderId="4" xfId="500" applyNumberFormat="1" applyFont="1" applyFill="1" applyBorder="1" applyAlignment="1">
      <alignment horizontal="centerContinuous" vertical="center"/>
    </xf>
    <xf numFmtId="0" fontId="0" fillId="30" borderId="38" xfId="880" applyNumberFormat="1" applyFont="1" applyFill="1" applyBorder="1" applyAlignment="1">
      <alignment horizontal="center" vertical="top" shrinkToFit="1"/>
      <protection/>
    </xf>
    <xf numFmtId="0" fontId="0" fillId="30" borderId="2" xfId="880" applyNumberFormat="1" applyFont="1" applyFill="1" applyBorder="1" applyAlignment="1">
      <alignment horizontal="centerContinuous" vertical="center"/>
      <protection/>
    </xf>
    <xf numFmtId="0" fontId="0" fillId="30" borderId="33" xfId="880" applyNumberFormat="1" applyFont="1" applyFill="1" applyBorder="1" applyAlignment="1">
      <alignment horizontal="centerContinuous" vertical="center"/>
      <protection/>
    </xf>
    <xf numFmtId="0" fontId="0" fillId="30" borderId="3" xfId="0" applyNumberFormat="1" applyFont="1" applyFill="1" applyBorder="1" applyAlignment="1">
      <alignment horizontal="centerContinuous" vertical="center"/>
    </xf>
    <xf numFmtId="0" fontId="0" fillId="30" borderId="28" xfId="0" applyNumberFormat="1" applyFont="1" applyFill="1" applyBorder="1" applyAlignment="1">
      <alignment horizontal="centerContinuous" vertical="center"/>
    </xf>
    <xf numFmtId="0" fontId="0" fillId="30" borderId="28" xfId="500" applyNumberFormat="1" applyFont="1" applyFill="1" applyBorder="1" applyAlignment="1">
      <alignment horizontal="centerContinuous" vertical="center" wrapText="1"/>
    </xf>
    <xf numFmtId="0" fontId="0" fillId="30" borderId="33" xfId="500" applyNumberFormat="1" applyFont="1" applyFill="1" applyBorder="1" applyAlignment="1">
      <alignment horizontal="centerContinuous" vertical="center" wrapText="1"/>
    </xf>
    <xf numFmtId="0" fontId="0" fillId="30" borderId="3" xfId="500" applyNumberFormat="1" applyFont="1" applyFill="1" applyBorder="1" applyAlignment="1">
      <alignment horizontal="centerContinuous" vertical="center" wrapText="1"/>
    </xf>
    <xf numFmtId="0" fontId="0" fillId="30" borderId="2" xfId="500" applyNumberFormat="1" applyFont="1" applyFill="1" applyBorder="1" applyAlignment="1">
      <alignment horizontal="centerContinuous" vertical="center" wrapText="1"/>
    </xf>
    <xf numFmtId="0" fontId="0" fillId="30" borderId="0" xfId="500" applyNumberFormat="1" applyFont="1" applyFill="1" applyBorder="1" applyAlignment="1">
      <alignment horizontal="distributed" vertical="center" shrinkToFit="1"/>
    </xf>
    <xf numFmtId="179" fontId="0" fillId="30" borderId="0" xfId="0" applyNumberFormat="1" applyFont="1" applyFill="1" applyAlignment="1">
      <alignment vertical="center"/>
    </xf>
    <xf numFmtId="0" fontId="0" fillId="30" borderId="40" xfId="0" applyNumberFormat="1" applyFont="1" applyFill="1" applyBorder="1" applyAlignment="1">
      <alignment vertical="center"/>
    </xf>
    <xf numFmtId="0" fontId="0" fillId="30" borderId="5" xfId="500" applyNumberFormat="1" applyFont="1" applyFill="1" applyBorder="1" applyAlignment="1">
      <alignment horizontal="distributed" vertical="center"/>
    </xf>
    <xf numFmtId="0" fontId="0" fillId="30" borderId="34" xfId="500" applyNumberFormat="1" applyFont="1" applyFill="1" applyBorder="1" applyAlignment="1">
      <alignment vertical="center"/>
    </xf>
    <xf numFmtId="179" fontId="0" fillId="30" borderId="40" xfId="500" applyNumberFormat="1" applyFont="1" applyFill="1" applyBorder="1" applyAlignment="1">
      <alignment horizontal="right" vertical="center"/>
    </xf>
    <xf numFmtId="41" fontId="0" fillId="30" borderId="0" xfId="500" applyFont="1" applyFill="1" applyAlignment="1">
      <alignment vertical="center"/>
    </xf>
    <xf numFmtId="41" fontId="0" fillId="30" borderId="0" xfId="0" applyNumberFormat="1" applyFont="1" applyFill="1" applyAlignment="1">
      <alignment vertical="center"/>
    </xf>
    <xf numFmtId="41" fontId="0" fillId="30" borderId="0" xfId="500" applyFont="1" applyFill="1" applyBorder="1" applyAlignment="1">
      <alignment vertical="center"/>
    </xf>
    <xf numFmtId="0" fontId="0" fillId="30" borderId="0" xfId="886" applyFont="1" applyFill="1" applyAlignment="1">
      <alignment vertical="center"/>
      <protection/>
    </xf>
    <xf numFmtId="0" fontId="20" fillId="30" borderId="0" xfId="887" applyFont="1" applyFill="1">
      <alignment/>
      <protection/>
    </xf>
    <xf numFmtId="0" fontId="21" fillId="30" borderId="0" xfId="887" applyFont="1" applyFill="1" applyAlignment="1">
      <alignment horizontal="centerContinuous" vertical="center"/>
      <protection/>
    </xf>
    <xf numFmtId="0" fontId="21" fillId="30" borderId="0" xfId="886" applyFont="1" applyFill="1" applyBorder="1" applyAlignment="1">
      <alignment horizontal="centerContinuous"/>
      <protection/>
    </xf>
    <xf numFmtId="0" fontId="21" fillId="30" borderId="0" xfId="886" applyFont="1" applyFill="1" applyAlignment="1">
      <alignment horizontal="centerContinuous"/>
      <protection/>
    </xf>
    <xf numFmtId="41" fontId="21" fillId="30" borderId="0" xfId="862" applyFont="1" applyFill="1" applyBorder="1" applyAlignment="1">
      <alignment horizontal="centerContinuous"/>
    </xf>
    <xf numFmtId="41" fontId="21" fillId="30" borderId="0" xfId="862" applyFont="1" applyFill="1" applyAlignment="1">
      <alignment horizontal="centerContinuous"/>
    </xf>
    <xf numFmtId="0" fontId="21" fillId="30" borderId="0" xfId="886" applyFont="1" applyFill="1">
      <alignment/>
      <protection/>
    </xf>
    <xf numFmtId="0" fontId="20" fillId="30" borderId="0" xfId="887" applyFont="1" applyFill="1" applyBorder="1" applyAlignment="1">
      <alignment horizontal="left" vertical="center"/>
      <protection/>
    </xf>
    <xf numFmtId="0" fontId="20" fillId="30" borderId="0" xfId="887" applyFont="1" applyFill="1" applyAlignment="1">
      <alignment vertical="center"/>
      <protection/>
    </xf>
    <xf numFmtId="0" fontId="20" fillId="30" borderId="0" xfId="887" applyFont="1" applyFill="1" applyAlignment="1">
      <alignment horizontal="left" vertical="center"/>
      <protection/>
    </xf>
    <xf numFmtId="0" fontId="20" fillId="30" borderId="0" xfId="887" applyFont="1" applyFill="1" applyBorder="1" applyAlignment="1">
      <alignment vertical="center"/>
      <protection/>
    </xf>
    <xf numFmtId="178" fontId="20" fillId="30" borderId="0" xfId="864" applyFont="1" applyFill="1" applyAlignment="1">
      <alignment vertical="center"/>
    </xf>
    <xf numFmtId="234" fontId="20" fillId="30" borderId="0" xfId="864" applyNumberFormat="1" applyFont="1" applyFill="1" applyAlignment="1">
      <alignment vertical="center"/>
    </xf>
    <xf numFmtId="0" fontId="20" fillId="30" borderId="0" xfId="887" applyFont="1" applyFill="1" applyAlignment="1" quotePrefix="1">
      <alignment horizontal="right" vertical="center"/>
      <protection/>
    </xf>
    <xf numFmtId="0" fontId="0" fillId="30" borderId="2" xfId="887" applyFont="1" applyFill="1" applyBorder="1" applyAlignment="1">
      <alignment horizontal="centerContinuous" vertical="center"/>
      <protection/>
    </xf>
    <xf numFmtId="0" fontId="0" fillId="30" borderId="42" xfId="887" applyFont="1" applyFill="1" applyBorder="1" applyAlignment="1">
      <alignment horizontal="centerContinuous" vertical="center"/>
      <protection/>
    </xf>
    <xf numFmtId="0" fontId="0" fillId="30" borderId="2" xfId="887" applyFont="1" applyFill="1" applyBorder="1" applyAlignment="1">
      <alignment horizontal="center" vertical="center"/>
      <protection/>
    </xf>
    <xf numFmtId="0" fontId="0" fillId="30" borderId="28" xfId="887" applyFont="1" applyFill="1" applyBorder="1" applyAlignment="1" quotePrefix="1">
      <alignment horizontal="distributed" vertical="center"/>
      <protection/>
    </xf>
    <xf numFmtId="0" fontId="0" fillId="30" borderId="33" xfId="887" applyFont="1" applyFill="1" applyBorder="1" applyAlignment="1">
      <alignment horizontal="center" vertical="center"/>
      <protection/>
    </xf>
    <xf numFmtId="178" fontId="0" fillId="30" borderId="43" xfId="864" applyFont="1" applyFill="1" applyBorder="1" applyAlignment="1">
      <alignment horizontal="center" vertical="center"/>
    </xf>
    <xf numFmtId="234" fontId="0" fillId="30" borderId="3" xfId="864" applyNumberFormat="1" applyFont="1" applyFill="1" applyBorder="1" applyAlignment="1">
      <alignment horizontal="center" vertical="center"/>
    </xf>
    <xf numFmtId="0" fontId="0" fillId="30" borderId="44" xfId="887" applyFont="1" applyFill="1" applyBorder="1" applyAlignment="1">
      <alignment horizontal="center" vertical="center"/>
      <protection/>
    </xf>
    <xf numFmtId="0" fontId="0" fillId="30" borderId="0" xfId="887" applyFont="1" applyFill="1">
      <alignment/>
      <protection/>
    </xf>
    <xf numFmtId="0" fontId="20" fillId="0" borderId="2" xfId="888" applyFont="1" applyFill="1" applyBorder="1" applyAlignment="1">
      <alignment horizontal="left" vertical="center"/>
      <protection/>
    </xf>
    <xf numFmtId="0" fontId="20" fillId="0" borderId="42" xfId="888" applyFont="1" applyFill="1" applyBorder="1" applyAlignment="1">
      <alignment horizontal="left" vertical="center"/>
      <protection/>
    </xf>
    <xf numFmtId="0" fontId="20" fillId="0" borderId="28" xfId="890" applyFont="1" applyFill="1" applyBorder="1" applyAlignment="1">
      <alignment horizontal="distributed" vertical="center"/>
      <protection/>
    </xf>
    <xf numFmtId="0" fontId="20" fillId="0" borderId="33" xfId="888" applyFont="1" applyFill="1" applyBorder="1" applyAlignment="1">
      <alignment horizontal="distributed" vertical="center"/>
      <protection/>
    </xf>
    <xf numFmtId="178" fontId="20" fillId="0" borderId="43" xfId="864" applyFont="1" applyFill="1" applyBorder="1" applyAlignment="1">
      <alignment vertical="center"/>
    </xf>
    <xf numFmtId="234" fontId="20" fillId="0" borderId="3" xfId="864" applyNumberFormat="1" applyFont="1" applyFill="1" applyBorder="1" applyAlignment="1">
      <alignment vertical="center"/>
    </xf>
    <xf numFmtId="0" fontId="20" fillId="0" borderId="44" xfId="888" applyFont="1" applyFill="1" applyBorder="1" applyAlignment="1">
      <alignment vertical="center"/>
      <protection/>
    </xf>
    <xf numFmtId="0" fontId="20" fillId="0" borderId="0" xfId="888" applyFont="1" applyFill="1">
      <alignment/>
      <protection/>
    </xf>
    <xf numFmtId="0" fontId="20" fillId="0" borderId="45" xfId="888" applyFont="1" applyFill="1" applyBorder="1" applyAlignment="1">
      <alignment horizontal="left" vertical="center"/>
      <protection/>
    </xf>
    <xf numFmtId="0" fontId="20" fillId="0" borderId="46" xfId="888" applyFont="1" applyFill="1" applyBorder="1" applyAlignment="1">
      <alignment horizontal="left" vertical="center"/>
      <protection/>
    </xf>
    <xf numFmtId="0" fontId="20" fillId="0" borderId="47" xfId="890" applyFont="1" applyFill="1" applyBorder="1" applyAlignment="1">
      <alignment horizontal="distributed" vertical="center"/>
      <protection/>
    </xf>
    <xf numFmtId="0" fontId="20" fillId="0" borderId="41" xfId="888" applyFont="1" applyFill="1" applyBorder="1" applyAlignment="1">
      <alignment horizontal="distributed" vertical="center"/>
      <protection/>
    </xf>
    <xf numFmtId="178" fontId="20" fillId="0" borderId="48" xfId="864" applyFont="1" applyFill="1" applyBorder="1" applyAlignment="1">
      <alignment vertical="center"/>
    </xf>
    <xf numFmtId="234" fontId="20" fillId="0" borderId="23" xfId="864" applyNumberFormat="1" applyFont="1" applyFill="1" applyBorder="1" applyAlignment="1">
      <alignment vertical="center"/>
    </xf>
    <xf numFmtId="0" fontId="20" fillId="0" borderId="49" xfId="888" applyFont="1" applyFill="1" applyBorder="1" applyAlignment="1">
      <alignment vertical="center"/>
      <protection/>
    </xf>
    <xf numFmtId="0" fontId="20" fillId="0" borderId="4" xfId="888" applyFont="1" applyFill="1" applyBorder="1" applyAlignment="1">
      <alignment horizontal="left" vertical="center"/>
      <protection/>
    </xf>
    <xf numFmtId="0" fontId="20" fillId="0" borderId="50" xfId="888" applyFont="1" applyFill="1" applyBorder="1" applyAlignment="1">
      <alignment horizontal="left" vertical="center"/>
      <protection/>
    </xf>
    <xf numFmtId="0" fontId="20" fillId="0" borderId="0" xfId="890" applyFont="1" applyFill="1" applyBorder="1" applyAlignment="1">
      <alignment horizontal="distributed" vertical="center"/>
      <protection/>
    </xf>
    <xf numFmtId="0" fontId="20" fillId="0" borderId="39" xfId="888" applyFont="1" applyFill="1" applyBorder="1" applyAlignment="1">
      <alignment horizontal="distributed" vertical="center"/>
      <protection/>
    </xf>
    <xf numFmtId="178" fontId="20" fillId="0" borderId="51" xfId="864" applyFont="1" applyFill="1" applyBorder="1" applyAlignment="1">
      <alignment vertical="center"/>
    </xf>
    <xf numFmtId="234" fontId="20" fillId="0" borderId="38" xfId="864" applyNumberFormat="1" applyFont="1" applyFill="1" applyBorder="1" applyAlignment="1">
      <alignment vertical="center"/>
    </xf>
    <xf numFmtId="0" fontId="20" fillId="0" borderId="52" xfId="888" applyFont="1" applyFill="1" applyBorder="1" applyAlignment="1">
      <alignment vertical="center"/>
      <protection/>
    </xf>
    <xf numFmtId="178" fontId="0" fillId="0" borderId="51" xfId="864" applyFont="1" applyFill="1" applyBorder="1" applyAlignment="1">
      <alignment vertical="center"/>
    </xf>
    <xf numFmtId="0" fontId="20" fillId="0" borderId="52" xfId="888" applyFont="1" applyFill="1" applyBorder="1" applyAlignment="1">
      <alignment horizontal="center" vertical="center"/>
      <protection/>
    </xf>
    <xf numFmtId="0" fontId="20" fillId="0" borderId="53" xfId="888" applyFont="1" applyFill="1" applyBorder="1" applyAlignment="1">
      <alignment horizontal="left" vertical="center"/>
      <protection/>
    </xf>
    <xf numFmtId="0" fontId="20" fillId="0" borderId="54" xfId="888" applyFont="1" applyFill="1" applyBorder="1" applyAlignment="1">
      <alignment horizontal="left" vertical="center"/>
      <protection/>
    </xf>
    <xf numFmtId="0" fontId="20" fillId="0" borderId="15" xfId="890" applyFont="1" applyFill="1" applyBorder="1" applyAlignment="1">
      <alignment horizontal="distributed" vertical="center"/>
      <protection/>
    </xf>
    <xf numFmtId="0" fontId="20" fillId="0" borderId="55" xfId="888" applyFont="1" applyFill="1" applyBorder="1" applyAlignment="1">
      <alignment horizontal="distributed" vertical="center"/>
      <protection/>
    </xf>
    <xf numFmtId="178" fontId="0" fillId="0" borderId="56" xfId="864" applyFont="1" applyFill="1" applyBorder="1" applyAlignment="1">
      <alignment vertical="center"/>
    </xf>
    <xf numFmtId="234" fontId="20" fillId="0" borderId="22" xfId="864" applyNumberFormat="1" applyFont="1" applyFill="1" applyBorder="1" applyAlignment="1">
      <alignment vertical="center"/>
    </xf>
    <xf numFmtId="178" fontId="0" fillId="0" borderId="43" xfId="864" applyFont="1" applyFill="1" applyBorder="1" applyAlignment="1">
      <alignment vertical="center"/>
    </xf>
    <xf numFmtId="178" fontId="0" fillId="0" borderId="48" xfId="864" applyFont="1" applyFill="1" applyBorder="1" applyAlignment="1">
      <alignment vertical="center"/>
    </xf>
    <xf numFmtId="0" fontId="20" fillId="0" borderId="0" xfId="888" applyFont="1" applyFill="1" applyBorder="1">
      <alignment/>
      <protection/>
    </xf>
    <xf numFmtId="0" fontId="20" fillId="0" borderId="57" xfId="888" applyFont="1" applyFill="1" applyBorder="1" applyAlignment="1">
      <alignment vertical="center"/>
      <protection/>
    </xf>
    <xf numFmtId="178" fontId="20" fillId="0" borderId="56" xfId="864" applyFont="1" applyFill="1" applyBorder="1" applyAlignment="1">
      <alignment vertical="center"/>
    </xf>
    <xf numFmtId="178" fontId="20" fillId="0" borderId="3" xfId="864" applyNumberFormat="1" applyFont="1" applyFill="1" applyBorder="1" applyAlignment="1">
      <alignment vertical="center"/>
    </xf>
    <xf numFmtId="0" fontId="0" fillId="30" borderId="0" xfId="887" applyFont="1" applyFill="1" applyBorder="1" applyAlignment="1">
      <alignment horizontal="left" vertical="center"/>
      <protection/>
    </xf>
    <xf numFmtId="0" fontId="0" fillId="30" borderId="0" xfId="887" applyFont="1" applyFill="1" applyAlignment="1">
      <alignment horizontal="left" vertical="center"/>
      <protection/>
    </xf>
    <xf numFmtId="0" fontId="0" fillId="30" borderId="0" xfId="887" applyFont="1" applyFill="1" applyBorder="1" applyAlignment="1">
      <alignment vertical="center"/>
      <protection/>
    </xf>
    <xf numFmtId="0" fontId="0" fillId="30" borderId="0" xfId="887" applyFont="1" applyFill="1" applyAlignment="1">
      <alignment vertical="center"/>
      <protection/>
    </xf>
    <xf numFmtId="178" fontId="0" fillId="30" borderId="0" xfId="864" applyFont="1" applyFill="1" applyAlignment="1">
      <alignment vertical="center"/>
    </xf>
    <xf numFmtId="234" fontId="0" fillId="30" borderId="0" xfId="864" applyNumberFormat="1" applyFont="1" applyFill="1" applyAlignment="1">
      <alignment vertical="center"/>
    </xf>
    <xf numFmtId="0" fontId="0" fillId="30" borderId="3" xfId="500" applyNumberFormat="1" applyFont="1" applyFill="1" applyBorder="1" applyAlignment="1">
      <alignment horizontal="left" vertical="center" wrapText="1"/>
    </xf>
    <xf numFmtId="41" fontId="0" fillId="30" borderId="38" xfId="500" applyFont="1" applyFill="1" applyBorder="1" applyAlignment="1">
      <alignment horizontal="left" vertical="center"/>
    </xf>
    <xf numFmtId="0" fontId="0" fillId="30" borderId="3" xfId="879" applyNumberFormat="1" applyFont="1" applyFill="1" applyBorder="1" applyAlignment="1">
      <alignment horizontal="center" vertical="center"/>
      <protection/>
    </xf>
    <xf numFmtId="41" fontId="0" fillId="30" borderId="3" xfId="500" applyFont="1" applyFill="1" applyBorder="1" applyAlignment="1">
      <alignment horizontal="center" vertical="center"/>
    </xf>
    <xf numFmtId="41" fontId="0" fillId="30" borderId="3" xfId="879" applyNumberFormat="1" applyFont="1" applyFill="1" applyBorder="1" applyAlignment="1">
      <alignment horizontal="center" vertical="center"/>
      <protection/>
    </xf>
    <xf numFmtId="232" fontId="0" fillId="30" borderId="0" xfId="0" applyNumberFormat="1" applyFont="1" applyFill="1" applyAlignment="1">
      <alignment vertical="center"/>
    </xf>
    <xf numFmtId="0" fontId="0" fillId="0" borderId="40" xfId="884" applyNumberFormat="1" applyFont="1" applyBorder="1" applyAlignment="1">
      <alignment horizontal="distributed" vertical="center" shrinkToFit="1"/>
      <protection/>
    </xf>
    <xf numFmtId="179" fontId="0" fillId="30" borderId="3" xfId="500" applyNumberFormat="1" applyFont="1" applyFill="1" applyBorder="1" applyAlignment="1">
      <alignment horizontal="right" vertical="center"/>
    </xf>
    <xf numFmtId="179" fontId="37" fillId="30" borderId="3" xfId="500" applyNumberFormat="1" applyFont="1" applyFill="1" applyBorder="1" applyAlignment="1">
      <alignment horizontal="right" vertical="center"/>
    </xf>
    <xf numFmtId="0" fontId="0" fillId="30" borderId="0" xfId="0" applyNumberFormat="1" applyFill="1" applyAlignment="1">
      <alignment vertical="center"/>
    </xf>
    <xf numFmtId="0" fontId="0" fillId="30" borderId="36" xfId="500" applyNumberFormat="1" applyFont="1" applyFill="1" applyBorder="1" applyAlignment="1" quotePrefix="1">
      <alignment horizontal="right" vertical="center"/>
    </xf>
    <xf numFmtId="0" fontId="0" fillId="30" borderId="4" xfId="500" applyNumberFormat="1" applyFont="1" applyFill="1" applyBorder="1" applyAlignment="1" quotePrefix="1">
      <alignment horizontal="right" vertical="center"/>
    </xf>
    <xf numFmtId="185" fontId="0" fillId="30" borderId="4" xfId="50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30" borderId="28" xfId="0" applyNumberFormat="1" applyFont="1" applyFill="1" applyBorder="1" applyAlignment="1">
      <alignment vertical="center"/>
    </xf>
    <xf numFmtId="0" fontId="0" fillId="30" borderId="2" xfId="500" applyNumberFormat="1" applyFont="1" applyFill="1" applyBorder="1" applyAlignment="1">
      <alignment horizontal="distributed" vertical="center"/>
    </xf>
    <xf numFmtId="0" fontId="0" fillId="30" borderId="28" xfId="500" applyNumberFormat="1" applyFont="1" applyFill="1" applyBorder="1" applyAlignment="1">
      <alignment horizontal="distributed" vertical="center" shrinkToFit="1"/>
    </xf>
    <xf numFmtId="0" fontId="0" fillId="30" borderId="33" xfId="500" applyNumberFormat="1" applyFont="1" applyFill="1" applyBorder="1" applyAlignment="1">
      <alignment vertical="center"/>
    </xf>
    <xf numFmtId="185" fontId="0" fillId="30" borderId="2" xfId="500" applyNumberFormat="1" applyFont="1" applyFill="1" applyBorder="1" applyAlignment="1">
      <alignment horizontal="right" vertical="center"/>
    </xf>
    <xf numFmtId="0" fontId="83" fillId="0" borderId="30" xfId="500" applyNumberFormat="1" applyFont="1" applyBorder="1" applyAlignment="1">
      <alignment horizontal="left" vertical="center" wrapText="1"/>
    </xf>
    <xf numFmtId="49" fontId="81" fillId="39" borderId="0" xfId="883" applyNumberFormat="1" applyFont="1" applyFill="1" applyAlignment="1">
      <alignment horizontal="left" vertical="center" shrinkToFit="1"/>
      <protection/>
    </xf>
    <xf numFmtId="179" fontId="0" fillId="30" borderId="2" xfId="500" applyNumberFormat="1" applyFont="1" applyFill="1" applyBorder="1" applyAlignment="1">
      <alignment horizontal="center" vertical="center"/>
    </xf>
    <xf numFmtId="179" fontId="0" fillId="30" borderId="33" xfId="500" applyNumberFormat="1" applyFont="1" applyFill="1" applyBorder="1" applyAlignment="1">
      <alignment horizontal="center" vertical="center"/>
    </xf>
    <xf numFmtId="179" fontId="37" fillId="30" borderId="2" xfId="500" applyNumberFormat="1" applyFont="1" applyFill="1" applyBorder="1" applyAlignment="1">
      <alignment horizontal="center" vertical="center"/>
    </xf>
    <xf numFmtId="179" fontId="37" fillId="30" borderId="33" xfId="500" applyNumberFormat="1" applyFont="1" applyFill="1" applyBorder="1" applyAlignment="1">
      <alignment horizontal="center" vertical="center"/>
    </xf>
    <xf numFmtId="0" fontId="37" fillId="30" borderId="2" xfId="500" applyNumberFormat="1" applyFont="1" applyFill="1" applyBorder="1" applyAlignment="1">
      <alignment horizontal="center" vertical="center"/>
    </xf>
    <xf numFmtId="0" fontId="37" fillId="30" borderId="28" xfId="500" applyNumberFormat="1" applyFont="1" applyFill="1" applyBorder="1" applyAlignment="1">
      <alignment horizontal="center" vertical="center"/>
    </xf>
    <xf numFmtId="0" fontId="37" fillId="30" borderId="33" xfId="500" applyNumberFormat="1" applyFont="1" applyFill="1" applyBorder="1" applyAlignment="1">
      <alignment horizontal="center" vertical="center"/>
    </xf>
    <xf numFmtId="0" fontId="0" fillId="30" borderId="2" xfId="500" applyNumberFormat="1" applyFont="1" applyFill="1" applyBorder="1" applyAlignment="1">
      <alignment horizontal="center" vertical="center"/>
    </xf>
    <xf numFmtId="0" fontId="0" fillId="30" borderId="28" xfId="500" applyNumberFormat="1" applyFont="1" applyFill="1" applyBorder="1" applyAlignment="1">
      <alignment horizontal="center" vertical="center"/>
    </xf>
    <xf numFmtId="0" fontId="0" fillId="30" borderId="33" xfId="500" applyNumberFormat="1" applyFont="1" applyFill="1" applyBorder="1" applyAlignment="1">
      <alignment horizontal="center" vertical="center"/>
    </xf>
    <xf numFmtId="0" fontId="0" fillId="30" borderId="2" xfId="0" applyNumberFormat="1" applyFont="1" applyFill="1" applyBorder="1" applyAlignment="1">
      <alignment horizontal="center" vertical="center"/>
    </xf>
    <xf numFmtId="0" fontId="0" fillId="30" borderId="28" xfId="0" applyNumberFormat="1" applyFont="1" applyFill="1" applyBorder="1" applyAlignment="1">
      <alignment horizontal="center" vertical="center"/>
    </xf>
    <xf numFmtId="0" fontId="0" fillId="30" borderId="33" xfId="0" applyNumberFormat="1" applyFont="1" applyFill="1" applyBorder="1" applyAlignment="1">
      <alignment horizontal="center" vertical="center"/>
    </xf>
    <xf numFmtId="0" fontId="0" fillId="30" borderId="28" xfId="0" applyNumberFormat="1" applyFont="1" applyFill="1" applyBorder="1" applyAlignment="1">
      <alignment horizontal="distributed" vertical="center"/>
    </xf>
    <xf numFmtId="0" fontId="0" fillId="30" borderId="36" xfId="0" applyNumberFormat="1" applyFont="1" applyFill="1" applyBorder="1" applyAlignment="1">
      <alignment horizontal="center" vertical="center" wrapText="1"/>
    </xf>
    <xf numFmtId="0" fontId="0" fillId="30" borderId="35" xfId="0" applyNumberFormat="1" applyFont="1" applyFill="1" applyBorder="1" applyAlignment="1">
      <alignment horizontal="center" vertical="center" wrapText="1"/>
    </xf>
    <xf numFmtId="0" fontId="0" fillId="30" borderId="4" xfId="0" applyNumberFormat="1" applyFont="1" applyFill="1" applyBorder="1" applyAlignment="1">
      <alignment horizontal="center" vertical="center" wrapText="1"/>
    </xf>
    <xf numFmtId="0" fontId="0" fillId="30" borderId="39" xfId="0" applyNumberFormat="1" applyFont="1" applyFill="1" applyBorder="1" applyAlignment="1">
      <alignment horizontal="center" vertical="center" wrapText="1"/>
    </xf>
    <xf numFmtId="0" fontId="0" fillId="30" borderId="5" xfId="0" applyNumberFormat="1" applyFont="1" applyFill="1" applyBorder="1" applyAlignment="1">
      <alignment horizontal="center" vertical="center" wrapText="1"/>
    </xf>
    <xf numFmtId="0" fontId="0" fillId="30" borderId="34" xfId="0" applyNumberFormat="1" applyFont="1" applyFill="1" applyBorder="1" applyAlignment="1">
      <alignment horizontal="center" vertical="center" wrapText="1"/>
    </xf>
    <xf numFmtId="0" fontId="0" fillId="30" borderId="23" xfId="0" applyNumberFormat="1" applyFont="1" applyFill="1" applyBorder="1" applyAlignment="1">
      <alignment horizontal="center" vertical="center" wrapText="1"/>
    </xf>
    <xf numFmtId="0" fontId="0" fillId="30" borderId="22" xfId="0" applyNumberFormat="1" applyFont="1" applyFill="1" applyBorder="1" applyAlignment="1">
      <alignment horizontal="center" vertical="center" wrapText="1"/>
    </xf>
    <xf numFmtId="0" fontId="0" fillId="30" borderId="28" xfId="0" applyNumberFormat="1" applyFont="1" applyFill="1" applyBorder="1" applyAlignment="1">
      <alignment horizontal="distributed" vertical="center"/>
    </xf>
    <xf numFmtId="0" fontId="0" fillId="30" borderId="38" xfId="0" applyNumberFormat="1" applyFont="1" applyFill="1" applyBorder="1" applyAlignment="1">
      <alignment horizontal="center" vertical="center" wrapText="1"/>
    </xf>
    <xf numFmtId="0" fontId="0" fillId="30" borderId="23" xfId="0" applyNumberFormat="1" applyFont="1" applyFill="1" applyBorder="1" applyAlignment="1">
      <alignment horizontal="center" vertical="center" wrapText="1"/>
    </xf>
    <xf numFmtId="0" fontId="0" fillId="30" borderId="22" xfId="0" applyNumberFormat="1" applyFont="1" applyFill="1" applyBorder="1" applyAlignment="1">
      <alignment horizontal="center" vertical="center" wrapText="1"/>
    </xf>
    <xf numFmtId="0" fontId="0" fillId="30" borderId="35" xfId="500" applyNumberFormat="1" applyFont="1" applyFill="1" applyBorder="1" applyAlignment="1">
      <alignment horizontal="center" vertical="center"/>
    </xf>
    <xf numFmtId="0" fontId="0" fillId="30" borderId="34" xfId="500" applyNumberFormat="1" applyFont="1" applyFill="1" applyBorder="1" applyAlignment="1">
      <alignment horizontal="center" vertical="center"/>
    </xf>
    <xf numFmtId="0" fontId="0" fillId="30" borderId="36" xfId="500" applyNumberFormat="1" applyFont="1" applyFill="1" applyBorder="1" applyAlignment="1">
      <alignment horizontal="center" vertical="center"/>
    </xf>
    <xf numFmtId="0" fontId="0" fillId="30" borderId="5" xfId="500" applyNumberFormat="1" applyFont="1" applyFill="1" applyBorder="1" applyAlignment="1">
      <alignment horizontal="center" vertical="center"/>
    </xf>
    <xf numFmtId="0" fontId="0" fillId="30" borderId="37" xfId="0" applyNumberFormat="1" applyFont="1" applyFill="1" applyBorder="1" applyAlignment="1">
      <alignment horizontal="center" vertical="center"/>
    </xf>
    <xf numFmtId="0" fontId="0" fillId="30" borderId="0" xfId="0" applyNumberFormat="1" applyFont="1" applyFill="1" applyBorder="1" applyAlignment="1">
      <alignment horizontal="center" vertical="center"/>
    </xf>
    <xf numFmtId="0" fontId="0" fillId="30" borderId="23" xfId="0" applyNumberFormat="1" applyFont="1" applyFill="1" applyBorder="1" applyAlignment="1">
      <alignment horizontal="center" vertical="center"/>
    </xf>
    <xf numFmtId="0" fontId="0" fillId="30" borderId="38" xfId="0" applyNumberFormat="1" applyFont="1" applyFill="1" applyBorder="1" applyAlignment="1">
      <alignment horizontal="center" vertical="center"/>
    </xf>
    <xf numFmtId="0" fontId="0" fillId="30" borderId="37" xfId="0" applyNumberFormat="1" applyFont="1" applyFill="1" applyBorder="1" applyAlignment="1">
      <alignment horizontal="center" vertical="center" wrapText="1"/>
    </xf>
    <xf numFmtId="0" fontId="0" fillId="30" borderId="0" xfId="0" applyNumberFormat="1" applyFont="1" applyFill="1" applyBorder="1" applyAlignment="1">
      <alignment horizontal="center" vertical="center" wrapText="1"/>
    </xf>
    <xf numFmtId="0" fontId="0" fillId="30" borderId="35" xfId="0" applyFont="1" applyFill="1" applyBorder="1" applyAlignment="1">
      <alignment horizontal="center" vertical="center" wrapText="1"/>
    </xf>
    <xf numFmtId="0" fontId="0" fillId="30" borderId="34" xfId="0" applyFont="1" applyFill="1" applyBorder="1" applyAlignment="1">
      <alignment horizontal="center" vertical="center" wrapText="1"/>
    </xf>
    <xf numFmtId="0" fontId="0" fillId="30" borderId="23" xfId="0" applyFont="1" applyFill="1" applyBorder="1" applyAlignment="1">
      <alignment horizontal="center" vertical="center" wrapText="1"/>
    </xf>
    <xf numFmtId="0" fontId="0" fillId="30" borderId="22" xfId="0" applyFont="1" applyFill="1" applyBorder="1" applyAlignment="1">
      <alignment horizontal="center" vertical="center" wrapText="1"/>
    </xf>
    <xf numFmtId="0" fontId="0" fillId="30" borderId="2" xfId="0" applyFont="1" applyFill="1" applyBorder="1" applyAlignment="1">
      <alignment horizontal="center" vertical="center"/>
    </xf>
    <xf numFmtId="0" fontId="0" fillId="30" borderId="28" xfId="0" applyFont="1" applyFill="1" applyBorder="1" applyAlignment="1">
      <alignment horizontal="center" vertical="center"/>
    </xf>
    <xf numFmtId="0" fontId="0" fillId="30" borderId="33" xfId="0" applyFont="1" applyFill="1" applyBorder="1" applyAlignment="1">
      <alignment horizontal="center" vertical="center"/>
    </xf>
    <xf numFmtId="0" fontId="0" fillId="30" borderId="23" xfId="500" applyNumberFormat="1" applyFont="1" applyFill="1" applyBorder="1" applyAlignment="1">
      <alignment horizontal="center" vertical="center" wrapText="1"/>
    </xf>
    <xf numFmtId="0" fontId="0" fillId="30" borderId="38" xfId="500" applyNumberFormat="1" applyFont="1" applyFill="1" applyBorder="1" applyAlignment="1">
      <alignment horizontal="center" vertical="center" wrapText="1"/>
    </xf>
    <xf numFmtId="0" fontId="0" fillId="30" borderId="36" xfId="0" applyNumberFormat="1" applyFont="1" applyFill="1" applyBorder="1" applyAlignment="1">
      <alignment horizontal="center" vertical="center"/>
    </xf>
    <xf numFmtId="0" fontId="0" fillId="30" borderId="35" xfId="0" applyNumberFormat="1" applyFont="1" applyFill="1" applyBorder="1" applyAlignment="1">
      <alignment horizontal="center" vertical="center"/>
    </xf>
    <xf numFmtId="0" fontId="0" fillId="30" borderId="5" xfId="0" applyNumberFormat="1" applyFont="1" applyFill="1" applyBorder="1" applyAlignment="1">
      <alignment horizontal="center" vertical="center"/>
    </xf>
    <xf numFmtId="0" fontId="0" fillId="30" borderId="40" xfId="0" applyNumberFormat="1" applyFont="1" applyFill="1" applyBorder="1" applyAlignment="1">
      <alignment horizontal="center" vertical="center"/>
    </xf>
    <xf numFmtId="0" fontId="0" fillId="30" borderId="34" xfId="0" applyNumberFormat="1" applyFont="1" applyFill="1" applyBorder="1" applyAlignment="1">
      <alignment horizontal="center" vertical="center"/>
    </xf>
    <xf numFmtId="0" fontId="0" fillId="30" borderId="2" xfId="862" applyNumberFormat="1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0" borderId="23" xfId="880" applyNumberFormat="1" applyFont="1" applyFill="1" applyBorder="1" applyAlignment="1">
      <alignment horizontal="center" vertical="center"/>
      <protection/>
    </xf>
    <xf numFmtId="0" fontId="0" fillId="30" borderId="22" xfId="880" applyNumberFormat="1" applyFont="1" applyFill="1" applyBorder="1" applyAlignment="1">
      <alignment horizontal="center" vertical="center"/>
      <protection/>
    </xf>
    <xf numFmtId="0" fontId="0" fillId="30" borderId="23" xfId="862" applyNumberFormat="1" applyFont="1" applyFill="1" applyBorder="1" applyAlignment="1">
      <alignment horizontal="center" vertical="center" textRotation="255"/>
    </xf>
    <xf numFmtId="0" fontId="0" fillId="30" borderId="22" xfId="862" applyNumberFormat="1" applyFont="1" applyFill="1" applyBorder="1" applyAlignment="1">
      <alignment horizontal="center" vertical="center" textRotation="255"/>
    </xf>
    <xf numFmtId="0" fontId="0" fillId="30" borderId="38" xfId="862" applyNumberFormat="1" applyFont="1" applyFill="1" applyBorder="1" applyAlignment="1">
      <alignment horizontal="center" vertical="center" textRotation="255"/>
    </xf>
    <xf numFmtId="0" fontId="0" fillId="30" borderId="36" xfId="890" applyNumberFormat="1" applyFont="1" applyFill="1" applyBorder="1" applyAlignment="1">
      <alignment horizontal="center" vertical="center"/>
      <protection/>
    </xf>
    <xf numFmtId="0" fontId="0" fillId="30" borderId="37" xfId="890" applyNumberFormat="1" applyFont="1" applyFill="1" applyBorder="1" applyAlignment="1">
      <alignment horizontal="center" vertical="center"/>
      <protection/>
    </xf>
    <xf numFmtId="0" fontId="0" fillId="30" borderId="35" xfId="890" applyNumberFormat="1" applyFont="1" applyFill="1" applyBorder="1" applyAlignment="1">
      <alignment horizontal="center" vertical="center"/>
      <protection/>
    </xf>
    <xf numFmtId="0" fontId="0" fillId="30" borderId="5" xfId="890" applyNumberFormat="1" applyFont="1" applyFill="1" applyBorder="1" applyAlignment="1">
      <alignment horizontal="center" vertical="center"/>
      <protection/>
    </xf>
    <xf numFmtId="0" fontId="0" fillId="30" borderId="40" xfId="890" applyNumberFormat="1" applyFont="1" applyFill="1" applyBorder="1" applyAlignment="1">
      <alignment horizontal="center" vertical="center"/>
      <protection/>
    </xf>
    <xf numFmtId="0" fontId="0" fillId="30" borderId="34" xfId="890" applyNumberFormat="1" applyFont="1" applyFill="1" applyBorder="1" applyAlignment="1">
      <alignment horizontal="center" vertical="center"/>
      <protection/>
    </xf>
    <xf numFmtId="0" fontId="0" fillId="30" borderId="23" xfId="884" applyNumberFormat="1" applyFont="1" applyFill="1" applyBorder="1" applyAlignment="1">
      <alignment horizontal="center" vertical="center" wrapText="1"/>
      <protection/>
    </xf>
    <xf numFmtId="0" fontId="0" fillId="30" borderId="22" xfId="884" applyNumberFormat="1" applyFont="1" applyFill="1" applyBorder="1" applyAlignment="1">
      <alignment horizontal="center" vertical="center" wrapText="1"/>
      <protection/>
    </xf>
    <xf numFmtId="0" fontId="0" fillId="30" borderId="23" xfId="500" applyNumberFormat="1" applyFont="1" applyFill="1" applyBorder="1" applyAlignment="1">
      <alignment horizontal="center" vertical="center"/>
    </xf>
    <xf numFmtId="0" fontId="0" fillId="30" borderId="22" xfId="500" applyNumberFormat="1" applyFont="1" applyFill="1" applyBorder="1" applyAlignment="1">
      <alignment horizontal="center" vertical="center"/>
    </xf>
    <xf numFmtId="0" fontId="0" fillId="30" borderId="22" xfId="0" applyNumberFormat="1" applyFont="1" applyFill="1" applyBorder="1" applyAlignment="1">
      <alignment horizontal="center" vertical="center"/>
    </xf>
    <xf numFmtId="0" fontId="0" fillId="30" borderId="22" xfId="500" applyNumberFormat="1" applyFont="1" applyFill="1" applyBorder="1" applyAlignment="1">
      <alignment horizontal="center" vertical="center" wrapText="1"/>
    </xf>
    <xf numFmtId="0" fontId="0" fillId="0" borderId="23" xfId="884" applyNumberFormat="1" applyFont="1" applyBorder="1" applyAlignment="1">
      <alignment horizontal="center" vertical="center" wrapText="1"/>
      <protection/>
    </xf>
    <xf numFmtId="0" fontId="0" fillId="0" borderId="22" xfId="884" applyNumberFormat="1" applyFont="1" applyBorder="1" applyAlignment="1">
      <alignment horizontal="center" vertical="center"/>
      <protection/>
    </xf>
    <xf numFmtId="0" fontId="0" fillId="0" borderId="23" xfId="863" applyNumberFormat="1" applyFont="1" applyBorder="1" applyAlignment="1">
      <alignment horizontal="center" vertical="center"/>
    </xf>
    <xf numFmtId="0" fontId="0" fillId="0" borderId="22" xfId="863" applyNumberFormat="1" applyFont="1" applyBorder="1" applyAlignment="1">
      <alignment horizontal="center" vertical="center"/>
    </xf>
    <xf numFmtId="0" fontId="0" fillId="0" borderId="37" xfId="884" applyNumberFormat="1" applyFont="1" applyBorder="1" applyAlignment="1">
      <alignment horizontal="center" vertical="center"/>
      <protection/>
    </xf>
    <xf numFmtId="0" fontId="0" fillId="0" borderId="40" xfId="884" applyNumberFormat="1" applyFont="1" applyBorder="1" applyAlignment="1">
      <alignment horizontal="center" vertical="center"/>
      <protection/>
    </xf>
    <xf numFmtId="0" fontId="0" fillId="0" borderId="36" xfId="884" applyNumberFormat="1" applyFont="1" applyBorder="1" applyAlignment="1">
      <alignment horizontal="center" vertical="center"/>
      <protection/>
    </xf>
    <xf numFmtId="0" fontId="0" fillId="0" borderId="5" xfId="884" applyNumberFormat="1" applyFont="1" applyBorder="1" applyAlignment="1">
      <alignment horizontal="center" vertical="center"/>
      <protection/>
    </xf>
    <xf numFmtId="0" fontId="0" fillId="0" borderId="35" xfId="884" applyNumberFormat="1" applyFont="1" applyBorder="1" applyAlignment="1">
      <alignment horizontal="center" vertical="center"/>
      <protection/>
    </xf>
    <xf numFmtId="0" fontId="0" fillId="0" borderId="34" xfId="884" applyNumberFormat="1" applyFont="1" applyBorder="1" applyAlignment="1">
      <alignment horizontal="center" vertical="center"/>
      <protection/>
    </xf>
    <xf numFmtId="0" fontId="20" fillId="0" borderId="28" xfId="892" applyNumberFormat="1" applyFont="1" applyBorder="1" applyAlignment="1">
      <alignment horizontal="center" vertical="center" wrapText="1"/>
      <protection/>
    </xf>
    <xf numFmtId="0" fontId="20" fillId="0" borderId="2" xfId="892" applyNumberFormat="1" applyFont="1" applyBorder="1" applyAlignment="1">
      <alignment horizontal="center" vertical="center" wrapText="1"/>
      <protection/>
    </xf>
    <xf numFmtId="0" fontId="0" fillId="0" borderId="33" xfId="0" applyNumberFormat="1" applyFont="1" applyBorder="1" applyAlignment="1">
      <alignment vertical="center"/>
    </xf>
  </cellXfs>
  <cellStyles count="101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" xfId="15"/>
    <cellStyle name="          &#13;&#10;386grabber=vga.3gr&#13;&#10;" xfId="16"/>
    <cellStyle name="Ი_x000B_" xfId="17"/>
    <cellStyle name="&quot;" xfId="18"/>
    <cellStyle name="#" xfId="19"/>
    <cellStyle name="#,##0" xfId="20"/>
    <cellStyle name="#,##0.0" xfId="21"/>
    <cellStyle name="#,##0.00" xfId="22"/>
    <cellStyle name="#,##0.000" xfId="23"/>
    <cellStyle name="#,##0_목차" xfId="24"/>
    <cellStyle name="#_1. 경기문화재단" xfId="25"/>
    <cellStyle name="#_1-1. 경기문화재단" xfId="26"/>
    <cellStyle name="#_2. 경기도박물관" xfId="27"/>
    <cellStyle name="#_4. 경기도자박물관" xfId="28"/>
    <cellStyle name="#_경기문화재단종합관리" xfId="29"/>
    <cellStyle name="#_청소업무용역(수정-최종)" xfId="30"/>
    <cellStyle name="$" xfId="31"/>
    <cellStyle name="$_0008금감원통합감독검사정보시스템" xfId="32"/>
    <cellStyle name="$_0009김포공항LED교체공사(광일)" xfId="33"/>
    <cellStyle name="$_0011긴급전화기정산(99년형광일)" xfId="34"/>
    <cellStyle name="$_0011부산종합경기장전광판" xfId="35"/>
    <cellStyle name="$_0011부산종합경기장전광판_강원지역본부(2006년_060109)" xfId="36"/>
    <cellStyle name="$_0011부산종합경기장전광판_경남지역본부-" xfId="37"/>
    <cellStyle name="$_0011부산종합경기장전광판_경북지역본부-" xfId="38"/>
    <cellStyle name="$_0011부산종합경기장전광판_중부지역본부-" xfId="39"/>
    <cellStyle name="$_0011부산종합경기장전광판_충청지역본부-" xfId="40"/>
    <cellStyle name="$_0011부산종합경기장전광판_통행료면탈방지시스템(최종)" xfId="41"/>
    <cellStyle name="$_0011부산종합경기장전광판_호남지역본부-" xfId="42"/>
    <cellStyle name="$_0011KIST소각설비제작설치" xfId="43"/>
    <cellStyle name="$_0012문화유적지표석제작설치" xfId="44"/>
    <cellStyle name="$_0102국제조명신공항분수조명" xfId="45"/>
    <cellStyle name="$_0102국제조명신공항분수조명_강원지역본부(2006년_060109)" xfId="46"/>
    <cellStyle name="$_0102국제조명신공항분수조명_경남지역본부-" xfId="47"/>
    <cellStyle name="$_0102국제조명신공항분수조명_경북지역본부-" xfId="48"/>
    <cellStyle name="$_0102국제조명신공항분수조명_중부지역본부-" xfId="49"/>
    <cellStyle name="$_0102국제조명신공항분수조명_충청지역본부-" xfId="50"/>
    <cellStyle name="$_0102국제조명신공항분수조명_통행료면탈방지시스템(최종)" xfId="51"/>
    <cellStyle name="$_0102국제조명신공항분수조명_호남지역본부-" xfId="52"/>
    <cellStyle name="$_0103회전식현수막게시대제작설치" xfId="53"/>
    <cellStyle name="$_0104포항시침출수처리시스템" xfId="54"/>
    <cellStyle name="$_0105담배자판기개조원가" xfId="55"/>
    <cellStyle name="$_0105담배자판기개조원가_강원지역본부(2006년_060109)" xfId="56"/>
    <cellStyle name="$_0105담배자판기개조원가_경남지역본부-" xfId="57"/>
    <cellStyle name="$_0105담배자판기개조원가_경북지역본부-" xfId="58"/>
    <cellStyle name="$_0105담배자판기개조원가_중부지역본부-" xfId="59"/>
    <cellStyle name="$_0105담배자판기개조원가_충청지역본부-" xfId="60"/>
    <cellStyle name="$_0105담배자판기개조원가_통행료면탈방지시스템(최종)" xfId="61"/>
    <cellStyle name="$_0105담배자판기개조원가_호남지역본부-" xfId="62"/>
    <cellStyle name="$_0106LG인버터냉난방기제작-1" xfId="63"/>
    <cellStyle name="$_0106LG인버터냉난방기제작-1_강원지역본부(2006년_060109)" xfId="64"/>
    <cellStyle name="$_0106LG인버터냉난방기제작-1_경남지역본부-" xfId="65"/>
    <cellStyle name="$_0106LG인버터냉난방기제작-1_경북지역본부-" xfId="66"/>
    <cellStyle name="$_0106LG인버터냉난방기제작-1_중부지역본부-" xfId="67"/>
    <cellStyle name="$_0106LG인버터냉난방기제작-1_충청지역본부-" xfId="68"/>
    <cellStyle name="$_0106LG인버터냉난방기제작-1_통행료면탈방지시스템(최종)" xfId="69"/>
    <cellStyle name="$_0106LG인버터냉난방기제작-1_호남지역본부-" xfId="70"/>
    <cellStyle name="$_0107광전송장비구매설치" xfId="71"/>
    <cellStyle name="$_0107도공IBS설비SW부문(참조)" xfId="72"/>
    <cellStyle name="$_0107문화재복원용목재-8월6일" xfId="73"/>
    <cellStyle name="$_0107문화재복원용목재-8월6일_강원지역본부(2006년_060109)" xfId="74"/>
    <cellStyle name="$_0107문화재복원용목재-8월6일_경남지역본부-" xfId="75"/>
    <cellStyle name="$_0107문화재복원용목재-8월6일_경북지역본부-" xfId="76"/>
    <cellStyle name="$_0107문화재복원용목재-8월6일_중부지역본부-" xfId="77"/>
    <cellStyle name="$_0107문화재복원용목재-8월6일_충청지역본부-" xfId="78"/>
    <cellStyle name="$_0107문화재복원용목재-8월6일_통행료면탈방지시스템(최종)" xfId="79"/>
    <cellStyle name="$_0107문화재복원용목재-8월6일_호남지역본부-" xfId="80"/>
    <cellStyle name="$_0107포천영중수배전반(제조,설치)" xfId="81"/>
    <cellStyle name="$_0108농기반미곡건조기제작설치" xfId="82"/>
    <cellStyle name="$_0108담배인삼공사영업춘추복" xfId="83"/>
    <cellStyle name="$_0108한국전기교통-LED교통신호등((원본))" xfId="84"/>
    <cellStyle name="$_0108한국전기교통-LED교통신호등((원본))_강원지역본부(2006년_060109)" xfId="85"/>
    <cellStyle name="$_0108한국전기교통-LED교통신호등((원본))_경남지역본부-" xfId="86"/>
    <cellStyle name="$_0108한국전기교통-LED교통신호등((원본))_경북지역본부-" xfId="87"/>
    <cellStyle name="$_0108한국전기교통-LED교통신호등((원본))_중부지역본부-" xfId="88"/>
    <cellStyle name="$_0108한국전기교통-LED교통신호등((원본))_충청지역본부-" xfId="89"/>
    <cellStyle name="$_0108한국전기교통-LED교통신호등((원본))_통행료면탈방지시스템(최종)" xfId="90"/>
    <cellStyle name="$_0108한국전기교통-LED교통신호등((원본))_호남지역본부-" xfId="91"/>
    <cellStyle name="$_0111해양수산부등명기제작" xfId="92"/>
    <cellStyle name="$_0111핸디소프트-전자표준문서시스템" xfId="93"/>
    <cellStyle name="$_0112금감원사무자동화시스템" xfId="94"/>
    <cellStyle name="$_0112수도권매립지SW원가" xfId="95"/>
    <cellStyle name="$_0112중고원-HRD종합정보망구축(完)" xfId="96"/>
    <cellStyle name="$_0201종합예술회관의자제작설치" xfId="97"/>
    <cellStyle name="$_0201종합예술회관의자제작설치-1" xfId="98"/>
    <cellStyle name="$_0202마사회근무복" xfId="99"/>
    <cellStyle name="$_0202마사회근무복_강원지역본부(2006년_060109)" xfId="100"/>
    <cellStyle name="$_0202마사회근무복_경남지역본부-" xfId="101"/>
    <cellStyle name="$_0202마사회근무복_경북지역본부-" xfId="102"/>
    <cellStyle name="$_0202마사회근무복_중부지역본부-" xfId="103"/>
    <cellStyle name="$_0202마사회근무복_충청지역본부-" xfId="104"/>
    <cellStyle name="$_0202마사회근무복_통행료면탈방지시스템(최종)" xfId="105"/>
    <cellStyle name="$_0202마사회근무복_호남지역본부-" xfId="106"/>
    <cellStyle name="$_0202부경교재-승강칠판" xfId="107"/>
    <cellStyle name="$_0202부경교재-승강칠판_강원지역본부(2006년_060109)" xfId="108"/>
    <cellStyle name="$_0202부경교재-승강칠판_경남지역본부-" xfId="109"/>
    <cellStyle name="$_0202부경교재-승강칠판_경북지역본부-" xfId="110"/>
    <cellStyle name="$_0202부경교재-승강칠판_중부지역본부-" xfId="111"/>
    <cellStyle name="$_0202부경교재-승강칠판_충청지역본부-" xfId="112"/>
    <cellStyle name="$_0202부경교재-승강칠판_통행료면탈방지시스템(최종)" xfId="113"/>
    <cellStyle name="$_0202부경교재-승강칠판_호남지역본부-" xfId="114"/>
    <cellStyle name="$_0204한국석묘납골함-1규격" xfId="115"/>
    <cellStyle name="$_0205TTMS-긴급전화기&amp;전체총괄" xfId="116"/>
    <cellStyle name="$_0206금감원금융정보교환망재구축" xfId="117"/>
    <cellStyle name="$_0206정통부수납장표기기제작설치" xfId="118"/>
    <cellStyle name="$_0207담배인삼공사-담요" xfId="119"/>
    <cellStyle name="$_0208레비텍-다층여과기설계변경" xfId="120"/>
    <cellStyle name="$_0209이산화염소발생기-설치(50K)" xfId="121"/>
    <cellStyle name="$_0210현대정보기술-TD이중계" xfId="122"/>
    <cellStyle name="$_0211조달청-#1대북지원사업정산(1월7일)" xfId="123"/>
    <cellStyle name="$_0212금감원-법규정보시스템(完)" xfId="124"/>
    <cellStyle name="$_0301교통방송-CCTV유지보수" xfId="125"/>
    <cellStyle name="$_0302인천경찰청-무인단속기위탁관리" xfId="126"/>
    <cellStyle name="$_0302조달청-대북지원2차(안성연)" xfId="127"/>
    <cellStyle name="$_0302조달청-대북지원2차(최수현)" xfId="128"/>
    <cellStyle name="$_0302표준문서-쌍용정보통신(신)" xfId="129"/>
    <cellStyle name="$_0304소프트파워-정부표준전자문서시스템" xfId="130"/>
    <cellStyle name="$_0304소프트파워-정부표준전자문서시스템(完)" xfId="131"/>
    <cellStyle name="$_0304철도청-주변환장치-1" xfId="132"/>
    <cellStyle name="$_0305금감원-금융통계정보시스템구축(完)" xfId="133"/>
    <cellStyle name="$_0305제낭조합-면범포지" xfId="134"/>
    <cellStyle name="$_0306제낭공업협동조합-면범포지원단(경비까지)" xfId="135"/>
    <cellStyle name="$_0307경찰청-무인교통단속표준SW개발용역(完)" xfId="136"/>
    <cellStyle name="$_0308조달청-#8대북지원사업정산" xfId="137"/>
    <cellStyle name="$_0309두합크린텍-설치원가" xfId="138"/>
    <cellStyle name="$_0309조달청-#9대북지원사업정산" xfId="139"/>
    <cellStyle name="$_0310여주상수도-탈수기(유천ENG)" xfId="140"/>
    <cellStyle name="$_0311대기해양작업시간" xfId="141"/>
    <cellStyle name="$_0311대기해양중형등명기" xfId="142"/>
    <cellStyle name="$_0312국민체육진흥공단-전기부문" xfId="143"/>
    <cellStyle name="$_0312대기해양-중형등명기제작설치" xfId="144"/>
    <cellStyle name="$_0312라이준-칼라아스콘4규격" xfId="145"/>
    <cellStyle name="$_0401집진기프로그램SW개발비산정" xfId="146"/>
    <cellStyle name="$_13. 관리동" xfId="147"/>
    <cellStyle name="$_2001-06조달청신성-한냉지형" xfId="148"/>
    <cellStyle name="$_2002-03경찰대학-졸업식" xfId="149"/>
    <cellStyle name="$_2002-03경찰청-경찰표지장" xfId="150"/>
    <cellStyle name="$_2002-03반디-가로등(열주형)" xfId="151"/>
    <cellStyle name="$_2002-03신화전자-감지기" xfId="152"/>
    <cellStyle name="$_2002-04강원랜드-슬러트머신" xfId="153"/>
    <cellStyle name="$_2002-04메가컴-외주무대" xfId="154"/>
    <cellStyle name="$_2002-04엘지애드-무대" xfId="155"/>
    <cellStyle name="$_2002-05강원랜드-슬러트머신(넥스터)" xfId="156"/>
    <cellStyle name="$_2002-05경기경찰청-냉온수기공사" xfId="157"/>
    <cellStyle name="$_2002-05대통령비서실-카페트" xfId="158"/>
    <cellStyle name="$_2002결과표" xfId="159"/>
    <cellStyle name="$_2002결과표_강원지역본부(2006년_060109)" xfId="160"/>
    <cellStyle name="$_2002결과표_경남지역본부-" xfId="161"/>
    <cellStyle name="$_2002결과표_경북지역본부-" xfId="162"/>
    <cellStyle name="$_2002결과표_중부지역본부-" xfId="163"/>
    <cellStyle name="$_2002결과표_충청지역본부-" xfId="164"/>
    <cellStyle name="$_2002결과표_통행료면탈방지시스템(최종)" xfId="165"/>
    <cellStyle name="$_2002결과표_호남지역본부-" xfId="166"/>
    <cellStyle name="$_2002결과표1" xfId="167"/>
    <cellStyle name="$_2003-01정일사-표창5종" xfId="168"/>
    <cellStyle name="$_간지,목차,페이지,표지" xfId="169"/>
    <cellStyle name="$_강원지역본부(2006년_060109)" xfId="170"/>
    <cellStyle name="$_견적2" xfId="171"/>
    <cellStyle name="$_경남지역본부-" xfId="172"/>
    <cellStyle name="$_경북지역본부-" xfId="173"/>
    <cellStyle name="$_경찰청-근무,기동복" xfId="174"/>
    <cellStyle name="$_공사일반관리비양식" xfId="175"/>
    <cellStyle name="$_관리동sw" xfId="176"/>
    <cellStyle name="$_기아" xfId="177"/>
    <cellStyle name="$_기초공사" xfId="178"/>
    <cellStyle name="$_네인텍정보기술-회로카드(수현)" xfId="179"/>
    <cellStyle name="$_대기해양노무비" xfId="180"/>
    <cellStyle name="$_대북자재8월분" xfId="181"/>
    <cellStyle name="$_대북자재8월분-1" xfId="182"/>
    <cellStyle name="$_동산용사촌수현(원본)" xfId="183"/>
    <cellStyle name="$_목차" xfId="184"/>
    <cellStyle name="$_백제군사전시1" xfId="185"/>
    <cellStyle name="$_수초제거기(대양기계)" xfId="186"/>
    <cellStyle name="$_수초제거기(대양기계)_강원지역본부(2006년_060109)" xfId="187"/>
    <cellStyle name="$_수초제거기(대양기계)_경남지역본부-" xfId="188"/>
    <cellStyle name="$_수초제거기(대양기계)_경북지역본부-" xfId="189"/>
    <cellStyle name="$_수초제거기(대양기계)_중부지역본부-" xfId="190"/>
    <cellStyle name="$_수초제거기(대양기계)_충청지역본부-" xfId="191"/>
    <cellStyle name="$_수초제거기(대양기계)_통행료면탈방지시스템(최종)" xfId="192"/>
    <cellStyle name="$_수초제거기(대양기계)_호남지역본부-" xfId="193"/>
    <cellStyle name="$_시설용역" xfId="194"/>
    <cellStyle name="$_암전정밀실체현미경(수현)" xfId="195"/>
    <cellStyle name="$_오리엔탈" xfId="196"/>
    <cellStyle name="$_원본 - 한국전기교통-개선형신호등 4종" xfId="197"/>
    <cellStyle name="$_원본 - 한국전기교통-개선형신호등 4종_강원지역본부(2006년_060109)" xfId="198"/>
    <cellStyle name="$_원본 - 한국전기교통-개선형신호등 4종_경남지역본부-" xfId="199"/>
    <cellStyle name="$_원본 - 한국전기교통-개선형신호등 4종_경북지역본부-" xfId="200"/>
    <cellStyle name="$_원본 - 한국전기교통-개선형신호등 4종_중부지역본부-" xfId="201"/>
    <cellStyle name="$_원본 - 한국전기교통-개선형신호등 4종_충청지역본부-" xfId="202"/>
    <cellStyle name="$_원본 - 한국전기교통-개선형신호등 4종_통행료면탈방지시스템(최종)" xfId="203"/>
    <cellStyle name="$_원본 - 한국전기교통-개선형신호등 4종_호남지역본부-" xfId="204"/>
    <cellStyle name="$_제경비율모음" xfId="205"/>
    <cellStyle name="$_제조원가" xfId="206"/>
    <cellStyle name="$_조달청-대북지원3차(최수현)" xfId="207"/>
    <cellStyle name="$_조달청-대북지원4차(최수현)" xfId="208"/>
    <cellStyle name="$_조달청-대북지원5차(최수현)" xfId="209"/>
    <cellStyle name="$_조달청-대북지원6차(번호)" xfId="210"/>
    <cellStyle name="$_조달청-대북지원6차(최수현)" xfId="211"/>
    <cellStyle name="$_조달청-대북지원7차(최수현)" xfId="212"/>
    <cellStyle name="$_조달청-대북지원8차(최수현)" xfId="213"/>
    <cellStyle name="$_조달청-대북지원9차(최수현)" xfId="214"/>
    <cellStyle name="$_조달청-B판사천강교제작(최종본)" xfId="215"/>
    <cellStyle name="$_중부지역본부-" xfId="216"/>
    <cellStyle name="$_중앙선관위(투표,개표)" xfId="217"/>
    <cellStyle name="$_중앙선관위(투표,개표)-사본" xfId="218"/>
    <cellStyle name="$_철공가공조립" xfId="219"/>
    <cellStyle name="$_최종-한국전기교통-개선형신호등 4종(공수조정)" xfId="220"/>
    <cellStyle name="$_최종-한국전기교통-개선형신호등 4종(공수조정)_강원지역본부(2006년_060109)" xfId="221"/>
    <cellStyle name="$_최종-한국전기교통-개선형신호등 4종(공수조정)_경남지역본부-" xfId="222"/>
    <cellStyle name="$_최종-한국전기교통-개선형신호등 4종(공수조정)_경북지역본부-" xfId="223"/>
    <cellStyle name="$_최종-한국전기교통-개선형신호등 4종(공수조정)_중부지역본부-" xfId="224"/>
    <cellStyle name="$_최종-한국전기교통-개선형신호등 4종(공수조정)_충청지역본부-" xfId="225"/>
    <cellStyle name="$_최종-한국전기교통-개선형신호등 4종(공수조정)_통행료면탈방지시스템(최종)" xfId="226"/>
    <cellStyle name="$_최종-한국전기교통-개선형신호등 4종(공수조정)_호남지역본부-" xfId="227"/>
    <cellStyle name="$_충청지역본부-" xfId="228"/>
    <cellStyle name="$_코솔라-제조원가" xfId="229"/>
    <cellStyle name="$_토지공사-간접비" xfId="230"/>
    <cellStyle name="$_통행료면탈방지시스템(최종)" xfId="231"/>
    <cellStyle name="$_한국도로공사" xfId="232"/>
    <cellStyle name="$_한전내역서-최종" xfId="233"/>
    <cellStyle name="$_호남지역본부-" xfId="234"/>
    <cellStyle name="$_db진흥" xfId="235"/>
    <cellStyle name="$_Pilot플랜트-계변경" xfId="236"/>
    <cellStyle name="$_Pilot플랜트이전설치-변경최종" xfId="237"/>
    <cellStyle name="$_SE40" xfId="238"/>
    <cellStyle name="$_SW(케이비)" xfId="239"/>
    <cellStyle name="??&amp;쏗?뷐9_x0008__x0011__x0007_?_x0007__x0001__x0001_" xfId="240"/>
    <cellStyle name="??&amp;O?&amp;H?_x0008__x000F__x0007_?_x0007__x0001__x0001_" xfId="241"/>
    <cellStyle name="??&amp;O?&amp;H?_x0008_??_x0007__x0001__x0001_" xfId="242"/>
    <cellStyle name="???­ [0]_¸ð??¸·" xfId="243"/>
    <cellStyle name="???­_¸ð??¸·" xfId="244"/>
    <cellStyle name="???Ø_¸ð??¸·" xfId="245"/>
    <cellStyle name="?曹%U?&amp;H?_x0008_?s&#10;_x0007__x0001__x0001_" xfId="246"/>
    <cellStyle name="?Þ¸¶ [0]_¸ð??¸·" xfId="247"/>
    <cellStyle name="?Þ¸¶_¸ð??¸·" xfId="248"/>
    <cellStyle name="?W?_laroux" xfId="249"/>
    <cellStyle name="@_laroux" xfId="250"/>
    <cellStyle name="@_laroux_제트베인" xfId="251"/>
    <cellStyle name="@_laroux_제트베인_1" xfId="252"/>
    <cellStyle name="_06년)하이패스_점검내역" xfId="253"/>
    <cellStyle name="_1_터널교통관리시설구축_공사설계서(달성12터널외2개소)" xfId="254"/>
    <cellStyle name="_11.통합보안관리서버" xfId="255"/>
    <cellStyle name="_1220-원가조사-전자지불" xfId="256"/>
    <cellStyle name="_2001 장애조치" xfId="257"/>
    <cellStyle name="_2002결과표1" xfId="258"/>
    <cellStyle name="_간지" xfId="259"/>
    <cellStyle name="_간지,목차,페이지,표지" xfId="260"/>
    <cellStyle name="_감가상각(01년도) (2)" xfId="261"/>
    <cellStyle name="_감가상각(01년도) (3)" xfId="262"/>
    <cellStyle name="_강산FRP" xfId="263"/>
    <cellStyle name="_강원지역본부" xfId="264"/>
    <cellStyle name="_강원지역본부(2006년)" xfId="265"/>
    <cellStyle name="_강원지역본부(2006년_060109)" xfId="266"/>
    <cellStyle name="_강원지역본부(2006년_060109)" xfId="267"/>
    <cellStyle name="_강원지역본부(2006년-051228)" xfId="268"/>
    <cellStyle name="_강원지역본부(2006년-060102)" xfId="269"/>
    <cellStyle name="_개요" xfId="270"/>
    <cellStyle name="_개요(봉림)-참고용" xfId="271"/>
    <cellStyle name="_개요(봉림)-최종" xfId="272"/>
    <cellStyle name="_개요(주안-인천)" xfId="273"/>
    <cellStyle name="_견적서_모바일경기-정현창" xfId="274"/>
    <cellStyle name="_경남본부_2006년도_유지관리대상수량" xfId="275"/>
    <cellStyle name="_경남본부_2006년도_유지관리대상수량_경남지역본부(2006년)" xfId="276"/>
    <cellStyle name="_경남본부_2006년도_유지관리대상수량_경남지역본부(2006년도)" xfId="277"/>
    <cellStyle name="_경남지역본부-" xfId="278"/>
    <cellStyle name="_경남지역본부-" xfId="279"/>
    <cellStyle name="_경남지역본부_20041220_상반기" xfId="280"/>
    <cellStyle name="_경남지역본부_20041220_상반기_2005년도급내역서" xfId="281"/>
    <cellStyle name="_경남지역본부_20041220_상반기_2005년도급내역서_강원지역본부(2006년)" xfId="282"/>
    <cellStyle name="_경남지역본부_20041220_상반기_2005년도급내역서_강원지역본부(2006년-051228)" xfId="283"/>
    <cellStyle name="_경남지역본부_20041220_상반기_2005년도급내역서_강원지역본부(2006년-060102)" xfId="284"/>
    <cellStyle name="_경남지역본부_20041220_상반기_2005년도급내역서_경남본부_2006년도_유지관리대상수량" xfId="285"/>
    <cellStyle name="_경남지역본부_20041220_상반기_2005년도급내역서_경남본부_2006년도_유지관리대상수량_경남지역본부(2006년)" xfId="286"/>
    <cellStyle name="_경남지역본부_20041220_상반기_2005년도급내역서_경남본부_2006년도_유지관리대상수량_경남지역본부(2006년도)" xfId="287"/>
    <cellStyle name="_경남지역본부_20041220_상반기_2005년도급내역서_중부지역본부(2006년)_기준" xfId="288"/>
    <cellStyle name="_경남지역본부_20041220_상반기_2005년도급내역서_중부지역본부(2006년)_기준_경남지역본부(2006년)" xfId="289"/>
    <cellStyle name="_경남지역본부_20041220_상반기_2005년도급내역서_중부지역본부(2006년)_기준_경남지역본부(2006년도)" xfId="290"/>
    <cellStyle name="_경남지역본부_20041220_상반기_2005년도급내역서_중부지역본부(2006년)_기준_경북지역본부(2006년)" xfId="291"/>
    <cellStyle name="_경남지역본부_20041220_상반기_2005년도급내역서_중부지역본부(2006년)_기준_경북지역본부(2006년도)" xfId="292"/>
    <cellStyle name="_경남지역본부_20041220_상반기_2005년도급내역서_중부지역본부(2006년-051220)" xfId="293"/>
    <cellStyle name="_경남지역본부_20041220_상반기_2005년도급내역서_중부지역본부(2006년-051228)" xfId="294"/>
    <cellStyle name="_경남지역본부_20041220_상반기_2005년도급내역서_중부지역본부(2006년-060102)" xfId="295"/>
    <cellStyle name="_경남지역본부_20041220_상반기_2005년도급내역서_TTMS위탁수량(KHC)" xfId="296"/>
    <cellStyle name="_경남지역본부_20041220_상반기_강원지역본부(2006년)" xfId="297"/>
    <cellStyle name="_경남지역본부_20041220_상반기_강원지역본부(2006년-051228)" xfId="298"/>
    <cellStyle name="_경남지역본부_20041220_상반기_강원지역본부(2006년-060102)" xfId="299"/>
    <cellStyle name="_경남지역본부_20041220_상반기_경남본부_2006년도_유지관리대상수량" xfId="300"/>
    <cellStyle name="_경남지역본부_20041220_상반기_경남본부_2006년도_유지관리대상수량_경남지역본부(2006년)" xfId="301"/>
    <cellStyle name="_경남지역본부_20041220_상반기_경남본부_2006년도_유지관리대상수량_경남지역본부(2006년도)" xfId="302"/>
    <cellStyle name="_경남지역본부_20041220_상반기_중부지역본부(2006년)_기준" xfId="303"/>
    <cellStyle name="_경남지역본부_20041220_상반기_중부지역본부(2006년)_기준_경남지역본부(2006년)" xfId="304"/>
    <cellStyle name="_경남지역본부_20041220_상반기_중부지역본부(2006년)_기준_경남지역본부(2006년도)" xfId="305"/>
    <cellStyle name="_경남지역본부_20041220_상반기_중부지역본부(2006년)_기준_경북지역본부(2006년)" xfId="306"/>
    <cellStyle name="_경남지역본부_20041220_상반기_중부지역본부(2006년)_기준_경북지역본부(2006년도)" xfId="307"/>
    <cellStyle name="_경남지역본부_20041220_상반기_중부지역본부(2006년-051220)" xfId="308"/>
    <cellStyle name="_경남지역본부_20041220_상반기_중부지역본부(2006년-051228)" xfId="309"/>
    <cellStyle name="_경남지역본부_20041220_상반기_중부지역본부(2006년-060102)" xfId="310"/>
    <cellStyle name="_경남지역본부_20041220_상반기_TTMS위탁수량(KHC)" xfId="311"/>
    <cellStyle name="_경북031002" xfId="312"/>
    <cellStyle name="_경북지역본부-" xfId="313"/>
    <cellStyle name="_경북지역본부-" xfId="314"/>
    <cellStyle name="_계중기(051216)" xfId="315"/>
    <cellStyle name="_고객서비스모니터링" xfId="316"/>
    <cellStyle name="_과학의 날 행사용 영상물제작" xfId="317"/>
    <cellStyle name="_광가입자전송장비(FLC)삼성" xfId="318"/>
    <cellStyle name="_광안리내역서(구도)" xfId="319"/>
    <cellStyle name="_광케이블_SNI_LGCNS_1" xfId="320"/>
    <cellStyle name="_구로지사 증축 및 보수공사 2차(최종)-12.16(신규)" xfId="321"/>
    <cellStyle name="_구로지사 증축 및 보수공사(최종)+개요" xfId="322"/>
    <cellStyle name="_기초공사" xfId="323"/>
    <cellStyle name="_나노엔텍(임금)" xfId="324"/>
    <cellStyle name="_내역(991895-7)" xfId="325"/>
    <cellStyle name="_내역(991895-7)-01" xfId="326"/>
    <cellStyle name="_내역(991895-7)-12-3일작업" xfId="327"/>
    <cellStyle name="_내역서" xfId="328"/>
    <cellStyle name="_내역서(서남권)" xfId="329"/>
    <cellStyle name="_내역서+개요(월배통신)" xfId="330"/>
    <cellStyle name="_내역서+개요(전기)-6.7(최종)" xfId="331"/>
    <cellStyle name="_내역서+개요(통신)" xfId="332"/>
    <cellStyle name="_농수로3종외-최종" xfId="333"/>
    <cellStyle name="_단가비교" xfId="334"/>
    <cellStyle name="_대전망운용국 대수선 전기공사+개요" xfId="335"/>
    <cellStyle name="_동목포전화국제4회기성청구서" xfId="336"/>
    <cellStyle name="_동학농민(전기)(02.09.05)" xfId="337"/>
    <cellStyle name="_모바일 경기넷 구축 사업(최종)" xfId="338"/>
    <cellStyle name="_목차" xfId="339"/>
    <cellStyle name="_목차_1. 경기문화재단" xfId="340"/>
    <cellStyle name="_목차_1-1. 경기문화재단" xfId="341"/>
    <cellStyle name="_목차_2. 경기도박물관" xfId="342"/>
    <cellStyle name="_목차_4. 경기도자박물관" xfId="343"/>
    <cellStyle name="_목차_경기문화재단종합관리" xfId="344"/>
    <cellStyle name="_목차_청소업무용역(수정-최종)" xfId="345"/>
    <cellStyle name="_무역 전시회 지원성과" xfId="346"/>
    <cellStyle name="_봉림고교 교사신축(최종)" xfId="347"/>
    <cellStyle name="_봉림고교 교사신축(최종)-참고용" xfId="348"/>
    <cellStyle name="_브랜드개발" xfId="349"/>
    <cellStyle name="_샤워식분무기(최종)" xfId="350"/>
    <cellStyle name="_서울과학관의장" xfId="351"/>
    <cellStyle name="_신흥기업사-최종" xfId="352"/>
    <cellStyle name="_안양지식산업진흥원" xfId="353"/>
    <cellStyle name="_연구원실험대(24종)-최종" xfId="354"/>
    <cellStyle name="_원격유지관리시스템(2004)" xfId="355"/>
    <cellStyle name="_유선설비(051216)" xfId="356"/>
    <cellStyle name="_일위대가" xfId="357"/>
    <cellStyle name="_자재비교표" xfId="358"/>
    <cellStyle name="_장현중(내역서+개요)" xfId="359"/>
    <cellStyle name="_재료비" xfId="360"/>
    <cellStyle name="_전자지불(삼성SDS)" xfId="361"/>
    <cellStyle name="_전자지불-(케이비)" xfId="362"/>
    <cellStyle name="_정보통신-광통신망관리(050214)" xfId="363"/>
    <cellStyle name="_제일은행하계근무복" xfId="364"/>
    <cellStyle name="_중부지역본부-" xfId="365"/>
    <cellStyle name="_중부지역본부-" xfId="366"/>
    <cellStyle name="_중부지역본부(2006년)_기준" xfId="367"/>
    <cellStyle name="_중부지역본부(2006년)_기준_경남지역본부(2006년)" xfId="368"/>
    <cellStyle name="_중부지역본부(2006년)_기준_경남지역본부(2006년도)" xfId="369"/>
    <cellStyle name="_중부지역본부(2006년)_기준_경북지역본부(2006년)" xfId="370"/>
    <cellStyle name="_중부지역본부(2006년)_기준_경북지역본부(2006년도)" xfId="371"/>
    <cellStyle name="_중부지역본부(2006년-051220)" xfId="372"/>
    <cellStyle name="_중부지역본부(2006년-051228)" xfId="373"/>
    <cellStyle name="_중부지역본부(2006년-060102)" xfId="374"/>
    <cellStyle name="_증권예탁원_퇴직연금시스템_구축_요약_Ver2" xfId="375"/>
    <cellStyle name="_직접경비" xfId="376"/>
    <cellStyle name="_창(에리트(설치제외)" xfId="377"/>
    <cellStyle name="_총괄(최종)" xfId="378"/>
    <cellStyle name="_춘천전화국증축통신+개요" xfId="379"/>
    <cellStyle name="_춘천합동내역+개요(수정한최종)" xfId="380"/>
    <cellStyle name="_충청지역본부-" xfId="381"/>
    <cellStyle name="_테마공사새로03" xfId="382"/>
    <cellStyle name="_통행료 전자지불 SW" xfId="383"/>
    <cellStyle name="_통행료면탈방지시스템(최종)" xfId="384"/>
    <cellStyle name="_통행료면탈방지시스템(최종)" xfId="385"/>
    <cellStyle name="_퇴직연금 기록관리 시스템" xfId="386"/>
    <cellStyle name="_표지" xfId="387"/>
    <cellStyle name="_하이패스 전자지불(050214)" xfId="388"/>
    <cellStyle name="_하이패스(최종)" xfId="389"/>
    <cellStyle name="_호남지역본부-" xfId="390"/>
    <cellStyle name="_호남지역본부-20041220" xfId="391"/>
    <cellStyle name="_흙막이공사(일위)" xfId="392"/>
    <cellStyle name="_C앤C" xfId="393"/>
    <cellStyle name="_C앤C(네트웍)" xfId="394"/>
    <cellStyle name="_C앤C원가계산" xfId="395"/>
    <cellStyle name="_GN_극동건설(주)_덕정병원_토목(작업)-1" xfId="396"/>
    <cellStyle name="_TCS 영업소(050214)" xfId="397"/>
    <cellStyle name="_TCS_축중기" xfId="398"/>
    <cellStyle name="_TTMS위탁수량(KHC)" xfId="399"/>
    <cellStyle name="´þ·?" xfId="400"/>
    <cellStyle name="’E‰Y [0.00]_laroux" xfId="401"/>
    <cellStyle name="’E‰Y_laroux" xfId="402"/>
    <cellStyle name="¤@?e_TEST-1 " xfId="403"/>
    <cellStyle name="°ia¤¼o¼ya¡" xfId="404"/>
    <cellStyle name="°ia¤aa·a1" xfId="405"/>
    <cellStyle name="°ia¤aa·a2" xfId="406"/>
    <cellStyle name="0%" xfId="407"/>
    <cellStyle name="0,0&#13;&#10;NA&#13;&#10;" xfId="408"/>
    <cellStyle name="0.0" xfId="409"/>
    <cellStyle name="0.0%" xfId="410"/>
    <cellStyle name="0.00" xfId="411"/>
    <cellStyle name="0.00%" xfId="412"/>
    <cellStyle name="0.000%" xfId="413"/>
    <cellStyle name="0.0000%" xfId="414"/>
    <cellStyle name="1" xfId="415"/>
    <cellStyle name="10" xfId="416"/>
    <cellStyle name="120" xfId="417"/>
    <cellStyle name="19990216" xfId="418"/>
    <cellStyle name="1월" xfId="419"/>
    <cellStyle name="¹éº" xfId="420"/>
    <cellStyle name="20% - 강조색1" xfId="421"/>
    <cellStyle name="20% - 강조색2" xfId="422"/>
    <cellStyle name="20% - 강조색3" xfId="423"/>
    <cellStyle name="20% - 강조색4" xfId="424"/>
    <cellStyle name="20% - 강조색5" xfId="425"/>
    <cellStyle name="20% - 강조색6" xfId="426"/>
    <cellStyle name="³?a￥" xfId="427"/>
    <cellStyle name="40% - 강조색1" xfId="428"/>
    <cellStyle name="40% - 강조색2" xfId="429"/>
    <cellStyle name="40% - 강조색3" xfId="430"/>
    <cellStyle name="40% - 강조색4" xfId="431"/>
    <cellStyle name="40% - 강조색5" xfId="432"/>
    <cellStyle name="40% - 강조색6" xfId="433"/>
    <cellStyle name="60" xfId="434"/>
    <cellStyle name="60% - 강조색1" xfId="435"/>
    <cellStyle name="60% - 강조색2" xfId="436"/>
    <cellStyle name="60% - 강조색3" xfId="437"/>
    <cellStyle name="60% - 강조색4" xfId="438"/>
    <cellStyle name="60% - 강조색5" xfId="439"/>
    <cellStyle name="60% - 강조색6" xfId="440"/>
    <cellStyle name="_x0014_7." xfId="441"/>
    <cellStyle name="강조색1" xfId="442"/>
    <cellStyle name="강조색2" xfId="443"/>
    <cellStyle name="강조색3" xfId="444"/>
    <cellStyle name="강조색4" xfId="445"/>
    <cellStyle name="강조색5" xfId="446"/>
    <cellStyle name="강조색6" xfId="447"/>
    <cellStyle name="경고문" xfId="448"/>
    <cellStyle name="계산" xfId="449"/>
    <cellStyle name="고정소숫점" xfId="450"/>
    <cellStyle name="고정출력1" xfId="451"/>
    <cellStyle name="고정출력2" xfId="452"/>
    <cellStyle name="咬訌裝?INCOM1" xfId="453"/>
    <cellStyle name="咬訌裝?INCOM10" xfId="454"/>
    <cellStyle name="咬訌裝?INCOM2" xfId="455"/>
    <cellStyle name="咬訌裝?INCOM3" xfId="456"/>
    <cellStyle name="咬訌裝?INCOM4" xfId="457"/>
    <cellStyle name="咬訌裝?INCOM5" xfId="458"/>
    <cellStyle name="咬訌裝?INCOM6" xfId="459"/>
    <cellStyle name="咬訌裝?INCOM7" xfId="460"/>
    <cellStyle name="咬訌裝?INCOM8" xfId="461"/>
    <cellStyle name="咬訌裝?INCOM9" xfId="462"/>
    <cellStyle name="咬訌裝?PRIB11" xfId="463"/>
    <cellStyle name="구        분" xfId="464"/>
    <cellStyle name="금액" xfId="465"/>
    <cellStyle name="김해전기" xfId="466"/>
    <cellStyle name="나쁨" xfId="467"/>
    <cellStyle name="날짜" xfId="468"/>
    <cellStyle name="내역서" xfId="469"/>
    <cellStyle name="단위(원)" xfId="470"/>
    <cellStyle name="달러" xfId="471"/>
    <cellStyle name="뒤에 오는 하이퍼링크" xfId="472"/>
    <cellStyle name="똿뗦먛귟 [0.00]_laroux" xfId="473"/>
    <cellStyle name="똿뗦먛귟_laroux" xfId="474"/>
    <cellStyle name="메모" xfId="475"/>
    <cellStyle name="믅됞 [0.00]_laroux" xfId="476"/>
    <cellStyle name="믅됞_laroux" xfId="477"/>
    <cellStyle name="배분" xfId="478"/>
    <cellStyle name="Percent" xfId="479"/>
    <cellStyle name="백분율 [0]" xfId="480"/>
    <cellStyle name="백분율 [2]" xfId="481"/>
    <cellStyle name="백분율［△1］" xfId="482"/>
    <cellStyle name="백분율［△2］" xfId="483"/>
    <cellStyle name="보통" xfId="484"/>
    <cellStyle name="뷭?_?긚??_1" xfId="485"/>
    <cellStyle name="선택영역의 가운데로" xfId="486"/>
    <cellStyle name="설계서" xfId="487"/>
    <cellStyle name="설계서-내용" xfId="488"/>
    <cellStyle name="설계서-내용-소수점" xfId="489"/>
    <cellStyle name="설계서-내용-우" xfId="490"/>
    <cellStyle name="설계서-내용-좌" xfId="491"/>
    <cellStyle name="설계서-소제목" xfId="492"/>
    <cellStyle name="설계서-타이틀" xfId="493"/>
    <cellStyle name="설계서-항목" xfId="494"/>
    <cellStyle name="설명 텍스트" xfId="495"/>
    <cellStyle name="셀 확인" xfId="496"/>
    <cellStyle name="수산" xfId="497"/>
    <cellStyle name="숫자(R)" xfId="498"/>
    <cellStyle name="Comma" xfId="499"/>
    <cellStyle name="Comma [0]" xfId="500"/>
    <cellStyle name="쉼표 [0]_2. 냉온수" xfId="501"/>
    <cellStyle name="스타일 1" xfId="502"/>
    <cellStyle name="스타일 10" xfId="503"/>
    <cellStyle name="스타일 11" xfId="504"/>
    <cellStyle name="스타일 12" xfId="505"/>
    <cellStyle name="스타일 13" xfId="506"/>
    <cellStyle name="스타일 14" xfId="507"/>
    <cellStyle name="스타일 15" xfId="508"/>
    <cellStyle name="스타일 16" xfId="509"/>
    <cellStyle name="스타일 17" xfId="510"/>
    <cellStyle name="스타일 18" xfId="511"/>
    <cellStyle name="스타일 19" xfId="512"/>
    <cellStyle name="스타일 2" xfId="513"/>
    <cellStyle name="스타일 20" xfId="514"/>
    <cellStyle name="스타일 21" xfId="515"/>
    <cellStyle name="스타일 22" xfId="516"/>
    <cellStyle name="스타일 23" xfId="517"/>
    <cellStyle name="스타일 24" xfId="518"/>
    <cellStyle name="스타일 25" xfId="519"/>
    <cellStyle name="스타일 26" xfId="520"/>
    <cellStyle name="스타일 27" xfId="521"/>
    <cellStyle name="스타일 28" xfId="522"/>
    <cellStyle name="스타일 29" xfId="523"/>
    <cellStyle name="스타일 3" xfId="524"/>
    <cellStyle name="스타일 30" xfId="525"/>
    <cellStyle name="스타일 31" xfId="526"/>
    <cellStyle name="스타일 32" xfId="527"/>
    <cellStyle name="스타일 33" xfId="528"/>
    <cellStyle name="스타일 34" xfId="529"/>
    <cellStyle name="스타일 35" xfId="530"/>
    <cellStyle name="스타일 36" xfId="531"/>
    <cellStyle name="스타일 37" xfId="532"/>
    <cellStyle name="스타일 38" xfId="533"/>
    <cellStyle name="스타일 39" xfId="534"/>
    <cellStyle name="스타일 4" xfId="535"/>
    <cellStyle name="스타일 5" xfId="536"/>
    <cellStyle name="스타일 6" xfId="537"/>
    <cellStyle name="스타일 7" xfId="538"/>
    <cellStyle name="스타일 8" xfId="539"/>
    <cellStyle name="스타일 9" xfId="540"/>
    <cellStyle name="안건회계법인" xfId="541"/>
    <cellStyle name="연결된 셀" xfId="542"/>
    <cellStyle name="Followed Hyperlink" xfId="543"/>
    <cellStyle name="요약" xfId="544"/>
    <cellStyle name="원" xfId="545"/>
    <cellStyle name="원_0008금감원통합감독검사정보시스템" xfId="546"/>
    <cellStyle name="원_0009김포공항LED교체공사(광일)" xfId="547"/>
    <cellStyle name="원_0009김포공항LED교체공사(광일)_강원지역본부(2006년_060109)" xfId="548"/>
    <cellStyle name="원_0009김포공항LED교체공사(광일)_경남지역본부-" xfId="549"/>
    <cellStyle name="원_0009김포공항LED교체공사(광일)_경북지역본부-" xfId="550"/>
    <cellStyle name="원_0009김포공항LED교체공사(광일)_중부지역본부-" xfId="551"/>
    <cellStyle name="원_0009김포공항LED교체공사(광일)_충청지역본부-" xfId="552"/>
    <cellStyle name="원_0009김포공항LED교체공사(광일)_통행료면탈방지시스템(최종)" xfId="553"/>
    <cellStyle name="원_0009김포공항LED교체공사(광일)_호남지역본부-" xfId="554"/>
    <cellStyle name="원_0011긴급전화기정산(99년형광일)" xfId="555"/>
    <cellStyle name="원_0011긴급전화기정산(99년형광일)_강원지역본부(2006년_060109)" xfId="556"/>
    <cellStyle name="원_0011긴급전화기정산(99년형광일)_경남지역본부-" xfId="557"/>
    <cellStyle name="원_0011긴급전화기정산(99년형광일)_경북지역본부-" xfId="558"/>
    <cellStyle name="원_0011긴급전화기정산(99년형광일)_중부지역본부-" xfId="559"/>
    <cellStyle name="원_0011긴급전화기정산(99년형광일)_충청지역본부-" xfId="560"/>
    <cellStyle name="원_0011긴급전화기정산(99년형광일)_통행료면탈방지시스템(최종)" xfId="561"/>
    <cellStyle name="원_0011긴급전화기정산(99년형광일)_호남지역본부-" xfId="562"/>
    <cellStyle name="원_0011부산종합경기장전광판" xfId="563"/>
    <cellStyle name="원_0011부산종합경기장전광판_강원지역본부(2006년_060109)" xfId="564"/>
    <cellStyle name="원_0011부산종합경기장전광판_경남지역본부-" xfId="565"/>
    <cellStyle name="원_0011부산종합경기장전광판_경북지역본부-" xfId="566"/>
    <cellStyle name="원_0011부산종합경기장전광판_중부지역본부-" xfId="567"/>
    <cellStyle name="원_0011부산종합경기장전광판_충청지역본부-" xfId="568"/>
    <cellStyle name="원_0011부산종합경기장전광판_통행료면탈방지시스템(최종)" xfId="569"/>
    <cellStyle name="원_0011부산종합경기장전광판_호남지역본부-" xfId="570"/>
    <cellStyle name="원_0011KIST소각설비제작설치" xfId="571"/>
    <cellStyle name="원_0011KIST소각설비제작설치_강원지역본부(2006년_060109)" xfId="572"/>
    <cellStyle name="원_0011KIST소각설비제작설치_경남지역본부-" xfId="573"/>
    <cellStyle name="원_0011KIST소각설비제작설치_경북지역본부-" xfId="574"/>
    <cellStyle name="원_0011KIST소각설비제작설치_중부지역본부-" xfId="575"/>
    <cellStyle name="원_0011KIST소각설비제작설치_충청지역본부-" xfId="576"/>
    <cellStyle name="원_0011KIST소각설비제작설치_통행료면탈방지시스템(최종)" xfId="577"/>
    <cellStyle name="원_0011KIST소각설비제작설치_호남지역본부-" xfId="578"/>
    <cellStyle name="원_0012문화유적지표석제작설치" xfId="579"/>
    <cellStyle name="원_0012문화유적지표석제작설치_강원지역본부(2006년_060109)" xfId="580"/>
    <cellStyle name="원_0012문화유적지표석제작설치_경남지역본부-" xfId="581"/>
    <cellStyle name="원_0012문화유적지표석제작설치_경북지역본부-" xfId="582"/>
    <cellStyle name="원_0012문화유적지표석제작설치_중부지역본부-" xfId="583"/>
    <cellStyle name="원_0012문화유적지표석제작설치_충청지역본부-" xfId="584"/>
    <cellStyle name="원_0012문화유적지표석제작설치_통행료면탈방지시스템(최종)" xfId="585"/>
    <cellStyle name="원_0012문화유적지표석제작설치_호남지역본부-" xfId="586"/>
    <cellStyle name="원_0102국제조명신공항분수조명" xfId="587"/>
    <cellStyle name="원_0102국제조명신공항분수조명_강원지역본부(2006년_060109)" xfId="588"/>
    <cellStyle name="원_0102국제조명신공항분수조명_경남지역본부-" xfId="589"/>
    <cellStyle name="원_0102국제조명신공항분수조명_경북지역본부-" xfId="590"/>
    <cellStyle name="원_0102국제조명신공항분수조명_중부지역본부-" xfId="591"/>
    <cellStyle name="원_0102국제조명신공항분수조명_충청지역본부-" xfId="592"/>
    <cellStyle name="원_0102국제조명신공항분수조명_통행료면탈방지시스템(최종)" xfId="593"/>
    <cellStyle name="원_0102국제조명신공항분수조명_호남지역본부-" xfId="594"/>
    <cellStyle name="원_0103회전식현수막게시대제작설치" xfId="595"/>
    <cellStyle name="원_0104포항시침출수처리시스템" xfId="596"/>
    <cellStyle name="원_0105담배자판기개조원가" xfId="597"/>
    <cellStyle name="원_0105담배자판기개조원가_강원지역본부(2006년_060109)" xfId="598"/>
    <cellStyle name="원_0105담배자판기개조원가_경남지역본부-" xfId="599"/>
    <cellStyle name="원_0105담배자판기개조원가_경북지역본부-" xfId="600"/>
    <cellStyle name="원_0105담배자판기개조원가_중부지역본부-" xfId="601"/>
    <cellStyle name="원_0105담배자판기개조원가_충청지역본부-" xfId="602"/>
    <cellStyle name="원_0105담배자판기개조원가_통행료면탈방지시스템(최종)" xfId="603"/>
    <cellStyle name="원_0105담배자판기개조원가_호남지역본부-" xfId="604"/>
    <cellStyle name="원_0106LG인버터냉난방기제작-1" xfId="605"/>
    <cellStyle name="원_0106LG인버터냉난방기제작-1_강원지역본부(2006년_060109)" xfId="606"/>
    <cellStyle name="원_0106LG인버터냉난방기제작-1_경남지역본부-" xfId="607"/>
    <cellStyle name="원_0106LG인버터냉난방기제작-1_경북지역본부-" xfId="608"/>
    <cellStyle name="원_0106LG인버터냉난방기제작-1_중부지역본부-" xfId="609"/>
    <cellStyle name="원_0106LG인버터냉난방기제작-1_충청지역본부-" xfId="610"/>
    <cellStyle name="원_0106LG인버터냉난방기제작-1_통행료면탈방지시스템(최종)" xfId="611"/>
    <cellStyle name="원_0106LG인버터냉난방기제작-1_호남지역본부-" xfId="612"/>
    <cellStyle name="원_0107광전송장비구매설치" xfId="613"/>
    <cellStyle name="원_0107광전송장비구매설치_강원지역본부(2006년_060109)" xfId="614"/>
    <cellStyle name="원_0107광전송장비구매설치_경남지역본부-" xfId="615"/>
    <cellStyle name="원_0107광전송장비구매설치_경북지역본부-" xfId="616"/>
    <cellStyle name="원_0107광전송장비구매설치_중부지역본부-" xfId="617"/>
    <cellStyle name="원_0107광전송장비구매설치_충청지역본부-" xfId="618"/>
    <cellStyle name="원_0107광전송장비구매설치_통행료면탈방지시스템(최종)" xfId="619"/>
    <cellStyle name="원_0107광전송장비구매설치_호남지역본부-" xfId="620"/>
    <cellStyle name="원_0107도공IBS설비SW부문(참조)" xfId="621"/>
    <cellStyle name="원_0107도공IBS설비SW부문(참조)_강원지역본부(2006년_060109)" xfId="622"/>
    <cellStyle name="원_0107도공IBS설비SW부문(참조)_경남지역본부-" xfId="623"/>
    <cellStyle name="원_0107도공IBS설비SW부문(참조)_경북지역본부-" xfId="624"/>
    <cellStyle name="원_0107도공IBS설비SW부문(참조)_중부지역본부-" xfId="625"/>
    <cellStyle name="원_0107도공IBS설비SW부문(참조)_충청지역본부-" xfId="626"/>
    <cellStyle name="원_0107도공IBS설비SW부문(참조)_통행료면탈방지시스템(최종)" xfId="627"/>
    <cellStyle name="원_0107도공IBS설비SW부문(참조)_호남지역본부-" xfId="628"/>
    <cellStyle name="원_0107문화재복원용목재-8월6일" xfId="629"/>
    <cellStyle name="원_0107문화재복원용목재-8월6일_강원지역본부(2006년_060109)" xfId="630"/>
    <cellStyle name="원_0107문화재복원용목재-8월6일_경남지역본부-" xfId="631"/>
    <cellStyle name="원_0107문화재복원용목재-8월6일_경북지역본부-" xfId="632"/>
    <cellStyle name="원_0107문화재복원용목재-8월6일_중부지역본부-" xfId="633"/>
    <cellStyle name="원_0107문화재복원용목재-8월6일_충청지역본부-" xfId="634"/>
    <cellStyle name="원_0107문화재복원용목재-8월6일_통행료면탈방지시스템(최종)" xfId="635"/>
    <cellStyle name="원_0107문화재복원용목재-8월6일_호남지역본부-" xfId="636"/>
    <cellStyle name="원_0107포천영중수배전반(제조,설치)" xfId="637"/>
    <cellStyle name="원_0107포천영중수배전반(제조,설치)_강원지역본부(2006년_060109)" xfId="638"/>
    <cellStyle name="원_0107포천영중수배전반(제조,설치)_경남지역본부-" xfId="639"/>
    <cellStyle name="원_0107포천영중수배전반(제조,설치)_경북지역본부-" xfId="640"/>
    <cellStyle name="원_0107포천영중수배전반(제조,설치)_중부지역본부-" xfId="641"/>
    <cellStyle name="원_0107포천영중수배전반(제조,설치)_충청지역본부-" xfId="642"/>
    <cellStyle name="원_0107포천영중수배전반(제조,설치)_통행료면탈방지시스템(최종)" xfId="643"/>
    <cellStyle name="원_0107포천영중수배전반(제조,설치)_호남지역본부-" xfId="644"/>
    <cellStyle name="원_0108농기반미곡건조기제작설치" xfId="645"/>
    <cellStyle name="원_0108담배인삼공사영업춘추복" xfId="646"/>
    <cellStyle name="원_0108한국전기교통-LED교통신호등((원본))" xfId="647"/>
    <cellStyle name="원_0108한국전기교통-LED교통신호등((원본))_강원지역본부(2006년_060109)" xfId="648"/>
    <cellStyle name="원_0108한국전기교통-LED교통신호등((원본))_경남지역본부-" xfId="649"/>
    <cellStyle name="원_0108한국전기교통-LED교통신호등((원본))_경북지역본부-" xfId="650"/>
    <cellStyle name="원_0108한국전기교통-LED교통신호등((원본))_중부지역본부-" xfId="651"/>
    <cellStyle name="원_0108한국전기교통-LED교통신호등((원본))_충청지역본부-" xfId="652"/>
    <cellStyle name="원_0108한국전기교통-LED교통신호등((원본))_통행료면탈방지시스템(최종)" xfId="653"/>
    <cellStyle name="원_0108한국전기교통-LED교통신호등((원본))_호남지역본부-" xfId="654"/>
    <cellStyle name="원_0111해양수산부등명기제작" xfId="655"/>
    <cellStyle name="원_0111해양수산부등명기제작_강원지역본부(2006년_060109)" xfId="656"/>
    <cellStyle name="원_0111해양수산부등명기제작_경남지역본부-" xfId="657"/>
    <cellStyle name="원_0111해양수산부등명기제작_경북지역본부-" xfId="658"/>
    <cellStyle name="원_0111해양수산부등명기제작_중부지역본부-" xfId="659"/>
    <cellStyle name="원_0111해양수산부등명기제작_충청지역본부-" xfId="660"/>
    <cellStyle name="원_0111해양수산부등명기제작_통행료면탈방지시스템(최종)" xfId="661"/>
    <cellStyle name="원_0111해양수산부등명기제작_호남지역본부-" xfId="662"/>
    <cellStyle name="원_0111핸디소프트-전자표준문서시스템" xfId="663"/>
    <cellStyle name="원_0112금감원사무자동화시스템" xfId="664"/>
    <cellStyle name="원_0112금감원사무자동화시스템_강원지역본부(2006년_060109)" xfId="665"/>
    <cellStyle name="원_0112금감원사무자동화시스템_경남지역본부-" xfId="666"/>
    <cellStyle name="원_0112금감원사무자동화시스템_경북지역본부-" xfId="667"/>
    <cellStyle name="원_0112금감원사무자동화시스템_중부지역본부-" xfId="668"/>
    <cellStyle name="원_0112금감원사무자동화시스템_충청지역본부-" xfId="669"/>
    <cellStyle name="원_0112금감원사무자동화시스템_통행료면탈방지시스템(최종)" xfId="670"/>
    <cellStyle name="원_0112금감원사무자동화시스템_호남지역본부-" xfId="671"/>
    <cellStyle name="원_0112수도권매립지SW원가" xfId="672"/>
    <cellStyle name="원_0112수도권매립지SW원가_강원지역본부(2006년_060109)" xfId="673"/>
    <cellStyle name="원_0112수도권매립지SW원가_경남지역본부-" xfId="674"/>
    <cellStyle name="원_0112수도권매립지SW원가_경북지역본부-" xfId="675"/>
    <cellStyle name="원_0112수도권매립지SW원가_중부지역본부-" xfId="676"/>
    <cellStyle name="원_0112수도권매립지SW원가_충청지역본부-" xfId="677"/>
    <cellStyle name="원_0112수도권매립지SW원가_통행료면탈방지시스템(최종)" xfId="678"/>
    <cellStyle name="원_0112수도권매립지SW원가_호남지역본부-" xfId="679"/>
    <cellStyle name="원_0112중고원-HRD종합정보망구축(完)" xfId="680"/>
    <cellStyle name="원_0201종합예술회관의자제작설치" xfId="681"/>
    <cellStyle name="원_0201종합예술회관의자제작설치-1" xfId="682"/>
    <cellStyle name="원_0202마사회근무복" xfId="683"/>
    <cellStyle name="원_0202마사회근무복_강원지역본부(2006년_060109)" xfId="684"/>
    <cellStyle name="원_0202마사회근무복_경남지역본부-" xfId="685"/>
    <cellStyle name="원_0202마사회근무복_경북지역본부-" xfId="686"/>
    <cellStyle name="원_0202마사회근무복_중부지역본부-" xfId="687"/>
    <cellStyle name="원_0202마사회근무복_충청지역본부-" xfId="688"/>
    <cellStyle name="원_0202마사회근무복_통행료면탈방지시스템(최종)" xfId="689"/>
    <cellStyle name="원_0202마사회근무복_호남지역본부-" xfId="690"/>
    <cellStyle name="원_0202부경교재-승강칠판" xfId="691"/>
    <cellStyle name="원_0202부경교재-승강칠판_강원지역본부(2006년_060109)" xfId="692"/>
    <cellStyle name="원_0202부경교재-승강칠판_경남지역본부-" xfId="693"/>
    <cellStyle name="원_0202부경교재-승강칠판_경북지역본부-" xfId="694"/>
    <cellStyle name="원_0202부경교재-승강칠판_중부지역본부-" xfId="695"/>
    <cellStyle name="원_0202부경교재-승강칠판_충청지역본부-" xfId="696"/>
    <cellStyle name="원_0202부경교재-승강칠판_통행료면탈방지시스템(최종)" xfId="697"/>
    <cellStyle name="원_0202부경교재-승강칠판_호남지역본부-" xfId="698"/>
    <cellStyle name="원_0204한국석묘납골함-1규격" xfId="699"/>
    <cellStyle name="원_0204한국석묘납골함-1규격_강원지역본부(2006년_060109)" xfId="700"/>
    <cellStyle name="원_0204한국석묘납골함-1규격_경남지역본부-" xfId="701"/>
    <cellStyle name="원_0204한국석묘납골함-1규격_경북지역본부-" xfId="702"/>
    <cellStyle name="원_0204한국석묘납골함-1규격_중부지역본부-" xfId="703"/>
    <cellStyle name="원_0204한국석묘납골함-1규격_충청지역본부-" xfId="704"/>
    <cellStyle name="원_0204한국석묘납골함-1규격_통행료면탈방지시스템(최종)" xfId="705"/>
    <cellStyle name="원_0204한국석묘납골함-1규격_호남지역본부-" xfId="706"/>
    <cellStyle name="원_0205TTMS-긴급전화기&amp;전체총괄" xfId="707"/>
    <cellStyle name="원_0206금감원금융정보교환망재구축" xfId="708"/>
    <cellStyle name="원_0206정통부수납장표기기제작설치" xfId="709"/>
    <cellStyle name="원_0207담배인삼공사-담요" xfId="710"/>
    <cellStyle name="원_0208레비텍-다층여과기설계변경" xfId="711"/>
    <cellStyle name="원_0209이산화염소발생기-설치(50K)" xfId="712"/>
    <cellStyle name="원_0210현대정보기술-TD이중계" xfId="713"/>
    <cellStyle name="원_0211조달청-#1대북지원사업정산(1월7일)" xfId="714"/>
    <cellStyle name="원_0212금감원-법규정보시스템(完)" xfId="715"/>
    <cellStyle name="원_0301교통방송-CCTV유지보수" xfId="716"/>
    <cellStyle name="원_0302인천경찰청-무인단속기위탁관리" xfId="717"/>
    <cellStyle name="원_0302조달청-대북지원2차(안성연)" xfId="718"/>
    <cellStyle name="원_0302조달청-대북지원2차(최수현)" xfId="719"/>
    <cellStyle name="원_0302표준문서-쌍용정보통신(신)" xfId="720"/>
    <cellStyle name="원_0304소프트파워-정부표준전자문서시스템" xfId="721"/>
    <cellStyle name="원_0304소프트파워-정부표준전자문서시스템(完)" xfId="722"/>
    <cellStyle name="원_0304철도청-주변환장치-1" xfId="723"/>
    <cellStyle name="원_0305금감원-금융통계정보시스템구축(完)" xfId="724"/>
    <cellStyle name="원_0305제낭조합-면범포지" xfId="725"/>
    <cellStyle name="원_0306제낭공업협동조합-면범포지원단(경비까지)" xfId="726"/>
    <cellStyle name="원_0307경찰청-무인교통단속표준SW개발용역(完)" xfId="727"/>
    <cellStyle name="원_0308조달청-#8대북지원사업정산" xfId="728"/>
    <cellStyle name="원_0309두합크린텍-설치원가" xfId="729"/>
    <cellStyle name="원_0309조달청-#9대북지원사업정산" xfId="730"/>
    <cellStyle name="원_0310여주상수도-탈수기(유천ENG)" xfId="731"/>
    <cellStyle name="원_0311대기해양작업시간" xfId="732"/>
    <cellStyle name="원_0311대기해양중형등명기" xfId="733"/>
    <cellStyle name="원_0312국민체육진흥공단-전기부문" xfId="734"/>
    <cellStyle name="원_0312대기해양-중형등명기제작설치" xfId="735"/>
    <cellStyle name="원_0312라이준-칼라아스콘4규격" xfId="736"/>
    <cellStyle name="원_0401집진기프로그램SW개발비산정" xfId="737"/>
    <cellStyle name="원_13. 관리동" xfId="738"/>
    <cellStyle name="원_2001-06조달청신성-한냉지형" xfId="739"/>
    <cellStyle name="원_2002-03경찰대학-졸업식" xfId="740"/>
    <cellStyle name="원_2002-03경찰청-경찰표지장" xfId="741"/>
    <cellStyle name="원_2002-03반디-가로등(열주형)" xfId="742"/>
    <cellStyle name="원_2002-03신화전자-감지기" xfId="743"/>
    <cellStyle name="원_2002-04강원랜드-슬러트머신" xfId="744"/>
    <cellStyle name="원_2002-04메가컴-외주무대" xfId="745"/>
    <cellStyle name="원_2002-04엘지애드-무대" xfId="746"/>
    <cellStyle name="원_2002-05강원랜드-슬러트머신(넥스터)" xfId="747"/>
    <cellStyle name="원_2002-05경기경찰청-냉온수기공사" xfId="748"/>
    <cellStyle name="원_2002-05대통령비서실-카페트" xfId="749"/>
    <cellStyle name="원_2002결과표" xfId="750"/>
    <cellStyle name="원_2002결과표_강원지역본부(2006년_060109)" xfId="751"/>
    <cellStyle name="원_2002결과표_경남지역본부-" xfId="752"/>
    <cellStyle name="원_2002결과표_경북지역본부-" xfId="753"/>
    <cellStyle name="원_2002결과표_중부지역본부-" xfId="754"/>
    <cellStyle name="원_2002결과표_충청지역본부-" xfId="755"/>
    <cellStyle name="원_2002결과표_통행료면탈방지시스템(최종)" xfId="756"/>
    <cellStyle name="원_2002결과표_호남지역본부-" xfId="757"/>
    <cellStyle name="원_2002결과표1" xfId="758"/>
    <cellStyle name="원_2003-01정일사-표창5종" xfId="759"/>
    <cellStyle name="원_간지,목차,페이지,표지" xfId="760"/>
    <cellStyle name="원_강원지역본부(2006년_060109)" xfId="761"/>
    <cellStyle name="원_경남지역본부-" xfId="762"/>
    <cellStyle name="원_경북지역본부-" xfId="763"/>
    <cellStyle name="원_경찰청-근무,기동복" xfId="764"/>
    <cellStyle name="원_공사일반관리비양식" xfId="765"/>
    <cellStyle name="원_관리동sw" xfId="766"/>
    <cellStyle name="원_기초공사" xfId="767"/>
    <cellStyle name="원_네인텍정보기술-회로카드(수현)" xfId="768"/>
    <cellStyle name="원_대기해양노무비" xfId="769"/>
    <cellStyle name="원_대북자재8월분" xfId="770"/>
    <cellStyle name="원_대북자재8월분-1" xfId="771"/>
    <cellStyle name="원_동산용사촌수현(원본)" xfId="772"/>
    <cellStyle name="원_동산용사촌수현(원본)_강원지역본부(2006년_060109)" xfId="773"/>
    <cellStyle name="원_동산용사촌수현(원본)_경남지역본부-" xfId="774"/>
    <cellStyle name="원_동산용사촌수현(원본)_경북지역본부-" xfId="775"/>
    <cellStyle name="원_동산용사촌수현(원본)_중부지역본부-" xfId="776"/>
    <cellStyle name="원_동산용사촌수현(원본)_충청지역본부-" xfId="777"/>
    <cellStyle name="원_동산용사촌수현(원본)_통행료면탈방지시스템(최종)" xfId="778"/>
    <cellStyle name="원_동산용사촌수현(원본)_호남지역본부-" xfId="779"/>
    <cellStyle name="원_목차" xfId="780"/>
    <cellStyle name="원_백제군사전시1" xfId="781"/>
    <cellStyle name="원_수초제거기(대양기계)" xfId="782"/>
    <cellStyle name="원_수초제거기(대양기계)_강원지역본부(2006년_060109)" xfId="783"/>
    <cellStyle name="원_수초제거기(대양기계)_경남지역본부-" xfId="784"/>
    <cellStyle name="원_수초제거기(대양기계)_경북지역본부-" xfId="785"/>
    <cellStyle name="원_수초제거기(대양기계)_중부지역본부-" xfId="786"/>
    <cellStyle name="원_수초제거기(대양기계)_충청지역본부-" xfId="787"/>
    <cellStyle name="원_수초제거기(대양기계)_통행료면탈방지시스템(최종)" xfId="788"/>
    <cellStyle name="원_수초제거기(대양기계)_호남지역본부-" xfId="789"/>
    <cellStyle name="원_시설용역" xfId="790"/>
    <cellStyle name="원_암전정밀실체현미경(수현)" xfId="791"/>
    <cellStyle name="원_오리엔탈" xfId="792"/>
    <cellStyle name="원_원본 - 한국전기교통-개선형신호등 4종" xfId="793"/>
    <cellStyle name="원_원본 - 한국전기교통-개선형신호등 4종_강원지역본부(2006년_060109)" xfId="794"/>
    <cellStyle name="원_원본 - 한국전기교통-개선형신호등 4종_경남지역본부-" xfId="795"/>
    <cellStyle name="원_원본 - 한국전기교통-개선형신호등 4종_경북지역본부-" xfId="796"/>
    <cellStyle name="원_원본 - 한국전기교통-개선형신호등 4종_중부지역본부-" xfId="797"/>
    <cellStyle name="원_원본 - 한국전기교통-개선형신호등 4종_충청지역본부-" xfId="798"/>
    <cellStyle name="원_원본 - 한국전기교통-개선형신호등 4종_통행료면탈방지시스템(최종)" xfId="799"/>
    <cellStyle name="원_원본 - 한국전기교통-개선형신호등 4종_호남지역본부-" xfId="800"/>
    <cellStyle name="원_제경비율모음" xfId="801"/>
    <cellStyle name="원_제조원가" xfId="802"/>
    <cellStyle name="원_조달청-대북지원3차(최수현)" xfId="803"/>
    <cellStyle name="원_조달청-대북지원4차(최수현)" xfId="804"/>
    <cellStyle name="원_조달청-대북지원5차(최수현)" xfId="805"/>
    <cellStyle name="원_조달청-대북지원6차(번호)" xfId="806"/>
    <cellStyle name="원_조달청-대북지원6차(최수현)" xfId="807"/>
    <cellStyle name="원_조달청-대북지원7차(최수현)" xfId="808"/>
    <cellStyle name="원_조달청-대북지원8차(최수현)" xfId="809"/>
    <cellStyle name="원_조달청-대북지원9차(최수현)" xfId="810"/>
    <cellStyle name="원_조달청-B판사천강교제작(최종본)" xfId="811"/>
    <cellStyle name="원_중부지역본부-" xfId="812"/>
    <cellStyle name="원_중앙선관위(투표,개표)" xfId="813"/>
    <cellStyle name="원_중앙선관위(투표,개표)_강원지역본부(2006년_060109)" xfId="814"/>
    <cellStyle name="원_중앙선관위(투표,개표)_경남지역본부-" xfId="815"/>
    <cellStyle name="원_중앙선관위(투표,개표)_경북지역본부-" xfId="816"/>
    <cellStyle name="원_중앙선관위(투표,개표)_중부지역본부-" xfId="817"/>
    <cellStyle name="원_중앙선관위(투표,개표)_충청지역본부-" xfId="818"/>
    <cellStyle name="원_중앙선관위(투표,개표)_통행료면탈방지시스템(최종)" xfId="819"/>
    <cellStyle name="원_중앙선관위(투표,개표)_호남지역본부-" xfId="820"/>
    <cellStyle name="원_중앙선관위(투표,개표)-사본" xfId="821"/>
    <cellStyle name="원_철공가공조립" xfId="822"/>
    <cellStyle name="원_최종-한국전기교통-개선형신호등 4종(공수조정)" xfId="823"/>
    <cellStyle name="원_최종-한국전기교통-개선형신호등 4종(공수조정)_강원지역본부(2006년_060109)" xfId="824"/>
    <cellStyle name="원_최종-한국전기교통-개선형신호등 4종(공수조정)_경남지역본부-" xfId="825"/>
    <cellStyle name="원_최종-한국전기교통-개선형신호등 4종(공수조정)_경북지역본부-" xfId="826"/>
    <cellStyle name="원_최종-한국전기교통-개선형신호등 4종(공수조정)_중부지역본부-" xfId="827"/>
    <cellStyle name="원_최종-한국전기교통-개선형신호등 4종(공수조정)_충청지역본부-" xfId="828"/>
    <cellStyle name="원_최종-한국전기교통-개선형신호등 4종(공수조정)_통행료면탈방지시스템(최종)" xfId="829"/>
    <cellStyle name="원_최종-한국전기교통-개선형신호등 4종(공수조정)_호남지역본부-" xfId="830"/>
    <cellStyle name="원_충청지역본부-" xfId="831"/>
    <cellStyle name="원_코솔라-제조원가" xfId="832"/>
    <cellStyle name="원_토지공사-간접비" xfId="833"/>
    <cellStyle name="원_통행료면탈방지시스템(최종)" xfId="834"/>
    <cellStyle name="원_한국도로공사" xfId="835"/>
    <cellStyle name="원_한전내역서-최종" xfId="836"/>
    <cellStyle name="원_호남지역본부-" xfId="837"/>
    <cellStyle name="원_Pilot플랜트-계변경" xfId="838"/>
    <cellStyle name="원_Pilot플랜트이전설치-변경최종" xfId="839"/>
    <cellStyle name="원_SW(케이비)" xfId="840"/>
    <cellStyle name="유영" xfId="841"/>
    <cellStyle name="일위대가" xfId="842"/>
    <cellStyle name="입력" xfId="843"/>
    <cellStyle name="자리수" xfId="844"/>
    <cellStyle name="자리수0" xfId="845"/>
    <cellStyle name="점선" xfId="846"/>
    <cellStyle name="제목" xfId="847"/>
    <cellStyle name="제목 1" xfId="848"/>
    <cellStyle name="제목 2" xfId="849"/>
    <cellStyle name="제목 3" xfId="850"/>
    <cellStyle name="제목 4" xfId="851"/>
    <cellStyle name="제목[1 줄]" xfId="852"/>
    <cellStyle name="제목[2줄 아래]" xfId="853"/>
    <cellStyle name="제목[2줄 위]" xfId="854"/>
    <cellStyle name="제목1" xfId="855"/>
    <cellStyle name="좋음" xfId="856"/>
    <cellStyle name="지정되지 않음" xfId="857"/>
    <cellStyle name="출력" xfId="858"/>
    <cellStyle name="콤마 [#]" xfId="859"/>
    <cellStyle name="콤마 []" xfId="860"/>
    <cellStyle name="콤마 [0]" xfId="861"/>
    <cellStyle name="콤마 [0]_경비" xfId="862"/>
    <cellStyle name="콤마 [0]_국영테크" xfId="863"/>
    <cellStyle name="콤마 [0]_모형제조" xfId="864"/>
    <cellStyle name="콤마 [0]기기자재비" xfId="865"/>
    <cellStyle name="콤마 [2]" xfId="866"/>
    <cellStyle name="콤마 [금액]" xfId="867"/>
    <cellStyle name="콤마 [소수]" xfId="868"/>
    <cellStyle name="콤마 [수량]" xfId="869"/>
    <cellStyle name="콤마[ ]" xfId="870"/>
    <cellStyle name="콤마[*]" xfId="871"/>
    <cellStyle name="콤마[.]" xfId="872"/>
    <cellStyle name="콤마[0]" xfId="873"/>
    <cellStyle name="콤마_  종  합  " xfId="874"/>
    <cellStyle name="Currency" xfId="875"/>
    <cellStyle name="Currency [0]" xfId="876"/>
    <cellStyle name="퍼센트" xfId="877"/>
    <cellStyle name="표준_1(1).청사경비용역" xfId="878"/>
    <cellStyle name="표준_1. 경기지역본부" xfId="879"/>
    <cellStyle name="표준_2. 냉온수" xfId="880"/>
    <cellStyle name="표준_2.지도사인" xfId="881"/>
    <cellStyle name="표준_가변형_신성금고제작" xfId="882"/>
    <cellStyle name="표준_간지" xfId="883"/>
    <cellStyle name="표준_국영공사" xfId="884"/>
    <cellStyle name="표준_단말기" xfId="885"/>
    <cellStyle name="표준_마권용지" xfId="886"/>
    <cellStyle name="표준_모형제조" xfId="887"/>
    <cellStyle name="표준_모형제조_2-사인공사조정" xfId="888"/>
    <cellStyle name="표준_배부율" xfId="889"/>
    <cellStyle name="표준_비닐백" xfId="890"/>
    <cellStyle name="표준_원가" xfId="891"/>
    <cellStyle name="표준_일반관리비" xfId="892"/>
    <cellStyle name="標準_Akia(F）-8" xfId="893"/>
    <cellStyle name="표준1" xfId="894"/>
    <cellStyle name="표준날짜" xfId="895"/>
    <cellStyle name="표준숫자" xfId="896"/>
    <cellStyle name="Hyperlink" xfId="897"/>
    <cellStyle name="합산" xfId="898"/>
    <cellStyle name="화폐기호" xfId="899"/>
    <cellStyle name="화폐기호0" xfId="900"/>
    <cellStyle name="aa" xfId="901"/>
    <cellStyle name="Actual Date" xfId="902"/>
    <cellStyle name="Åë" xfId="903"/>
    <cellStyle name="Aee­ " xfId="904"/>
    <cellStyle name="Åëè­ [" xfId="905"/>
    <cellStyle name="ÅëÈ­ [0]_¸ðÇü¸·" xfId="906"/>
    <cellStyle name="AeE­ [0]_±a¼uAe½A " xfId="907"/>
    <cellStyle name="ÅëÈ­ [0]_laroux" xfId="908"/>
    <cellStyle name="Aee­ _06년)하이패스_점검내역" xfId="909"/>
    <cellStyle name="ÅëÈ­_¸ðÇü¸·" xfId="910"/>
    <cellStyle name="AeE­_±a¼uAe½A " xfId="911"/>
    <cellStyle name="ÅëÈ­_laroux" xfId="912"/>
    <cellStyle name="Æu¼¾æR" xfId="913"/>
    <cellStyle name="ALIGNMENT" xfId="914"/>
    <cellStyle name="Äþ" xfId="915"/>
    <cellStyle name="Äþ¸¶ [" xfId="916"/>
    <cellStyle name="ÄÞ¸¶ [0]_¸ðÇü¸·" xfId="917"/>
    <cellStyle name="AÞ¸¶ [0]_±a¼uAe½A " xfId="918"/>
    <cellStyle name="ÄÞ¸¶ [0]_laroux" xfId="919"/>
    <cellStyle name="ÄÞ¸¶_¸ðÇü¸·" xfId="920"/>
    <cellStyle name="AÞ¸¶_±a¼uAe½A " xfId="921"/>
    <cellStyle name="ÄÞ¸¶_laroux" xfId="922"/>
    <cellStyle name="Au¸R¼o" xfId="923"/>
    <cellStyle name="Au¸R¼o0" xfId="924"/>
    <cellStyle name="b?þ?b?þ?b?þ?b?þ?b?þ?b?þ?b?þ?b?þ?b?þ?b?þ?b灌þ?b?þ?&lt;?b?þ?b濬þ?b?þ?b?þ昰_x0018_?þ????_x0008_" xfId="925"/>
    <cellStyle name="b?þ?b?þ?b?þ?b灌þ?b?þ?&lt;?b?þ?b濬þ?b?þ?b?þ昰_x0018_?þ????_x0008_" xfId="926"/>
    <cellStyle name="b␌þකb濰þඪb瀠þයb灌þ්b炈þ宐&lt;෢b濈þෲb濬þขb瀐þฒb瀰þ昰_x0018_⋸þ㤕䰀ጤܕ_x0008_" xfId="927"/>
    <cellStyle name="b嬜þപb嬼þഺb孬þൊb⍜þ൚b⍼þ൪b⎨þൺb⏜þඊb␌þකb濰þඪb瀠þයb灌þ්b炈þ宐&lt;෢b濈þෲb濬þขb瀐þฒb瀰þ昰_x0018_⋸þ㤕䰀ጤܕ_x0008_" xfId="928"/>
    <cellStyle name="body" xfId="929"/>
    <cellStyle name="C¡IA¨ª_Sheet1 (2)" xfId="930"/>
    <cellStyle name="Ç¥" xfId="931"/>
    <cellStyle name="C￥AØ_  FAB AIA¤  " xfId="932"/>
    <cellStyle name="Ç¥ÁØ_¸ðÇü¸·" xfId="933"/>
    <cellStyle name="C￥AØ_¿μ¾÷CoE² " xfId="934"/>
    <cellStyle name="Ç¥ÁØ_°­´ç (2)" xfId="935"/>
    <cellStyle name="C￥AØ_°A·¡≫oE²" xfId="936"/>
    <cellStyle name="Calc Currency (0)" xfId="937"/>
    <cellStyle name="category" xfId="938"/>
    <cellStyle name="CIAIÆU¸μAⓒ" xfId="939"/>
    <cellStyle name="Co≫e" xfId="940"/>
    <cellStyle name="Comma" xfId="941"/>
    <cellStyle name="Comma [0]" xfId="942"/>
    <cellStyle name="comma zerodec" xfId="943"/>
    <cellStyle name="Comma_ SG&amp;A Bridge " xfId="944"/>
    <cellStyle name="Comma0" xfId="945"/>
    <cellStyle name="Copied" xfId="946"/>
    <cellStyle name="Curren?_x0012_퐀_x0017_?" xfId="947"/>
    <cellStyle name="Currency" xfId="948"/>
    <cellStyle name="Currency [0]" xfId="949"/>
    <cellStyle name="Currency_ SG&amp;A Bridge " xfId="950"/>
    <cellStyle name="Currency0" xfId="951"/>
    <cellStyle name="Currency1" xfId="952"/>
    <cellStyle name="Date" xfId="953"/>
    <cellStyle name="Dezimal [0]_Ausdruck RUND (D)" xfId="954"/>
    <cellStyle name="Dezimal_Ausdruck RUND (D)" xfId="955"/>
    <cellStyle name="Dollar (zero dec)" xfId="956"/>
    <cellStyle name="E­æo±ae￡" xfId="957"/>
    <cellStyle name="E­æo±ae￡0" xfId="958"/>
    <cellStyle name="Entered" xfId="959"/>
    <cellStyle name="Euro" xfId="960"/>
    <cellStyle name="F2" xfId="961"/>
    <cellStyle name="F3" xfId="962"/>
    <cellStyle name="F4" xfId="963"/>
    <cellStyle name="F5" xfId="964"/>
    <cellStyle name="F6" xfId="965"/>
    <cellStyle name="F7" xfId="966"/>
    <cellStyle name="F8" xfId="967"/>
    <cellStyle name="Fixed" xfId="968"/>
    <cellStyle name="G/표준" xfId="969"/>
    <cellStyle name="Grey" xfId="970"/>
    <cellStyle name="head" xfId="971"/>
    <cellStyle name="head 1" xfId="972"/>
    <cellStyle name="head 1-1" xfId="973"/>
    <cellStyle name="HEADER" xfId="974"/>
    <cellStyle name="Header1" xfId="975"/>
    <cellStyle name="Header2" xfId="976"/>
    <cellStyle name="Heading 1" xfId="977"/>
    <cellStyle name="Heading 2" xfId="978"/>
    <cellStyle name="Heading1" xfId="979"/>
    <cellStyle name="Heading2" xfId="980"/>
    <cellStyle name="Helv8_PFD4.XLS" xfId="981"/>
    <cellStyle name="HIGHLIGHT" xfId="982"/>
    <cellStyle name="Hyperlink_NEGS" xfId="983"/>
    <cellStyle name="Input [yellow]" xfId="984"/>
    <cellStyle name="Milliers [0]_Arabian Spec" xfId="985"/>
    <cellStyle name="Milliers_Arabian Spec" xfId="986"/>
    <cellStyle name="Model" xfId="987"/>
    <cellStyle name="Mon?aire [0]_Arabian Spec" xfId="988"/>
    <cellStyle name="Mon?aire_Arabian Spec" xfId="989"/>
    <cellStyle name="no dec" xfId="990"/>
    <cellStyle name="Normal - 유형1" xfId="991"/>
    <cellStyle name="Normal - Style1" xfId="992"/>
    <cellStyle name="Normal - Style2" xfId="993"/>
    <cellStyle name="Normal - Style3" xfId="994"/>
    <cellStyle name="Normal - Style4" xfId="995"/>
    <cellStyle name="Normal - Style5" xfId="996"/>
    <cellStyle name="Normal - Style6" xfId="997"/>
    <cellStyle name="Normal - Style7" xfId="998"/>
    <cellStyle name="Normal - Style8" xfId="999"/>
    <cellStyle name="Normal_ SG&amp;A Bridge" xfId="1000"/>
    <cellStyle name="Œ…?æ맖?e [0.00]_laroux" xfId="1001"/>
    <cellStyle name="Œ…?æ맖?e_laroux" xfId="1002"/>
    <cellStyle name="oft Excel]&#13;&#10;Comment=The open=/f lines load custom functions into the Paste Function list.&#13;&#10;Maximized=3&#13;&#10;AutoFormat=" xfId="1003"/>
    <cellStyle name="Percent" xfId="1004"/>
    <cellStyle name="Percent [2]" xfId="1005"/>
    <cellStyle name="Percent_06년)하이패스_점검내역" xfId="1006"/>
    <cellStyle name="RevList" xfId="1007"/>
    <cellStyle name="STANDARD" xfId="1008"/>
    <cellStyle name="STD" xfId="1009"/>
    <cellStyle name="subhead" xfId="1010"/>
    <cellStyle name="Subtotal" xfId="1011"/>
    <cellStyle name="þ?b?þ?b?þ?b?þ?b?þ?b?þ?b?þ?b灌þ?b?þ?&lt;?b?þ?b濬þ?b?þ?b?þ昰_x0018_?þ????_x0008_" xfId="1012"/>
    <cellStyle name="þ൚b⍼þ൪b⎨þൺb⏜þඊb␌þකb濰þඪb瀠þයb灌þ්b炈þ宐&lt;෢b濈þෲb濬þขb瀐þฒb瀰þ昰_x0018_⋸þ㤕䰀ጤܕ_x0008_" xfId="1013"/>
    <cellStyle name="Title" xfId="1014"/>
    <cellStyle name="title [1]" xfId="1015"/>
    <cellStyle name="title [2]" xfId="1016"/>
    <cellStyle name="Total" xfId="1017"/>
    <cellStyle name="UM" xfId="1018"/>
    <cellStyle name="Unprot" xfId="1019"/>
    <cellStyle name="Unprot$" xfId="1020"/>
    <cellStyle name="Unprotect" xfId="1021"/>
    <cellStyle name="W?rung [0]_Ausdruck RUND (D)" xfId="1022"/>
    <cellStyle name="W?rung_Ausdruck RUND (D)" xfId="1023"/>
    <cellStyle name="μU¿¡ ¿A´A CIAIÆU¸μAⓒ" xfId="10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247775"/>
          <a:ext cx="2543175" cy="628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200</xdr:row>
      <xdr:rowOff>0</xdr:rowOff>
    </xdr:from>
    <xdr:to>
      <xdr:col>6</xdr:col>
      <xdr:colOff>9525</xdr:colOff>
      <xdr:row>202</xdr:row>
      <xdr:rowOff>0</xdr:rowOff>
    </xdr:to>
    <xdr:sp>
      <xdr:nvSpPr>
        <xdr:cNvPr id="1" name="Line 12"/>
        <xdr:cNvSpPr>
          <a:spLocks/>
        </xdr:cNvSpPr>
      </xdr:nvSpPr>
      <xdr:spPr>
        <a:xfrm>
          <a:off x="0" y="40871775"/>
          <a:ext cx="2438400" cy="3048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6</xdr:col>
      <xdr:colOff>9525</xdr:colOff>
      <xdr:row>235</xdr:row>
      <xdr:rowOff>0</xdr:rowOff>
    </xdr:to>
    <xdr:sp>
      <xdr:nvSpPr>
        <xdr:cNvPr id="2" name="Line 13"/>
        <xdr:cNvSpPr>
          <a:spLocks/>
        </xdr:cNvSpPr>
      </xdr:nvSpPr>
      <xdr:spPr>
        <a:xfrm>
          <a:off x="0" y="45900975"/>
          <a:ext cx="2438400" cy="3048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6</xdr:col>
      <xdr:colOff>9525</xdr:colOff>
      <xdr:row>136</xdr:row>
      <xdr:rowOff>0</xdr:rowOff>
    </xdr:to>
    <xdr:sp>
      <xdr:nvSpPr>
        <xdr:cNvPr id="3" name="Line 15"/>
        <xdr:cNvSpPr>
          <a:spLocks/>
        </xdr:cNvSpPr>
      </xdr:nvSpPr>
      <xdr:spPr>
        <a:xfrm>
          <a:off x="0" y="30813375"/>
          <a:ext cx="2438400" cy="3048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6</xdr:col>
      <xdr:colOff>9525</xdr:colOff>
      <xdr:row>169</xdr:row>
      <xdr:rowOff>0</xdr:rowOff>
    </xdr:to>
    <xdr:sp>
      <xdr:nvSpPr>
        <xdr:cNvPr id="4" name="Line 16"/>
        <xdr:cNvSpPr>
          <a:spLocks/>
        </xdr:cNvSpPr>
      </xdr:nvSpPr>
      <xdr:spPr>
        <a:xfrm>
          <a:off x="0" y="35842575"/>
          <a:ext cx="2438400" cy="3048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6</xdr:col>
      <xdr:colOff>38100</xdr:colOff>
      <xdr:row>7</xdr:row>
      <xdr:rowOff>9525</xdr:rowOff>
    </xdr:to>
    <xdr:sp>
      <xdr:nvSpPr>
        <xdr:cNvPr id="5" name="Line 7"/>
        <xdr:cNvSpPr>
          <a:spLocks/>
        </xdr:cNvSpPr>
      </xdr:nvSpPr>
      <xdr:spPr>
        <a:xfrm>
          <a:off x="28575" y="1504950"/>
          <a:ext cx="2438400" cy="495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6</xdr:col>
      <xdr:colOff>9525</xdr:colOff>
      <xdr:row>40</xdr:row>
      <xdr:rowOff>9525</xdr:rowOff>
    </xdr:to>
    <xdr:sp>
      <xdr:nvSpPr>
        <xdr:cNvPr id="6" name="Line 7"/>
        <xdr:cNvSpPr>
          <a:spLocks/>
        </xdr:cNvSpPr>
      </xdr:nvSpPr>
      <xdr:spPr>
        <a:xfrm>
          <a:off x="0" y="9934575"/>
          <a:ext cx="2438400" cy="495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6</xdr:col>
      <xdr:colOff>9525</xdr:colOff>
      <xdr:row>72</xdr:row>
      <xdr:rowOff>238125</xdr:rowOff>
    </xdr:to>
    <xdr:sp>
      <xdr:nvSpPr>
        <xdr:cNvPr id="7" name="Line 7"/>
        <xdr:cNvSpPr>
          <a:spLocks/>
        </xdr:cNvSpPr>
      </xdr:nvSpPr>
      <xdr:spPr>
        <a:xfrm>
          <a:off x="0" y="18345150"/>
          <a:ext cx="2438400" cy="495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247650</xdr:rowOff>
    </xdr:from>
    <xdr:to>
      <xdr:col>4</xdr:col>
      <xdr:colOff>0</xdr:colOff>
      <xdr:row>3</xdr:row>
      <xdr:rowOff>247650</xdr:rowOff>
    </xdr:to>
    <xdr:sp>
      <xdr:nvSpPr>
        <xdr:cNvPr id="1" name="Line 1"/>
        <xdr:cNvSpPr>
          <a:spLocks/>
        </xdr:cNvSpPr>
      </xdr:nvSpPr>
      <xdr:spPr>
        <a:xfrm>
          <a:off x="1400175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247650</xdr:rowOff>
    </xdr:from>
    <xdr:to>
      <xdr:col>4</xdr:col>
      <xdr:colOff>0</xdr:colOff>
      <xdr:row>3</xdr:row>
      <xdr:rowOff>247650</xdr:rowOff>
    </xdr:to>
    <xdr:sp>
      <xdr:nvSpPr>
        <xdr:cNvPr id="2" name="Line 2"/>
        <xdr:cNvSpPr>
          <a:spLocks/>
        </xdr:cNvSpPr>
      </xdr:nvSpPr>
      <xdr:spPr>
        <a:xfrm>
          <a:off x="1400175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247650</xdr:rowOff>
    </xdr:from>
    <xdr:to>
      <xdr:col>4</xdr:col>
      <xdr:colOff>0</xdr:colOff>
      <xdr:row>3</xdr:row>
      <xdr:rowOff>247650</xdr:rowOff>
    </xdr:to>
    <xdr:sp>
      <xdr:nvSpPr>
        <xdr:cNvPr id="3" name="Line 3"/>
        <xdr:cNvSpPr>
          <a:spLocks/>
        </xdr:cNvSpPr>
      </xdr:nvSpPr>
      <xdr:spPr>
        <a:xfrm>
          <a:off x="1400175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247650</xdr:rowOff>
    </xdr:from>
    <xdr:to>
      <xdr:col>3</xdr:col>
      <xdr:colOff>0</xdr:colOff>
      <xdr:row>3</xdr:row>
      <xdr:rowOff>247650</xdr:rowOff>
    </xdr:to>
    <xdr:sp>
      <xdr:nvSpPr>
        <xdr:cNvPr id="1" name="Line 1"/>
        <xdr:cNvSpPr>
          <a:spLocks/>
        </xdr:cNvSpPr>
      </xdr:nvSpPr>
      <xdr:spPr>
        <a:xfrm>
          <a:off x="1143000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247650</xdr:rowOff>
    </xdr:from>
    <xdr:to>
      <xdr:col>4</xdr:col>
      <xdr:colOff>0</xdr:colOff>
      <xdr:row>3</xdr:row>
      <xdr:rowOff>247650</xdr:rowOff>
    </xdr:to>
    <xdr:sp>
      <xdr:nvSpPr>
        <xdr:cNvPr id="1" name="Line 1"/>
        <xdr:cNvSpPr>
          <a:spLocks/>
        </xdr:cNvSpPr>
      </xdr:nvSpPr>
      <xdr:spPr>
        <a:xfrm>
          <a:off x="1809750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247650</xdr:rowOff>
    </xdr:from>
    <xdr:to>
      <xdr:col>4</xdr:col>
      <xdr:colOff>0</xdr:colOff>
      <xdr:row>3</xdr:row>
      <xdr:rowOff>247650</xdr:rowOff>
    </xdr:to>
    <xdr:sp>
      <xdr:nvSpPr>
        <xdr:cNvPr id="2" name="Line 2"/>
        <xdr:cNvSpPr>
          <a:spLocks/>
        </xdr:cNvSpPr>
      </xdr:nvSpPr>
      <xdr:spPr>
        <a:xfrm>
          <a:off x="1809750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247650</xdr:rowOff>
    </xdr:from>
    <xdr:to>
      <xdr:col>4</xdr:col>
      <xdr:colOff>0</xdr:colOff>
      <xdr:row>3</xdr:row>
      <xdr:rowOff>247650</xdr:rowOff>
    </xdr:to>
    <xdr:sp>
      <xdr:nvSpPr>
        <xdr:cNvPr id="3" name="Line 3"/>
        <xdr:cNvSpPr>
          <a:spLocks/>
        </xdr:cNvSpPr>
      </xdr:nvSpPr>
      <xdr:spPr>
        <a:xfrm>
          <a:off x="1809750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handy\&#49324;&#48376;%20-%202010&#44221;&#44592;&#47928;&#54868;&#51116;&#45800;&#49884;&#49444;&#44288;&#47532;&#50857;&#50669;&#50896;&#44032;&#44228;&#49328;&#494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간지"/>
      <sheetName val="집계"/>
      <sheetName val="원가집계"/>
      <sheetName val="원가"/>
      <sheetName val="인집"/>
      <sheetName val="단위당인건비"/>
      <sheetName val="연장근로"/>
      <sheetName val="휴일근로"/>
      <sheetName val="월기본급"/>
      <sheetName val="산정기준"/>
      <sheetName val="투입인원"/>
      <sheetName val="경비집계표"/>
      <sheetName val="보험료"/>
      <sheetName val="보험료산출기준"/>
      <sheetName val="산재비율"/>
      <sheetName val="복리후생비"/>
      <sheetName val="식대"/>
      <sheetName val="사업소세"/>
      <sheetName val="교육비"/>
      <sheetName val="일반"/>
      <sheetName val="일반비율"/>
      <sheetName val="이윤"/>
      <sheetName val="이윤율"/>
      <sheetName val="기업"/>
      <sheetName val="Sheet1"/>
    </sheetNames>
    <sheetDataSet>
      <sheetData sheetId="3">
        <row r="71">
          <cell r="A71" t="str">
            <v>구 분 : 기계반장                       직종명 : 기계정비공</v>
          </cell>
        </row>
        <row r="170">
          <cell r="A170" t="str">
            <v>구 분 : 미화원                       직종명 : 보통인부</v>
          </cell>
        </row>
        <row r="236">
          <cell r="A236" t="str">
            <v>구 분 : 경비원                       직종명 : 보통인부</v>
          </cell>
        </row>
      </sheetData>
      <sheetData sheetId="4">
        <row r="1">
          <cell r="A1" t="str">
            <v>&lt; 표 : 4 &gt; </v>
          </cell>
        </row>
        <row r="2">
          <cell r="A2" t="str">
            <v>단위당인건비집계표</v>
          </cell>
        </row>
        <row r="7">
          <cell r="G7">
            <v>1545579</v>
          </cell>
          <cell r="H7">
            <v>170715</v>
          </cell>
          <cell r="I7">
            <v>515193</v>
          </cell>
        </row>
        <row r="10">
          <cell r="G10">
            <v>1342425</v>
          </cell>
          <cell r="H10">
            <v>148276</v>
          </cell>
          <cell r="I10">
            <v>447475</v>
          </cell>
        </row>
        <row r="13">
          <cell r="G13">
            <v>982569</v>
          </cell>
          <cell r="H13">
            <v>108527</v>
          </cell>
          <cell r="I13">
            <v>327523</v>
          </cell>
        </row>
        <row r="15">
          <cell r="G15">
            <v>982569</v>
          </cell>
          <cell r="H15">
            <v>108527</v>
          </cell>
          <cell r="I15">
            <v>327523</v>
          </cell>
        </row>
      </sheetData>
      <sheetData sheetId="13">
        <row r="1">
          <cell r="A1" t="str">
            <v>&lt; 표 : 13 &gt; </v>
          </cell>
        </row>
        <row r="2">
          <cell r="A2" t="str">
            <v>보험료산정기준표</v>
          </cell>
        </row>
        <row r="7">
          <cell r="I7">
            <v>2.1</v>
          </cell>
        </row>
        <row r="8">
          <cell r="I8">
            <v>4.5</v>
          </cell>
        </row>
        <row r="9">
          <cell r="I9">
            <v>0.7</v>
          </cell>
        </row>
        <row r="10">
          <cell r="I10">
            <v>2.54</v>
          </cell>
        </row>
        <row r="11">
          <cell r="I11">
            <v>4.78</v>
          </cell>
        </row>
        <row r="12">
          <cell r="I12">
            <v>0.04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view="pageBreakPreview" zoomScaleNormal="60" zoomScaleSheetLayoutView="100" zoomScalePageLayoutView="0" workbookViewId="0" topLeftCell="A13">
      <selection activeCell="C3" sqref="C3"/>
    </sheetView>
  </sheetViews>
  <sheetFormatPr defaultColWidth="9.140625" defaultRowHeight="30" customHeight="1"/>
  <cols>
    <col min="1" max="1" width="13.00390625" style="304" customWidth="1"/>
    <col min="2" max="2" width="30.00390625" style="304" customWidth="1"/>
    <col min="3" max="3" width="12.7109375" style="304" bestFit="1" customWidth="1"/>
    <col min="4" max="4" width="39.28125" style="304" customWidth="1"/>
    <col min="5" max="16384" width="9.140625" style="304" customWidth="1"/>
  </cols>
  <sheetData>
    <row r="1" spans="1:3" ht="49.5" customHeight="1">
      <c r="A1" s="303"/>
      <c r="B1" s="303"/>
      <c r="C1" s="303"/>
    </row>
    <row r="2" spans="1:4" ht="30" customHeight="1">
      <c r="A2" s="617" t="s">
        <v>543</v>
      </c>
      <c r="B2" s="617"/>
      <c r="C2" s="617"/>
      <c r="D2" s="617"/>
    </row>
    <row r="3" spans="1:3" s="307" customFormat="1" ht="46.5" customHeight="1">
      <c r="A3" s="305"/>
      <c r="B3" s="306"/>
      <c r="C3" s="306"/>
    </row>
    <row r="4" spans="1:4" s="310" customFormat="1" ht="47.25" customHeight="1" thickBot="1">
      <c r="A4" s="308"/>
      <c r="B4" s="309"/>
      <c r="C4" s="616" t="s">
        <v>539</v>
      </c>
      <c r="D4" s="616"/>
    </row>
    <row r="5" spans="2:3" s="310" customFormat="1" ht="29.25" customHeight="1">
      <c r="B5" s="311"/>
      <c r="C5" s="311"/>
    </row>
    <row r="6" spans="1:4" s="314" customFormat="1" ht="18" customHeight="1">
      <c r="A6" s="312"/>
      <c r="B6" s="313"/>
      <c r="C6" s="313" t="s">
        <v>391</v>
      </c>
      <c r="D6" s="313" t="str">
        <f>집계!A2</f>
        <v>용역원가집계표</v>
      </c>
    </row>
    <row r="7" spans="1:4" s="314" customFormat="1" ht="18" customHeight="1">
      <c r="A7" s="312"/>
      <c r="B7" s="313"/>
      <c r="C7" s="313" t="s">
        <v>392</v>
      </c>
      <c r="D7" s="313" t="str">
        <f>원가집계!A2</f>
        <v>용역원가계산서</v>
      </c>
    </row>
    <row r="8" spans="1:4" s="314" customFormat="1" ht="18" customHeight="1">
      <c r="A8" s="312"/>
      <c r="B8" s="313"/>
      <c r="C8" s="313" t="s">
        <v>4</v>
      </c>
      <c r="D8" s="313" t="str">
        <f>인집!A2</f>
        <v>단위당인건비집계표</v>
      </c>
    </row>
    <row r="9" spans="1:4" s="314" customFormat="1" ht="18" customHeight="1">
      <c r="A9" s="312"/>
      <c r="B9" s="313"/>
      <c r="C9" s="313" t="s">
        <v>5</v>
      </c>
      <c r="D9" s="313" t="str">
        <f>단위당인건비!A2</f>
        <v>단위(1인)당인건비산출표</v>
      </c>
    </row>
    <row r="10" spans="1:4" s="314" customFormat="1" ht="18" customHeight="1">
      <c r="A10" s="312"/>
      <c r="B10" s="313"/>
      <c r="C10" s="313" t="s">
        <v>6</v>
      </c>
      <c r="D10" s="313" t="str">
        <f>연장근로!A2</f>
        <v>연장근로시간산출표</v>
      </c>
    </row>
    <row r="11" spans="1:4" s="314" customFormat="1" ht="18" customHeight="1">
      <c r="A11" s="312"/>
      <c r="B11" s="313"/>
      <c r="C11" s="313" t="s">
        <v>393</v>
      </c>
      <c r="D11" s="313" t="str">
        <f>휴일근로!A2</f>
        <v>휴일근로시간산출표</v>
      </c>
    </row>
    <row r="12" spans="1:4" s="314" customFormat="1" ht="18" customHeight="1">
      <c r="A12" s="312"/>
      <c r="B12" s="313"/>
      <c r="C12" s="313" t="s">
        <v>418</v>
      </c>
      <c r="D12" s="313" t="str">
        <f>월기본급!A2</f>
        <v>M/M당기본급산출표</v>
      </c>
    </row>
    <row r="13" spans="1:4" s="314" customFormat="1" ht="18" customHeight="1">
      <c r="A13" s="312"/>
      <c r="B13" s="313"/>
      <c r="C13" s="313" t="s">
        <v>273</v>
      </c>
      <c r="D13" s="313" t="str">
        <f>산정기준!A2</f>
        <v>인건비산정기준 및 관련법규</v>
      </c>
    </row>
    <row r="14" spans="1:4" s="314" customFormat="1" ht="18" customHeight="1">
      <c r="A14" s="312"/>
      <c r="B14" s="313"/>
      <c r="C14" s="313" t="s">
        <v>7</v>
      </c>
      <c r="D14" s="313" t="str">
        <f>투입인원!A2</f>
        <v>적용직종 및 소요인원산정표</v>
      </c>
    </row>
    <row r="15" spans="1:4" s="314" customFormat="1" ht="18" customHeight="1">
      <c r="A15" s="312"/>
      <c r="B15" s="313"/>
      <c r="C15" s="313" t="s">
        <v>8</v>
      </c>
      <c r="D15" s="313" t="str">
        <f>경비집계표!A2</f>
        <v>경비집계표</v>
      </c>
    </row>
    <row r="16" spans="1:4" s="314" customFormat="1" ht="18" customHeight="1">
      <c r="A16" s="312"/>
      <c r="B16" s="313"/>
      <c r="C16" s="313" t="s">
        <v>9</v>
      </c>
      <c r="D16" s="313" t="str">
        <f>보험료!A2</f>
        <v>보험료산출표</v>
      </c>
    </row>
    <row r="17" spans="1:4" s="314" customFormat="1" ht="18" customHeight="1">
      <c r="A17" s="312"/>
      <c r="B17" s="313"/>
      <c r="C17" s="313" t="s">
        <v>435</v>
      </c>
      <c r="D17" s="313" t="str">
        <f>보험료산출기준!A2</f>
        <v>보험료산정기준표</v>
      </c>
    </row>
    <row r="18" spans="1:4" s="314" customFormat="1" ht="18" customHeight="1">
      <c r="A18" s="312"/>
      <c r="B18" s="313"/>
      <c r="C18" s="313" t="s">
        <v>10</v>
      </c>
      <c r="D18" s="313" t="str">
        <f>산재비율!A2</f>
        <v>산업재해보상보험요율</v>
      </c>
    </row>
    <row r="19" spans="1:4" s="314" customFormat="1" ht="18" customHeight="1">
      <c r="A19" s="312"/>
      <c r="B19" s="313"/>
      <c r="C19" s="313" t="s">
        <v>11</v>
      </c>
      <c r="D19" s="313" t="str">
        <f>복리후생비!A2</f>
        <v>복리후생비집계표</v>
      </c>
    </row>
    <row r="20" spans="1:4" s="314" customFormat="1" ht="18" customHeight="1">
      <c r="A20" s="312"/>
      <c r="B20" s="313"/>
      <c r="C20" s="313" t="s">
        <v>12</v>
      </c>
      <c r="D20" s="313" t="str">
        <f>식대!A2</f>
        <v>식비산출표</v>
      </c>
    </row>
    <row r="21" spans="1:4" s="314" customFormat="1" ht="18" customHeight="1">
      <c r="A21" s="312"/>
      <c r="B21" s="313"/>
      <c r="C21" s="313" t="s">
        <v>261</v>
      </c>
      <c r="D21" s="313" t="str">
        <f>사업소세!A2</f>
        <v>사업소세산출표</v>
      </c>
    </row>
    <row r="22" spans="1:4" s="314" customFormat="1" ht="18" customHeight="1">
      <c r="A22" s="312"/>
      <c r="B22" s="313"/>
      <c r="C22" s="313" t="s">
        <v>394</v>
      </c>
      <c r="D22" s="313" t="str">
        <f>교육비!A2</f>
        <v>교육비산출표</v>
      </c>
    </row>
    <row r="23" spans="3:4" ht="18" customHeight="1">
      <c r="C23" s="313" t="s">
        <v>419</v>
      </c>
      <c r="D23" s="313" t="str">
        <f>일반!A2</f>
        <v>일반관리비산출표</v>
      </c>
    </row>
    <row r="24" spans="3:4" ht="18" customHeight="1">
      <c r="C24" s="313" t="s">
        <v>395</v>
      </c>
      <c r="D24" s="313" t="str">
        <f>일반비율!A2</f>
        <v>일반관리비율산출표</v>
      </c>
    </row>
    <row r="25" spans="3:4" ht="18" customHeight="1">
      <c r="C25" s="313" t="s">
        <v>420</v>
      </c>
      <c r="D25" s="313" t="str">
        <f>이윤!A2</f>
        <v>이윤산출표</v>
      </c>
    </row>
    <row r="26" spans="3:4" ht="18" customHeight="1">
      <c r="C26" s="313" t="s">
        <v>436</v>
      </c>
      <c r="D26" s="313" t="str">
        <f>이윤율!A2</f>
        <v>이윤비율표</v>
      </c>
    </row>
    <row r="27" spans="3:4" ht="18" customHeight="1">
      <c r="C27" s="313" t="s">
        <v>421</v>
      </c>
      <c r="D27" s="313" t="str">
        <f>기업!A2</f>
        <v>기업경영분석자료</v>
      </c>
    </row>
  </sheetData>
  <sheetProtection/>
  <mergeCells count="2">
    <mergeCell ref="C4:D4"/>
    <mergeCell ref="A2:D2"/>
  </mergeCells>
  <printOptions/>
  <pageMargins left="0.7874015748031497" right="0.7874015748031497" top="0.984251968503937" bottom="0.7874015748031497" header="0.5118110236220472" footer="0.5118110236220472"/>
  <pageSetup firstPageNumber="13" useFirstPageNumber="1" horizontalDpi="600" verticalDpi="600" orientation="portrait" paperSize="9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showGridLines="0" showZeros="0" view="pageBreakPreview" zoomScale="90" zoomScaleSheetLayoutView="90" zoomScalePageLayoutView="0" workbookViewId="0" topLeftCell="A10">
      <selection activeCell="F17" sqref="F17"/>
    </sheetView>
  </sheetViews>
  <sheetFormatPr defaultColWidth="9.140625" defaultRowHeight="12"/>
  <cols>
    <col min="1" max="1" width="5.7109375" style="294" customWidth="1"/>
    <col min="2" max="2" width="1.28515625" style="294" customWidth="1"/>
    <col min="3" max="3" width="12.7109375" style="294" customWidth="1"/>
    <col min="4" max="4" width="1.28515625" style="294" customWidth="1"/>
    <col min="5" max="5" width="29.7109375" style="288" customWidth="1"/>
    <col min="6" max="6" width="74.7109375" style="288" customWidth="1"/>
    <col min="7" max="7" width="44.140625" style="288" customWidth="1"/>
    <col min="8" max="8" width="9.140625" style="288" customWidth="1"/>
    <col min="9" max="9" width="9.140625" style="289" customWidth="1"/>
    <col min="10" max="16384" width="9.140625" style="288" customWidth="1"/>
  </cols>
  <sheetData>
    <row r="1" spans="1:4" ht="19.5" customHeight="1">
      <c r="A1" s="290" t="s">
        <v>526</v>
      </c>
      <c r="B1" s="291"/>
      <c r="C1" s="291"/>
      <c r="D1" s="291"/>
    </row>
    <row r="2" spans="1:7" ht="39.75" customHeight="1">
      <c r="A2" s="285" t="s">
        <v>237</v>
      </c>
      <c r="B2" s="293"/>
      <c r="C2" s="293"/>
      <c r="D2" s="293"/>
      <c r="E2" s="292"/>
      <c r="F2" s="292"/>
      <c r="G2" s="292"/>
    </row>
    <row r="3" spans="1:7" ht="19.5" customHeight="1">
      <c r="A3" s="292"/>
      <c r="B3" s="293"/>
      <c r="C3" s="293"/>
      <c r="D3" s="293"/>
      <c r="E3" s="292"/>
      <c r="F3" s="292"/>
      <c r="G3" s="292"/>
    </row>
    <row r="4" ht="19.5" customHeight="1"/>
    <row r="5" spans="1:7" ht="24.75" customHeight="1">
      <c r="A5" s="663" t="s">
        <v>228</v>
      </c>
      <c r="B5" s="648"/>
      <c r="C5" s="648"/>
      <c r="D5" s="664"/>
      <c r="E5" s="656" t="s">
        <v>229</v>
      </c>
      <c r="F5" s="654" t="s">
        <v>230</v>
      </c>
      <c r="G5" s="656" t="s">
        <v>231</v>
      </c>
    </row>
    <row r="6" spans="1:7" ht="24.75" customHeight="1">
      <c r="A6" s="665"/>
      <c r="B6" s="666"/>
      <c r="C6" s="666"/>
      <c r="D6" s="667"/>
      <c r="E6" s="657"/>
      <c r="F6" s="655"/>
      <c r="G6" s="657"/>
    </row>
    <row r="7" spans="1:7" ht="49.5" customHeight="1">
      <c r="A7" s="625" t="s">
        <v>232</v>
      </c>
      <c r="B7" s="626"/>
      <c r="C7" s="626"/>
      <c r="D7" s="627"/>
      <c r="E7" s="287" t="s">
        <v>233</v>
      </c>
      <c r="F7" s="287" t="s">
        <v>423</v>
      </c>
      <c r="G7" s="335" t="s">
        <v>424</v>
      </c>
    </row>
    <row r="8" spans="1:7" ht="49.5" customHeight="1">
      <c r="A8" s="661" t="s">
        <v>275</v>
      </c>
      <c r="B8" s="239"/>
      <c r="C8" s="36" t="s">
        <v>2</v>
      </c>
      <c r="D8" s="286"/>
      <c r="E8" s="287" t="s">
        <v>255</v>
      </c>
      <c r="F8" s="287" t="s">
        <v>262</v>
      </c>
      <c r="G8" s="287" t="s">
        <v>390</v>
      </c>
    </row>
    <row r="9" spans="1:7" ht="49.5" customHeight="1">
      <c r="A9" s="662"/>
      <c r="B9" s="239"/>
      <c r="C9" s="36" t="s">
        <v>276</v>
      </c>
      <c r="D9" s="286"/>
      <c r="E9" s="287" t="s">
        <v>255</v>
      </c>
      <c r="F9" s="287" t="s">
        <v>308</v>
      </c>
      <c r="G9" s="287" t="s">
        <v>368</v>
      </c>
    </row>
    <row r="10" spans="1:7" ht="49.5" customHeight="1">
      <c r="A10" s="662"/>
      <c r="B10" s="239"/>
      <c r="C10" s="36" t="s">
        <v>34</v>
      </c>
      <c r="D10" s="286"/>
      <c r="E10" s="287" t="s">
        <v>256</v>
      </c>
      <c r="F10" s="287" t="s">
        <v>252</v>
      </c>
      <c r="G10" s="287" t="s">
        <v>263</v>
      </c>
    </row>
    <row r="11" spans="1:7" ht="49.5" customHeight="1">
      <c r="A11" s="658" t="s">
        <v>234</v>
      </c>
      <c r="B11" s="659"/>
      <c r="C11" s="659"/>
      <c r="D11" s="660"/>
      <c r="E11" s="335" t="s">
        <v>425</v>
      </c>
      <c r="F11" s="287" t="s">
        <v>309</v>
      </c>
      <c r="G11" s="287" t="s">
        <v>310</v>
      </c>
    </row>
    <row r="12" spans="1:7" ht="49.5" customHeight="1">
      <c r="A12" s="658" t="s">
        <v>235</v>
      </c>
      <c r="B12" s="659"/>
      <c r="C12" s="659"/>
      <c r="D12" s="660"/>
      <c r="E12" s="297" t="s">
        <v>257</v>
      </c>
      <c r="F12" s="287" t="s">
        <v>253</v>
      </c>
      <c r="G12" s="287" t="s">
        <v>236</v>
      </c>
    </row>
  </sheetData>
  <sheetProtection/>
  <mergeCells count="8">
    <mergeCell ref="F5:F6"/>
    <mergeCell ref="G5:G6"/>
    <mergeCell ref="A12:D12"/>
    <mergeCell ref="A8:A10"/>
    <mergeCell ref="A7:D7"/>
    <mergeCell ref="A11:D11"/>
    <mergeCell ref="A5:D6"/>
    <mergeCell ref="E5:E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2"/>
  <headerFooter alignWithMargins="0">
    <oddFooter>&amp;C- &amp;P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view="pageBreakPreview" zoomScaleSheetLayoutView="100" zoomScalePageLayoutView="0" workbookViewId="0" topLeftCell="A1">
      <selection activeCell="L18" sqref="L18"/>
    </sheetView>
  </sheetViews>
  <sheetFormatPr defaultColWidth="9.140625" defaultRowHeight="12"/>
  <cols>
    <col min="1" max="1" width="3.7109375" style="10" customWidth="1"/>
    <col min="2" max="2" width="11.7109375" style="10" customWidth="1"/>
    <col min="3" max="3" width="1.7109375" style="10" customWidth="1"/>
    <col min="4" max="4" width="15.57421875" style="10" customWidth="1"/>
    <col min="5" max="5" width="1.7109375" style="10" customWidth="1"/>
    <col min="6" max="6" width="5.7109375" style="152" customWidth="1"/>
    <col min="7" max="7" width="0.85546875" style="152" customWidth="1"/>
    <col min="8" max="8" width="32.7109375" style="152" customWidth="1"/>
    <col min="9" max="9" width="0.85546875" style="152" customWidth="1"/>
    <col min="10" max="10" width="20.7109375" style="152" customWidth="1"/>
    <col min="11" max="16384" width="9.140625" style="152" customWidth="1"/>
  </cols>
  <sheetData>
    <row r="1" spans="1:2" ht="19.5" customHeight="1">
      <c r="A1" s="219" t="s">
        <v>527</v>
      </c>
      <c r="B1" s="219"/>
    </row>
    <row r="2" spans="1:10" s="168" customFormat="1" ht="39.75" customHeight="1">
      <c r="A2" s="165" t="s">
        <v>72</v>
      </c>
      <c r="B2" s="165"/>
      <c r="C2" s="166"/>
      <c r="D2" s="166"/>
      <c r="E2" s="166"/>
      <c r="F2" s="165"/>
      <c r="G2" s="165"/>
      <c r="H2" s="165"/>
      <c r="I2" s="165"/>
      <c r="J2" s="165"/>
    </row>
    <row r="3" spans="1:10" s="168" customFormat="1" ht="19.5" customHeight="1">
      <c r="A3" s="165"/>
      <c r="B3" s="165"/>
      <c r="C3" s="166"/>
      <c r="D3" s="166"/>
      <c r="E3" s="166"/>
      <c r="F3" s="165"/>
      <c r="G3" s="165"/>
      <c r="H3" s="165"/>
      <c r="I3" s="165"/>
      <c r="J3" s="165"/>
    </row>
    <row r="4" ht="19.5" customHeight="1"/>
    <row r="5" spans="1:10" ht="34.5" customHeight="1">
      <c r="A5" s="173" t="s">
        <v>73</v>
      </c>
      <c r="B5" s="174"/>
      <c r="C5" s="236" t="s">
        <v>219</v>
      </c>
      <c r="D5" s="237"/>
      <c r="E5" s="238"/>
      <c r="F5" s="236" t="s">
        <v>326</v>
      </c>
      <c r="G5" s="236" t="s">
        <v>74</v>
      </c>
      <c r="H5" s="238"/>
      <c r="I5" s="237" t="s">
        <v>324</v>
      </c>
      <c r="J5" s="238"/>
    </row>
    <row r="6" spans="1:10" s="10" customFormat="1" ht="18.75" customHeight="1">
      <c r="A6" s="607" t="s">
        <v>321</v>
      </c>
      <c r="B6" s="241" t="s">
        <v>374</v>
      </c>
      <c r="C6" s="15"/>
      <c r="D6" s="40"/>
      <c r="E6" s="17"/>
      <c r="F6" s="5"/>
      <c r="G6" s="5"/>
      <c r="H6" s="373"/>
      <c r="I6" s="374"/>
      <c r="J6" s="375"/>
    </row>
    <row r="7" spans="1:10" s="10" customFormat="1" ht="18.75" customHeight="1">
      <c r="A7" s="371"/>
      <c r="B7" s="182" t="s">
        <v>537</v>
      </c>
      <c r="C7" s="175"/>
      <c r="D7" s="522" t="s">
        <v>520</v>
      </c>
      <c r="E7" s="42"/>
      <c r="F7" s="176">
        <v>1</v>
      </c>
      <c r="G7" s="176"/>
      <c r="H7" s="177" t="s">
        <v>396</v>
      </c>
      <c r="I7" s="170"/>
      <c r="J7" s="247" t="s">
        <v>336</v>
      </c>
    </row>
    <row r="8" spans="1:10" s="10" customFormat="1" ht="18.75" customHeight="1">
      <c r="A8" s="607" t="s">
        <v>542</v>
      </c>
      <c r="B8" s="241" t="s">
        <v>323</v>
      </c>
      <c r="C8" s="15"/>
      <c r="D8" s="40"/>
      <c r="E8" s="17"/>
      <c r="F8" s="5"/>
      <c r="G8" s="5"/>
      <c r="H8" s="373"/>
      <c r="I8" s="374"/>
      <c r="J8" s="375"/>
    </row>
    <row r="9" spans="1:10" s="10" customFormat="1" ht="18.75" customHeight="1">
      <c r="A9" s="371"/>
      <c r="B9" s="182" t="s">
        <v>317</v>
      </c>
      <c r="C9" s="175"/>
      <c r="D9" s="41" t="s">
        <v>325</v>
      </c>
      <c r="E9" s="42"/>
      <c r="F9" s="176">
        <v>1</v>
      </c>
      <c r="G9" s="176"/>
      <c r="H9" s="177" t="s">
        <v>333</v>
      </c>
      <c r="I9" s="170"/>
      <c r="J9" s="247" t="s">
        <v>337</v>
      </c>
    </row>
    <row r="10" spans="1:10" s="10" customFormat="1" ht="18.75" customHeight="1">
      <c r="A10" s="371"/>
      <c r="B10" s="182"/>
      <c r="C10" s="175"/>
      <c r="D10" s="41"/>
      <c r="E10" s="42"/>
      <c r="F10" s="176"/>
      <c r="G10" s="176"/>
      <c r="H10" s="177" t="s">
        <v>331</v>
      </c>
      <c r="I10" s="170"/>
      <c r="J10" s="246"/>
    </row>
    <row r="11" spans="1:10" s="10" customFormat="1" ht="18.75" customHeight="1">
      <c r="A11" s="371"/>
      <c r="B11" s="182"/>
      <c r="C11" s="175"/>
      <c r="D11" s="41"/>
      <c r="E11" s="42"/>
      <c r="F11" s="176"/>
      <c r="G11" s="176"/>
      <c r="H11" s="177" t="s">
        <v>334</v>
      </c>
      <c r="I11" s="170"/>
      <c r="J11" s="247"/>
    </row>
    <row r="12" spans="1:10" s="10" customFormat="1" ht="18.75" customHeight="1">
      <c r="A12" s="371"/>
      <c r="B12" s="182"/>
      <c r="C12" s="175"/>
      <c r="D12" s="41"/>
      <c r="E12" s="42"/>
      <c r="F12" s="176"/>
      <c r="G12" s="176"/>
      <c r="H12" s="177" t="s">
        <v>335</v>
      </c>
      <c r="I12" s="170"/>
      <c r="J12" s="246"/>
    </row>
    <row r="13" spans="1:10" s="10" customFormat="1" ht="18.75" customHeight="1">
      <c r="A13" s="372"/>
      <c r="B13" s="376"/>
      <c r="C13" s="14"/>
      <c r="D13" s="249"/>
      <c r="E13" s="16"/>
      <c r="F13" s="3"/>
      <c r="G13" s="3"/>
      <c r="H13" s="377" t="s">
        <v>332</v>
      </c>
      <c r="I13" s="378"/>
      <c r="J13" s="379"/>
    </row>
    <row r="14" spans="1:10" s="10" customFormat="1" ht="18.75" customHeight="1">
      <c r="A14" s="608" t="s">
        <v>544</v>
      </c>
      <c r="B14" s="182" t="s">
        <v>375</v>
      </c>
      <c r="C14" s="175"/>
      <c r="D14" s="41"/>
      <c r="E14" s="42"/>
      <c r="F14" s="176"/>
      <c r="G14" s="176"/>
      <c r="H14" s="177"/>
      <c r="I14" s="170"/>
      <c r="J14" s="247"/>
    </row>
    <row r="15" spans="1:10" s="10" customFormat="1" ht="18.75" customHeight="1">
      <c r="A15" s="371"/>
      <c r="B15" s="182" t="s">
        <v>322</v>
      </c>
      <c r="C15" s="175"/>
      <c r="D15" s="41" t="s">
        <v>521</v>
      </c>
      <c r="E15" s="42"/>
      <c r="F15" s="176">
        <v>4</v>
      </c>
      <c r="G15" s="176"/>
      <c r="H15" s="177" t="s">
        <v>327</v>
      </c>
      <c r="I15" s="170"/>
      <c r="J15" s="247" t="s">
        <v>397</v>
      </c>
    </row>
    <row r="16" spans="1:10" s="10" customFormat="1" ht="18.75" customHeight="1">
      <c r="A16" s="371"/>
      <c r="B16" s="182"/>
      <c r="C16" s="175"/>
      <c r="D16" s="41"/>
      <c r="E16" s="42"/>
      <c r="F16" s="176"/>
      <c r="G16" s="176"/>
      <c r="H16" s="177" t="s">
        <v>328</v>
      </c>
      <c r="I16" s="170"/>
      <c r="J16" s="246"/>
    </row>
    <row r="17" spans="1:10" s="10" customFormat="1" ht="18.75" customHeight="1">
      <c r="A17" s="371"/>
      <c r="B17" s="182"/>
      <c r="C17" s="175"/>
      <c r="D17" s="41"/>
      <c r="E17" s="42"/>
      <c r="F17" s="176"/>
      <c r="G17" s="176"/>
      <c r="H17" s="177" t="s">
        <v>329</v>
      </c>
      <c r="I17" s="170"/>
      <c r="J17" s="246"/>
    </row>
    <row r="18" spans="1:10" s="10" customFormat="1" ht="18.75" customHeight="1">
      <c r="A18" s="371"/>
      <c r="B18" s="182"/>
      <c r="C18" s="175"/>
      <c r="D18" s="41"/>
      <c r="E18" s="42"/>
      <c r="F18" s="176"/>
      <c r="G18" s="176"/>
      <c r="H18" s="177" t="s">
        <v>330</v>
      </c>
      <c r="I18" s="170"/>
      <c r="J18" s="246"/>
    </row>
    <row r="19" spans="1:10" ht="30" customHeight="1">
      <c r="A19" s="245" t="s">
        <v>75</v>
      </c>
      <c r="B19" s="244"/>
      <c r="C19" s="245"/>
      <c r="D19" s="235"/>
      <c r="E19" s="244"/>
      <c r="F19" s="24">
        <f>SUM(F6:F18)</f>
        <v>6</v>
      </c>
      <c r="G19" s="24"/>
      <c r="H19" s="22"/>
      <c r="I19" s="23"/>
      <c r="J19" s="179"/>
    </row>
    <row r="20" spans="1:2" ht="19.5" customHeight="1">
      <c r="A20" s="169" t="s">
        <v>357</v>
      </c>
      <c r="B20" s="169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headerFooter alignWithMargins="0">
    <oddFooter>&amp;C- &amp;P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view="pageBreakPreview" zoomScaleSheetLayoutView="100" zoomScalePageLayoutView="0" workbookViewId="0" topLeftCell="A13">
      <selection activeCell="G7" sqref="G7"/>
    </sheetView>
  </sheetViews>
  <sheetFormatPr defaultColWidth="10.28125" defaultRowHeight="33.75" customHeight="1"/>
  <cols>
    <col min="1" max="1" width="5.7109375" style="196" customWidth="1"/>
    <col min="2" max="2" width="1.7109375" style="195" customWidth="1"/>
    <col min="3" max="3" width="20.7109375" style="195" customWidth="1"/>
    <col min="4" max="4" width="1.7109375" style="195" customWidth="1"/>
    <col min="5" max="7" width="13.7109375" style="196" customWidth="1"/>
    <col min="8" max="8" width="10.57421875" style="196" customWidth="1"/>
    <col min="9" max="9" width="26.28125" style="195" customWidth="1"/>
    <col min="10" max="16384" width="10.28125" style="195" customWidth="1"/>
  </cols>
  <sheetData>
    <row r="1" ht="19.5" customHeight="1">
      <c r="A1" s="195" t="s">
        <v>528</v>
      </c>
    </row>
    <row r="2" spans="1:8" s="199" customFormat="1" ht="39.75" customHeight="1">
      <c r="A2" s="197" t="s">
        <v>76</v>
      </c>
      <c r="B2" s="197"/>
      <c r="C2" s="197"/>
      <c r="D2" s="197"/>
      <c r="E2" s="198"/>
      <c r="F2" s="198"/>
      <c r="G2" s="198"/>
      <c r="H2" s="198"/>
    </row>
    <row r="3" spans="1:8" ht="19.5" customHeight="1">
      <c r="A3" s="201"/>
      <c r="B3" s="200"/>
      <c r="C3" s="200"/>
      <c r="D3" s="200"/>
      <c r="E3" s="201"/>
      <c r="F3" s="201"/>
      <c r="G3" s="201"/>
      <c r="H3" s="201"/>
    </row>
    <row r="4" spans="1:8" ht="19.5" customHeight="1">
      <c r="A4" s="201"/>
      <c r="C4" s="200"/>
      <c r="D4" s="202"/>
      <c r="E4" s="201"/>
      <c r="F4" s="201"/>
      <c r="G4" s="201"/>
      <c r="H4" s="155" t="s">
        <v>45</v>
      </c>
    </row>
    <row r="5" spans="1:8" ht="24.75" customHeight="1">
      <c r="A5" s="676" t="s">
        <v>77</v>
      </c>
      <c r="B5" s="677"/>
      <c r="C5" s="677"/>
      <c r="D5" s="678"/>
      <c r="E5" s="425" t="str">
        <f>인집!B7</f>
        <v>기계반장</v>
      </c>
      <c r="F5" s="425" t="str">
        <f>인집!B8</f>
        <v>미화원</v>
      </c>
      <c r="G5" s="425" t="str">
        <f>인집!B9</f>
        <v>경비원</v>
      </c>
      <c r="H5" s="671" t="s">
        <v>348</v>
      </c>
    </row>
    <row r="6" spans="1:8" ht="24.75" customHeight="1">
      <c r="A6" s="679"/>
      <c r="B6" s="680"/>
      <c r="C6" s="680"/>
      <c r="D6" s="681"/>
      <c r="E6" s="513" t="str">
        <f>"("&amp;인집!B7&amp;")"</f>
        <v>(기계반장)</v>
      </c>
      <c r="F6" s="513" t="str">
        <f>"("&amp;인집!B8&amp;")"</f>
        <v>(미화원)</v>
      </c>
      <c r="G6" s="513" t="str">
        <f>"("&amp;인집!B9&amp;")"</f>
        <v>(경비원)</v>
      </c>
      <c r="H6" s="672"/>
    </row>
    <row r="7" spans="1:8" ht="34.5" customHeight="1">
      <c r="A7" s="673" t="s">
        <v>382</v>
      </c>
      <c r="B7" s="203"/>
      <c r="C7" s="204" t="s">
        <v>39</v>
      </c>
      <c r="D7" s="205"/>
      <c r="E7" s="229">
        <f>보험료!I29</f>
        <v>40701</v>
      </c>
      <c r="F7" s="229">
        <f>보험료!I50</f>
        <v>29790</v>
      </c>
      <c r="G7" s="229">
        <f>보험료!I71</f>
        <v>29790</v>
      </c>
      <c r="H7" s="232" t="s">
        <v>78</v>
      </c>
    </row>
    <row r="8" spans="1:8" ht="34.5" customHeight="1">
      <c r="A8" s="675"/>
      <c r="B8" s="203"/>
      <c r="C8" s="204" t="s">
        <v>89</v>
      </c>
      <c r="D8" s="205"/>
      <c r="E8" s="229">
        <f>보험료!I30</f>
        <v>87217</v>
      </c>
      <c r="F8" s="229">
        <f>보험료!I51</f>
        <v>63837</v>
      </c>
      <c r="G8" s="229">
        <f>보험료!I72</f>
        <v>63837</v>
      </c>
      <c r="H8" s="233"/>
    </row>
    <row r="9" spans="1:8" ht="34.5" customHeight="1">
      <c r="A9" s="675"/>
      <c r="B9" s="203"/>
      <c r="C9" s="204" t="s">
        <v>238</v>
      </c>
      <c r="D9" s="205"/>
      <c r="E9" s="229">
        <f>보험료!I31</f>
        <v>13567</v>
      </c>
      <c r="F9" s="229">
        <f>보험료!I52</f>
        <v>9930</v>
      </c>
      <c r="G9" s="229">
        <f>보험료!I73</f>
        <v>9930</v>
      </c>
      <c r="H9" s="233"/>
    </row>
    <row r="10" spans="1:8" ht="34.5" customHeight="1">
      <c r="A10" s="675"/>
      <c r="B10" s="203"/>
      <c r="C10" s="204" t="s">
        <v>91</v>
      </c>
      <c r="D10" s="205"/>
      <c r="E10" s="229">
        <f>보험료!I32</f>
        <v>49229</v>
      </c>
      <c r="F10" s="229">
        <f>보험료!I53</f>
        <v>36032</v>
      </c>
      <c r="G10" s="229">
        <f>보험료!I74</f>
        <v>36032</v>
      </c>
      <c r="H10" s="233"/>
    </row>
    <row r="11" spans="1:8" ht="34.5" customHeight="1">
      <c r="A11" s="675"/>
      <c r="B11" s="203"/>
      <c r="C11" s="204" t="s">
        <v>338</v>
      </c>
      <c r="D11" s="205"/>
      <c r="E11" s="229">
        <f>보험료!I33</f>
        <v>2353</v>
      </c>
      <c r="F11" s="229">
        <f>보험료!I54</f>
        <v>1722</v>
      </c>
      <c r="G11" s="229">
        <f>보험료!I75</f>
        <v>1722</v>
      </c>
      <c r="H11" s="233"/>
    </row>
    <row r="12" spans="1:8" ht="34.5" customHeight="1">
      <c r="A12" s="675"/>
      <c r="B12" s="203"/>
      <c r="C12" s="204" t="s">
        <v>92</v>
      </c>
      <c r="D12" s="205"/>
      <c r="E12" s="229">
        <f>보험료!I34</f>
        <v>775</v>
      </c>
      <c r="F12" s="229">
        <f>보험료!I55</f>
        <v>567</v>
      </c>
      <c r="G12" s="229">
        <f>보험료!I76</f>
        <v>567</v>
      </c>
      <c r="H12" s="234"/>
    </row>
    <row r="13" spans="1:8" ht="34.5" customHeight="1">
      <c r="A13" s="674"/>
      <c r="B13" s="203"/>
      <c r="C13" s="320" t="s">
        <v>14</v>
      </c>
      <c r="D13" s="205"/>
      <c r="E13" s="229">
        <f>SUM(E7:E12)</f>
        <v>193842</v>
      </c>
      <c r="F13" s="229">
        <f>SUM(F7:F12)</f>
        <v>141878</v>
      </c>
      <c r="G13" s="229">
        <f>SUM(G7:G12)</f>
        <v>141878</v>
      </c>
      <c r="H13" s="233"/>
    </row>
    <row r="14" spans="1:8" ht="34.5" customHeight="1">
      <c r="A14" s="673" t="s">
        <v>79</v>
      </c>
      <c r="B14" s="231"/>
      <c r="C14" s="204" t="s">
        <v>80</v>
      </c>
      <c r="D14" s="205"/>
      <c r="E14" s="229">
        <f>복리후생비!G6</f>
        <v>63000</v>
      </c>
      <c r="F14" s="229">
        <f>복리후생비!G7</f>
        <v>63000</v>
      </c>
      <c r="G14" s="229">
        <f>복리후생비!G8</f>
        <v>63000</v>
      </c>
      <c r="H14" s="232" t="s">
        <v>81</v>
      </c>
    </row>
    <row r="15" spans="1:8" ht="34.5" customHeight="1">
      <c r="A15" s="674"/>
      <c r="B15" s="231"/>
      <c r="C15" s="320" t="s">
        <v>14</v>
      </c>
      <c r="D15" s="205"/>
      <c r="E15" s="229">
        <f>SUM(E14:E14)</f>
        <v>63000</v>
      </c>
      <c r="F15" s="229">
        <f>SUM(F14:F14)</f>
        <v>63000</v>
      </c>
      <c r="G15" s="229">
        <f>SUM(G14:G14)</f>
        <v>63000</v>
      </c>
      <c r="H15" s="234"/>
    </row>
    <row r="16" spans="1:8" ht="34.5" customHeight="1">
      <c r="A16" s="668" t="s">
        <v>339</v>
      </c>
      <c r="B16" s="669"/>
      <c r="C16" s="669"/>
      <c r="D16" s="670"/>
      <c r="E16" s="229">
        <f>사업소세!J8</f>
        <v>9690</v>
      </c>
      <c r="F16" s="229">
        <f>사업소세!J9</f>
        <v>7093</v>
      </c>
      <c r="G16" s="229">
        <f>사업소세!J10</f>
        <v>7093</v>
      </c>
      <c r="H16" s="234" t="s">
        <v>277</v>
      </c>
    </row>
    <row r="17" spans="1:8" ht="34.5" customHeight="1">
      <c r="A17" s="668" t="s">
        <v>360</v>
      </c>
      <c r="B17" s="669"/>
      <c r="C17" s="669"/>
      <c r="D17" s="670"/>
      <c r="E17" s="229">
        <f>교육비!J7</f>
        <v>8333</v>
      </c>
      <c r="F17" s="229"/>
      <c r="G17" s="229"/>
      <c r="H17" s="234" t="s">
        <v>24</v>
      </c>
    </row>
    <row r="18" spans="1:8" ht="39.75" customHeight="1">
      <c r="A18" s="230" t="s">
        <v>218</v>
      </c>
      <c r="B18" s="203"/>
      <c r="C18" s="231"/>
      <c r="D18" s="205"/>
      <c r="E18" s="229">
        <f>SUM(E13,E15,E16,E17)</f>
        <v>274865</v>
      </c>
      <c r="F18" s="229">
        <f>SUM(F13,F15,F16,F17)</f>
        <v>211971</v>
      </c>
      <c r="G18" s="229">
        <f>SUM(G13,G15,G16,G17)</f>
        <v>211971</v>
      </c>
      <c r="H18" s="1"/>
    </row>
    <row r="19" ht="24.75" customHeight="1">
      <c r="A19" s="206" t="str">
        <f>"주 1) 보험료 : "&amp;보험료!$A$1&amp;보험료!$A$2&amp;" 참조"</f>
        <v>주 1) 보험료 : &lt; 표 : 12 &gt; 보험료산출표 참조</v>
      </c>
    </row>
    <row r="20" ht="24.75" customHeight="1">
      <c r="A20" s="206" t="str">
        <f>"   2) 복리후생비 : "&amp;복리후생비!$A$1&amp;복리후생비!$A$2&amp;" 참조"</f>
        <v>   2) 복리후생비 : &lt; 표 : 15 &gt; 복리후생비집계표 참조</v>
      </c>
    </row>
    <row r="21" ht="24.75" customHeight="1">
      <c r="A21" s="206" t="str">
        <f>"   3) 사업소세 : "&amp;사업소세!$A$1&amp;사업소세!$A$2&amp;" 참조"</f>
        <v>   3) 사업소세 : &lt; 표 : 17 &gt; 사업소세산출표 참조</v>
      </c>
    </row>
    <row r="22" ht="24.75" customHeight="1">
      <c r="A22" s="206" t="str">
        <f>"   4) 교육비 : "&amp;교육비!$A$1&amp;교육비!$A$2&amp;" 참조"</f>
        <v>   4) 교육비 : &lt; 표 : 18 &gt; 교육비산출표 참조</v>
      </c>
    </row>
  </sheetData>
  <sheetProtection/>
  <mergeCells count="6">
    <mergeCell ref="A17:D17"/>
    <mergeCell ref="H5:H6"/>
    <mergeCell ref="A14:A15"/>
    <mergeCell ref="A7:A13"/>
    <mergeCell ref="A16:D16"/>
    <mergeCell ref="A5:D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86"/>
  <sheetViews>
    <sheetView showGridLines="0" showZeros="0" view="pageBreakPreview" zoomScaleSheetLayoutView="100" zoomScalePageLayoutView="0" workbookViewId="0" topLeftCell="A1">
      <selection activeCell="G81" sqref="G81"/>
    </sheetView>
  </sheetViews>
  <sheetFormatPr defaultColWidth="9.140625" defaultRowHeight="12"/>
  <cols>
    <col min="1" max="1" width="1.7109375" style="151" customWidth="1"/>
    <col min="2" max="2" width="19.7109375" style="151" customWidth="1"/>
    <col min="3" max="3" width="1.7109375" style="151" customWidth="1"/>
    <col min="4" max="4" width="11.7109375" style="184" customWidth="1"/>
    <col min="5" max="5" width="11.7109375" style="32" customWidth="1"/>
    <col min="6" max="6" width="9.7109375" style="32" customWidth="1"/>
    <col min="7" max="7" width="11.7109375" style="32" customWidth="1"/>
    <col min="8" max="8" width="7.7109375" style="32" customWidth="1"/>
    <col min="9" max="9" width="10.7109375" style="32" customWidth="1"/>
    <col min="10" max="10" width="9.00390625" style="10" customWidth="1"/>
    <col min="11" max="16384" width="9.140625" style="152" customWidth="1"/>
  </cols>
  <sheetData>
    <row r="1" spans="1:4" ht="19.5" customHeight="1">
      <c r="A1" s="219" t="s">
        <v>529</v>
      </c>
      <c r="B1" s="220"/>
      <c r="C1" s="220"/>
      <c r="D1" s="219"/>
    </row>
    <row r="2" spans="1:10" s="168" customFormat="1" ht="39.75" customHeight="1">
      <c r="A2" s="165" t="s">
        <v>270</v>
      </c>
      <c r="B2" s="222"/>
      <c r="C2" s="222"/>
      <c r="D2" s="221"/>
      <c r="E2" s="153"/>
      <c r="F2" s="29"/>
      <c r="G2" s="153"/>
      <c r="H2" s="153"/>
      <c r="I2" s="153"/>
      <c r="J2" s="166"/>
    </row>
    <row r="3" spans="1:10" s="168" customFormat="1" ht="19.5" customHeight="1">
      <c r="A3" s="222"/>
      <c r="B3" s="222"/>
      <c r="C3" s="222"/>
      <c r="D3" s="221"/>
      <c r="E3" s="153"/>
      <c r="F3" s="29"/>
      <c r="G3" s="153"/>
      <c r="H3" s="153"/>
      <c r="I3" s="153"/>
      <c r="J3" s="166"/>
    </row>
    <row r="4" spans="1:10" ht="19.5" customHeight="1">
      <c r="A4" s="169" t="e">
        <f>'[1]원가'!#REF!</f>
        <v>#REF!</v>
      </c>
      <c r="C4" s="170"/>
      <c r="D4" s="169"/>
      <c r="I4" s="223"/>
      <c r="J4" s="223" t="s">
        <v>48</v>
      </c>
    </row>
    <row r="5" spans="1:10" ht="24.75" customHeight="1">
      <c r="A5" s="663" t="s">
        <v>82</v>
      </c>
      <c r="B5" s="648"/>
      <c r="C5" s="664"/>
      <c r="D5" s="625" t="s">
        <v>83</v>
      </c>
      <c r="E5" s="626"/>
      <c r="F5" s="626"/>
      <c r="G5" s="627"/>
      <c r="H5" s="682" t="s">
        <v>264</v>
      </c>
      <c r="I5" s="684" t="s">
        <v>84</v>
      </c>
      <c r="J5" s="650" t="s">
        <v>85</v>
      </c>
    </row>
    <row r="6" spans="1:10" ht="24.75" customHeight="1">
      <c r="A6" s="665"/>
      <c r="B6" s="666"/>
      <c r="C6" s="667"/>
      <c r="D6" s="26" t="s">
        <v>86</v>
      </c>
      <c r="E6" s="35" t="s">
        <v>87</v>
      </c>
      <c r="F6" s="35" t="s">
        <v>88</v>
      </c>
      <c r="G6" s="35" t="s">
        <v>67</v>
      </c>
      <c r="H6" s="683"/>
      <c r="I6" s="685"/>
      <c r="J6" s="686"/>
    </row>
    <row r="7" spans="1:10" ht="19.5" customHeight="1">
      <c r="A7" s="5"/>
      <c r="B7" s="11"/>
      <c r="C7" s="4"/>
      <c r="D7" s="9"/>
      <c r="E7" s="187"/>
      <c r="F7" s="187"/>
      <c r="G7" s="17"/>
      <c r="H7" s="315"/>
      <c r="I7" s="187"/>
      <c r="J7" s="9"/>
    </row>
    <row r="8" spans="1:10" ht="39.75" customHeight="1">
      <c r="A8" s="176"/>
      <c r="B8" s="10"/>
      <c r="C8" s="164"/>
      <c r="D8" s="8"/>
      <c r="E8" s="34"/>
      <c r="F8" s="34"/>
      <c r="G8" s="42"/>
      <c r="H8" s="318" t="s">
        <v>13</v>
      </c>
      <c r="I8" s="34"/>
      <c r="J8" s="8"/>
    </row>
    <row r="9" spans="1:10" ht="39.75" customHeight="1">
      <c r="A9" s="316"/>
      <c r="B9" s="191" t="s">
        <v>39</v>
      </c>
      <c r="C9" s="177"/>
      <c r="D9" s="321">
        <f>'[1]인집'!G7</f>
        <v>1545579</v>
      </c>
      <c r="E9" s="321">
        <f>'[1]인집'!H7</f>
        <v>170715</v>
      </c>
      <c r="F9" s="321">
        <f>'[1]인집'!I7</f>
        <v>515193</v>
      </c>
      <c r="G9" s="322">
        <f>SUM(D9:F9)</f>
        <v>2231487</v>
      </c>
      <c r="H9" s="331">
        <f>'[1]보험료산출기준'!I7</f>
        <v>2.1</v>
      </c>
      <c r="I9" s="323">
        <f>TRUNC(G9*H9%,0)</f>
        <v>46861</v>
      </c>
      <c r="J9" s="34"/>
    </row>
    <row r="10" spans="1:10" ht="39.75" customHeight="1">
      <c r="A10" s="176"/>
      <c r="B10" s="191" t="s">
        <v>89</v>
      </c>
      <c r="C10" s="164"/>
      <c r="D10" s="321">
        <f aca="true" t="shared" si="0" ref="D10:F12">D9</f>
        <v>1545579</v>
      </c>
      <c r="E10" s="321">
        <f t="shared" si="0"/>
        <v>170715</v>
      </c>
      <c r="F10" s="321">
        <f t="shared" si="0"/>
        <v>515193</v>
      </c>
      <c r="G10" s="322">
        <f>SUM(D10:F10)</f>
        <v>2231487</v>
      </c>
      <c r="H10" s="331">
        <f>'[1]보험료산출기준'!I8</f>
        <v>4.5</v>
      </c>
      <c r="I10" s="323">
        <f>TRUNC(G10*H10%,0)</f>
        <v>100416</v>
      </c>
      <c r="J10" s="34"/>
    </row>
    <row r="11" spans="1:10" ht="39.75" customHeight="1">
      <c r="A11" s="176"/>
      <c r="B11" s="191" t="s">
        <v>90</v>
      </c>
      <c r="C11" s="164"/>
      <c r="D11" s="321">
        <f t="shared" si="0"/>
        <v>1545579</v>
      </c>
      <c r="E11" s="321">
        <f t="shared" si="0"/>
        <v>170715</v>
      </c>
      <c r="F11" s="321">
        <f t="shared" si="0"/>
        <v>515193</v>
      </c>
      <c r="G11" s="322">
        <f>SUM(D11:F11)</f>
        <v>2231487</v>
      </c>
      <c r="H11" s="331">
        <f>'[1]보험료산출기준'!I9</f>
        <v>0.7</v>
      </c>
      <c r="I11" s="323">
        <f>TRUNC(G11*H11%,0)</f>
        <v>15620</v>
      </c>
      <c r="J11" s="34"/>
    </row>
    <row r="12" spans="1:10" ht="39.75" customHeight="1">
      <c r="A12" s="176"/>
      <c r="B12" s="191" t="s">
        <v>91</v>
      </c>
      <c r="C12" s="164"/>
      <c r="D12" s="321">
        <f t="shared" si="0"/>
        <v>1545579</v>
      </c>
      <c r="E12" s="321">
        <f t="shared" si="0"/>
        <v>170715</v>
      </c>
      <c r="F12" s="321">
        <f t="shared" si="0"/>
        <v>515193</v>
      </c>
      <c r="G12" s="322">
        <f>SUM(D12:F12)</f>
        <v>2231487</v>
      </c>
      <c r="H12" s="331">
        <f>'[1]보험료산출기준'!I10</f>
        <v>2.54</v>
      </c>
      <c r="I12" s="323">
        <f>TRUNC(G12*H12%,0)</f>
        <v>56679</v>
      </c>
      <c r="J12" s="34"/>
    </row>
    <row r="13" spans="1:10" ht="39.75" customHeight="1">
      <c r="A13" s="176"/>
      <c r="B13" s="191" t="s">
        <v>338</v>
      </c>
      <c r="C13" s="164"/>
      <c r="D13" s="321"/>
      <c r="E13" s="321"/>
      <c r="F13" s="321"/>
      <c r="G13" s="321"/>
      <c r="H13" s="331">
        <f>'[1]보험료산출기준'!I11</f>
        <v>4.78</v>
      </c>
      <c r="I13" s="323">
        <f>TRUNC(I12*H13%,0)</f>
        <v>2709</v>
      </c>
      <c r="J13" s="34" t="s">
        <v>277</v>
      </c>
    </row>
    <row r="14" spans="1:10" ht="39.75" customHeight="1">
      <c r="A14" s="21"/>
      <c r="B14" s="319" t="s">
        <v>92</v>
      </c>
      <c r="C14" s="20"/>
      <c r="D14" s="321">
        <f>D12</f>
        <v>1545579</v>
      </c>
      <c r="E14" s="321">
        <f>E12</f>
        <v>170715</v>
      </c>
      <c r="F14" s="321">
        <f>F12</f>
        <v>515193</v>
      </c>
      <c r="G14" s="322">
        <f>SUM(D14:F14)</f>
        <v>2231487</v>
      </c>
      <c r="H14" s="331">
        <f>'[1]보험료산출기준'!I12</f>
        <v>0.04</v>
      </c>
      <c r="I14" s="323">
        <f>TRUNC(G14*H14%,0)</f>
        <v>892</v>
      </c>
      <c r="J14" s="34"/>
    </row>
    <row r="15" spans="1:10" ht="19.5" customHeight="1">
      <c r="A15" s="19"/>
      <c r="B15" s="317"/>
      <c r="C15" s="18"/>
      <c r="D15" s="324"/>
      <c r="E15" s="324"/>
      <c r="F15" s="324"/>
      <c r="G15" s="325"/>
      <c r="H15" s="326"/>
      <c r="I15" s="327"/>
      <c r="J15" s="35"/>
    </row>
    <row r="16" spans="1:10" ht="45" customHeight="1">
      <c r="A16" s="37"/>
      <c r="B16" s="38" t="s">
        <v>218</v>
      </c>
      <c r="C16" s="39"/>
      <c r="D16" s="328"/>
      <c r="E16" s="329"/>
      <c r="F16" s="329"/>
      <c r="G16" s="330"/>
      <c r="H16" s="330"/>
      <c r="I16" s="329">
        <f>SUM(I9:I15)</f>
        <v>223177</v>
      </c>
      <c r="J16" s="224"/>
    </row>
    <row r="17" spans="1:10" s="183" customFormat="1" ht="24.75" customHeight="1">
      <c r="A17" s="225" t="str">
        <f>"주 1) 적용대상액 : "&amp;'[1]인집'!$A$1&amp;'[1]인집'!$A$2&amp;" 참조"</f>
        <v>주 1) 적용대상액 : &lt; 표 : 4 &gt; 단위당인건비집계표 참조</v>
      </c>
      <c r="C17" s="225"/>
      <c r="D17" s="225"/>
      <c r="E17" s="181"/>
      <c r="F17" s="181"/>
      <c r="G17" s="182"/>
      <c r="H17" s="182"/>
      <c r="I17" s="182"/>
      <c r="J17" s="226"/>
    </row>
    <row r="18" spans="1:10" s="183" customFormat="1" ht="24.75" customHeight="1">
      <c r="A18" s="225" t="str">
        <f>"   2) 비율(%) : "&amp;'[1]보험료산출기준'!$A$1&amp;'[1]보험료산출기준'!$A$2&amp;" 참조"</f>
        <v>   2) 비율(%) : &lt; 표 : 13 &gt; 보험료산정기준표 참조</v>
      </c>
      <c r="C18" s="225"/>
      <c r="D18" s="225"/>
      <c r="E18" s="181"/>
      <c r="F18" s="181"/>
      <c r="G18" s="182"/>
      <c r="H18" s="182"/>
      <c r="I18" s="182"/>
      <c r="J18" s="226"/>
    </row>
    <row r="19" spans="1:9" s="183" customFormat="1" ht="24.75" customHeight="1">
      <c r="A19" s="257" t="s">
        <v>307</v>
      </c>
      <c r="C19" s="225"/>
      <c r="D19" s="227"/>
      <c r="E19" s="159"/>
      <c r="F19" s="159"/>
      <c r="G19" s="158"/>
      <c r="H19" s="158"/>
      <c r="I19" s="158"/>
    </row>
    <row r="20" spans="1:9" s="183" customFormat="1" ht="24.75" customHeight="1">
      <c r="A20" s="257"/>
      <c r="C20" s="225"/>
      <c r="D20" s="227"/>
      <c r="E20" s="159"/>
      <c r="F20" s="159"/>
      <c r="G20" s="158"/>
      <c r="H20" s="158"/>
      <c r="I20" s="158"/>
    </row>
    <row r="21" spans="1:9" s="183" customFormat="1" ht="24.75" customHeight="1">
      <c r="A21" s="257"/>
      <c r="C21" s="225"/>
      <c r="D21" s="227"/>
      <c r="E21" s="159"/>
      <c r="F21" s="159"/>
      <c r="G21" s="158"/>
      <c r="H21" s="158"/>
      <c r="I21" s="158"/>
    </row>
    <row r="22" spans="1:9" s="183" customFormat="1" ht="24.75" customHeight="1">
      <c r="A22" s="257"/>
      <c r="C22" s="225"/>
      <c r="D22" s="227"/>
      <c r="E22" s="159"/>
      <c r="F22" s="159"/>
      <c r="G22" s="158"/>
      <c r="H22" s="158"/>
      <c r="I22" s="158"/>
    </row>
    <row r="23" spans="1:10" s="183" customFormat="1" ht="24.75" customHeight="1">
      <c r="A23" s="220"/>
      <c r="B23" s="220"/>
      <c r="C23" s="220"/>
      <c r="D23" s="219"/>
      <c r="E23" s="32"/>
      <c r="F23" s="32"/>
      <c r="G23" s="32"/>
      <c r="H23" s="32"/>
      <c r="I23" s="32"/>
      <c r="J23" s="10"/>
    </row>
    <row r="24" spans="1:10" ht="39.75" customHeight="1">
      <c r="A24" s="169" t="str">
        <f>'[1]원가'!A71</f>
        <v>구 분 : 기계반장                       직종명 : 기계정비공</v>
      </c>
      <c r="B24" s="170"/>
      <c r="C24" s="170"/>
      <c r="D24" s="169"/>
      <c r="I24" s="223"/>
      <c r="J24" s="223" t="s">
        <v>48</v>
      </c>
    </row>
    <row r="25" spans="1:10" ht="39.75" customHeight="1">
      <c r="A25" s="663" t="s">
        <v>82</v>
      </c>
      <c r="B25" s="648"/>
      <c r="C25" s="664"/>
      <c r="D25" s="625" t="s">
        <v>83</v>
      </c>
      <c r="E25" s="626"/>
      <c r="F25" s="626"/>
      <c r="G25" s="627"/>
      <c r="H25" s="682" t="s">
        <v>264</v>
      </c>
      <c r="I25" s="684" t="s">
        <v>84</v>
      </c>
      <c r="J25" s="650" t="s">
        <v>85</v>
      </c>
    </row>
    <row r="26" spans="1:10" ht="39.75" customHeight="1">
      <c r="A26" s="665"/>
      <c r="B26" s="666"/>
      <c r="C26" s="667"/>
      <c r="D26" s="26" t="s">
        <v>86</v>
      </c>
      <c r="E26" s="35" t="s">
        <v>87</v>
      </c>
      <c r="F26" s="35" t="s">
        <v>88</v>
      </c>
      <c r="G26" s="35" t="s">
        <v>67</v>
      </c>
      <c r="H26" s="683"/>
      <c r="I26" s="685"/>
      <c r="J26" s="686"/>
    </row>
    <row r="27" spans="1:10" ht="39.75" customHeight="1">
      <c r="A27" s="5"/>
      <c r="B27" s="11"/>
      <c r="C27" s="4"/>
      <c r="D27" s="9"/>
      <c r="E27" s="187"/>
      <c r="F27" s="187"/>
      <c r="G27" s="17"/>
      <c r="H27" s="315"/>
      <c r="I27" s="187"/>
      <c r="J27" s="9"/>
    </row>
    <row r="28" spans="1:10" ht="39.75" customHeight="1">
      <c r="A28" s="176"/>
      <c r="B28" s="10"/>
      <c r="C28" s="164"/>
      <c r="D28" s="8"/>
      <c r="E28" s="34"/>
      <c r="F28" s="34"/>
      <c r="G28" s="42"/>
      <c r="H28" s="318" t="s">
        <v>13</v>
      </c>
      <c r="I28" s="34"/>
      <c r="J28" s="8"/>
    </row>
    <row r="29" spans="1:10" ht="39.75" customHeight="1">
      <c r="A29" s="316"/>
      <c r="B29" s="191" t="s">
        <v>39</v>
      </c>
      <c r="C29" s="177"/>
      <c r="D29" s="321">
        <f>'[1]인집'!G10</f>
        <v>1342425</v>
      </c>
      <c r="E29" s="321">
        <f>'[1]인집'!H10</f>
        <v>148276</v>
      </c>
      <c r="F29" s="321">
        <f>'[1]인집'!I10</f>
        <v>447475</v>
      </c>
      <c r="G29" s="322">
        <f>SUM(D29:F29)</f>
        <v>1938176</v>
      </c>
      <c r="H29" s="331">
        <f>$H$9</f>
        <v>2.1</v>
      </c>
      <c r="I29" s="323">
        <f>TRUNC(G29*H29%,0)</f>
        <v>40701</v>
      </c>
      <c r="J29" s="34"/>
    </row>
    <row r="30" spans="1:10" ht="39.75" customHeight="1">
      <c r="A30" s="176"/>
      <c r="B30" s="191" t="s">
        <v>89</v>
      </c>
      <c r="C30" s="164"/>
      <c r="D30" s="321">
        <f aca="true" t="shared" si="1" ref="D30:F32">D29</f>
        <v>1342425</v>
      </c>
      <c r="E30" s="321">
        <f t="shared" si="1"/>
        <v>148276</v>
      </c>
      <c r="F30" s="321">
        <f t="shared" si="1"/>
        <v>447475</v>
      </c>
      <c r="G30" s="322">
        <f>SUM(D30:F30)</f>
        <v>1938176</v>
      </c>
      <c r="H30" s="331">
        <f>$H$10</f>
        <v>4.5</v>
      </c>
      <c r="I30" s="323">
        <f>TRUNC(G30*H30%,0)</f>
        <v>87217</v>
      </c>
      <c r="J30" s="34"/>
    </row>
    <row r="31" spans="1:10" ht="39.75" customHeight="1">
      <c r="A31" s="176"/>
      <c r="B31" s="191" t="s">
        <v>90</v>
      </c>
      <c r="C31" s="164"/>
      <c r="D31" s="321">
        <f t="shared" si="1"/>
        <v>1342425</v>
      </c>
      <c r="E31" s="321">
        <f t="shared" si="1"/>
        <v>148276</v>
      </c>
      <c r="F31" s="321">
        <f t="shared" si="1"/>
        <v>447475</v>
      </c>
      <c r="G31" s="322">
        <f>SUM(D31:F31)</f>
        <v>1938176</v>
      </c>
      <c r="H31" s="331">
        <f>$H$11</f>
        <v>0.7</v>
      </c>
      <c r="I31" s="323">
        <f>TRUNC(G31*H31%,0)</f>
        <v>13567</v>
      </c>
      <c r="J31" s="34"/>
    </row>
    <row r="32" spans="1:10" ht="39.75" customHeight="1">
      <c r="A32" s="176"/>
      <c r="B32" s="191" t="s">
        <v>91</v>
      </c>
      <c r="C32" s="164"/>
      <c r="D32" s="321">
        <f t="shared" si="1"/>
        <v>1342425</v>
      </c>
      <c r="E32" s="321">
        <f t="shared" si="1"/>
        <v>148276</v>
      </c>
      <c r="F32" s="321">
        <f t="shared" si="1"/>
        <v>447475</v>
      </c>
      <c r="G32" s="322">
        <f>SUM(D32:F32)</f>
        <v>1938176</v>
      </c>
      <c r="H32" s="331">
        <f>$H$12</f>
        <v>2.54</v>
      </c>
      <c r="I32" s="323">
        <f>TRUNC(G32*H32%,0)</f>
        <v>49229</v>
      </c>
      <c r="J32" s="34"/>
    </row>
    <row r="33" spans="1:10" ht="39.75" customHeight="1">
      <c r="A33" s="176"/>
      <c r="B33" s="191" t="s">
        <v>338</v>
      </c>
      <c r="C33" s="164"/>
      <c r="D33" s="321"/>
      <c r="E33" s="321"/>
      <c r="F33" s="321"/>
      <c r="G33" s="321"/>
      <c r="H33" s="331">
        <f>$H$13</f>
        <v>4.78</v>
      </c>
      <c r="I33" s="323">
        <f>TRUNC(I32*H33%,0)</f>
        <v>2353</v>
      </c>
      <c r="J33" s="34" t="s">
        <v>277</v>
      </c>
    </row>
    <row r="34" spans="1:10" ht="39.75" customHeight="1">
      <c r="A34" s="21"/>
      <c r="B34" s="319" t="s">
        <v>92</v>
      </c>
      <c r="C34" s="20"/>
      <c r="D34" s="321">
        <f>D32</f>
        <v>1342425</v>
      </c>
      <c r="E34" s="321">
        <f>E32</f>
        <v>148276</v>
      </c>
      <c r="F34" s="321">
        <f>F32</f>
        <v>447475</v>
      </c>
      <c r="G34" s="322">
        <f>SUM(D34:F34)</f>
        <v>1938176</v>
      </c>
      <c r="H34" s="331">
        <f>$H$14</f>
        <v>0.04</v>
      </c>
      <c r="I34" s="323">
        <f>TRUNC(G34*H34%,0)</f>
        <v>775</v>
      </c>
      <c r="J34" s="34"/>
    </row>
    <row r="35" spans="1:10" ht="39.75" customHeight="1">
      <c r="A35" s="19"/>
      <c r="B35" s="317"/>
      <c r="C35" s="18"/>
      <c r="D35" s="324"/>
      <c r="E35" s="324"/>
      <c r="F35" s="324"/>
      <c r="G35" s="325"/>
      <c r="H35" s="370"/>
      <c r="I35" s="327"/>
      <c r="J35" s="35"/>
    </row>
    <row r="36" spans="1:10" ht="39.75" customHeight="1">
      <c r="A36" s="37"/>
      <c r="B36" s="38" t="s">
        <v>218</v>
      </c>
      <c r="C36" s="39"/>
      <c r="D36" s="328"/>
      <c r="E36" s="329"/>
      <c r="F36" s="329"/>
      <c r="G36" s="330"/>
      <c r="H36" s="330"/>
      <c r="I36" s="329">
        <f>SUM(I29:I35)</f>
        <v>193842</v>
      </c>
      <c r="J36" s="224"/>
    </row>
    <row r="37" spans="1:10" ht="39.75" customHeight="1">
      <c r="A37" s="225" t="str">
        <f>"주 1) 적용대상액 : "&amp;'[1]인집'!$A$1&amp;'[1]인집'!$A$2&amp;" 참조"</f>
        <v>주 1) 적용대상액 : &lt; 표 : 4 &gt; 단위당인건비집계표 참조</v>
      </c>
      <c r="B37" s="183"/>
      <c r="C37" s="225"/>
      <c r="D37" s="225"/>
      <c r="E37" s="181"/>
      <c r="F37" s="181"/>
      <c r="G37" s="182"/>
      <c r="H37" s="182"/>
      <c r="I37" s="182"/>
      <c r="J37" s="226"/>
    </row>
    <row r="38" spans="1:10" ht="39.75" customHeight="1">
      <c r="A38" s="225" t="str">
        <f>"   2) 비율(%) : "&amp;'[1]보험료산출기준'!$A$1&amp;'[1]보험료산출기준'!$A$2&amp;" 참조"</f>
        <v>   2) 비율(%) : &lt; 표 : 13 &gt; 보험료산정기준표 참조</v>
      </c>
      <c r="B38" s="183"/>
      <c r="C38" s="225"/>
      <c r="D38" s="225"/>
      <c r="E38" s="181"/>
      <c r="F38" s="181"/>
      <c r="G38" s="182"/>
      <c r="H38" s="182"/>
      <c r="I38" s="182"/>
      <c r="J38" s="226"/>
    </row>
    <row r="39" spans="1:10" ht="39.75" customHeight="1">
      <c r="A39" s="257" t="s">
        <v>307</v>
      </c>
      <c r="B39" s="183"/>
      <c r="C39" s="225"/>
      <c r="D39" s="227"/>
      <c r="E39" s="159"/>
      <c r="F39" s="159"/>
      <c r="G39" s="158"/>
      <c r="H39" s="158"/>
      <c r="I39" s="158"/>
      <c r="J39" s="183"/>
    </row>
    <row r="40" spans="1:10" ht="39.75" customHeight="1">
      <c r="A40" s="257"/>
      <c r="B40" s="183"/>
      <c r="C40" s="225"/>
      <c r="D40" s="227"/>
      <c r="E40" s="159"/>
      <c r="F40" s="159"/>
      <c r="G40" s="158"/>
      <c r="H40" s="158"/>
      <c r="I40" s="158"/>
      <c r="J40" s="183"/>
    </row>
    <row r="41" spans="1:10" ht="39.75" customHeight="1">
      <c r="A41" s="257"/>
      <c r="B41" s="183"/>
      <c r="C41" s="225"/>
      <c r="D41" s="227"/>
      <c r="E41" s="159"/>
      <c r="F41" s="159"/>
      <c r="G41" s="158"/>
      <c r="H41" s="158"/>
      <c r="I41" s="158"/>
      <c r="J41" s="183"/>
    </row>
    <row r="42" spans="1:10" ht="39.75" customHeight="1">
      <c r="A42" s="257"/>
      <c r="B42" s="183"/>
      <c r="C42" s="225"/>
      <c r="D42" s="227"/>
      <c r="E42" s="159"/>
      <c r="F42" s="159"/>
      <c r="G42" s="158"/>
      <c r="H42" s="158"/>
      <c r="I42" s="158"/>
      <c r="J42" s="183"/>
    </row>
    <row r="43" spans="1:10" ht="39.75" customHeight="1">
      <c r="A43" s="257"/>
      <c r="B43" s="183"/>
      <c r="C43" s="225"/>
      <c r="D43" s="227"/>
      <c r="E43" s="159"/>
      <c r="F43" s="159"/>
      <c r="G43" s="158"/>
      <c r="H43" s="158"/>
      <c r="I43" s="158"/>
      <c r="J43" s="183"/>
    </row>
    <row r="44" spans="1:10" ht="39.75" customHeight="1">
      <c r="A44" s="257"/>
      <c r="B44" s="183"/>
      <c r="C44" s="225"/>
      <c r="D44" s="227"/>
      <c r="E44" s="159"/>
      <c r="F44" s="159"/>
      <c r="G44" s="158"/>
      <c r="H44" s="158"/>
      <c r="I44" s="158"/>
      <c r="J44" s="183"/>
    </row>
    <row r="45" spans="1:10" ht="39.75" customHeight="1">
      <c r="A45" s="169" t="str">
        <f>'[1]원가'!A170</f>
        <v>구 분 : 미화원                       직종명 : 보통인부</v>
      </c>
      <c r="B45" s="170"/>
      <c r="C45" s="170"/>
      <c r="D45" s="169"/>
      <c r="I45" s="223"/>
      <c r="J45" s="223" t="s">
        <v>48</v>
      </c>
    </row>
    <row r="46" spans="1:10" ht="39.75" customHeight="1">
      <c r="A46" s="663" t="s">
        <v>82</v>
      </c>
      <c r="B46" s="648"/>
      <c r="C46" s="664"/>
      <c r="D46" s="625" t="s">
        <v>83</v>
      </c>
      <c r="E46" s="626"/>
      <c r="F46" s="626"/>
      <c r="G46" s="627"/>
      <c r="H46" s="682" t="s">
        <v>264</v>
      </c>
      <c r="I46" s="684" t="s">
        <v>84</v>
      </c>
      <c r="J46" s="650" t="s">
        <v>85</v>
      </c>
    </row>
    <row r="47" spans="1:10" ht="39.75" customHeight="1">
      <c r="A47" s="665"/>
      <c r="B47" s="666"/>
      <c r="C47" s="667"/>
      <c r="D47" s="26" t="s">
        <v>86</v>
      </c>
      <c r="E47" s="35" t="s">
        <v>87</v>
      </c>
      <c r="F47" s="35" t="s">
        <v>88</v>
      </c>
      <c r="G47" s="35" t="s">
        <v>67</v>
      </c>
      <c r="H47" s="683"/>
      <c r="I47" s="685"/>
      <c r="J47" s="686"/>
    </row>
    <row r="48" spans="1:10" ht="39.75" customHeight="1">
      <c r="A48" s="5"/>
      <c r="B48" s="11"/>
      <c r="C48" s="4"/>
      <c r="D48" s="9"/>
      <c r="E48" s="187"/>
      <c r="F48" s="187"/>
      <c r="G48" s="17"/>
      <c r="H48" s="315"/>
      <c r="I48" s="187"/>
      <c r="J48" s="9"/>
    </row>
    <row r="49" spans="1:10" ht="39.75" customHeight="1">
      <c r="A49" s="176"/>
      <c r="B49" s="10"/>
      <c r="C49" s="164"/>
      <c r="D49" s="8"/>
      <c r="E49" s="34"/>
      <c r="F49" s="34"/>
      <c r="G49" s="42"/>
      <c r="H49" s="318" t="s">
        <v>13</v>
      </c>
      <c r="I49" s="34"/>
      <c r="J49" s="8"/>
    </row>
    <row r="50" spans="1:10" ht="39.75" customHeight="1">
      <c r="A50" s="316"/>
      <c r="B50" s="191" t="s">
        <v>39</v>
      </c>
      <c r="C50" s="177"/>
      <c r="D50" s="321">
        <f>'[1]인집'!G13</f>
        <v>982569</v>
      </c>
      <c r="E50" s="321">
        <f>'[1]인집'!H13</f>
        <v>108527</v>
      </c>
      <c r="F50" s="321">
        <f>'[1]인집'!I13</f>
        <v>327523</v>
      </c>
      <c r="G50" s="322">
        <f>SUM(D50:F50)</f>
        <v>1418619</v>
      </c>
      <c r="H50" s="331">
        <f>$H$9</f>
        <v>2.1</v>
      </c>
      <c r="I50" s="323">
        <f>TRUNC(G50*H50%,0)</f>
        <v>29790</v>
      </c>
      <c r="J50" s="34"/>
    </row>
    <row r="51" spans="1:10" ht="39.75" customHeight="1">
      <c r="A51" s="176"/>
      <c r="B51" s="191" t="s">
        <v>89</v>
      </c>
      <c r="C51" s="164"/>
      <c r="D51" s="321">
        <f aca="true" t="shared" si="2" ref="D51:F53">D50</f>
        <v>982569</v>
      </c>
      <c r="E51" s="321">
        <f t="shared" si="2"/>
        <v>108527</v>
      </c>
      <c r="F51" s="321">
        <f t="shared" si="2"/>
        <v>327523</v>
      </c>
      <c r="G51" s="322">
        <f>SUM(D51:F51)</f>
        <v>1418619</v>
      </c>
      <c r="H51" s="331">
        <f>$H$10</f>
        <v>4.5</v>
      </c>
      <c r="I51" s="323">
        <f>TRUNC(G51*H51%,0)</f>
        <v>63837</v>
      </c>
      <c r="J51" s="34"/>
    </row>
    <row r="52" spans="1:10" ht="39.75" customHeight="1">
      <c r="A52" s="176"/>
      <c r="B52" s="191" t="s">
        <v>90</v>
      </c>
      <c r="C52" s="164"/>
      <c r="D52" s="321">
        <f t="shared" si="2"/>
        <v>982569</v>
      </c>
      <c r="E52" s="321">
        <f t="shared" si="2"/>
        <v>108527</v>
      </c>
      <c r="F52" s="321">
        <f t="shared" si="2"/>
        <v>327523</v>
      </c>
      <c r="G52" s="322">
        <f>SUM(D52:F52)</f>
        <v>1418619</v>
      </c>
      <c r="H52" s="331">
        <f>$H$11</f>
        <v>0.7</v>
      </c>
      <c r="I52" s="323">
        <f>TRUNC(G52*H52%,0)</f>
        <v>9930</v>
      </c>
      <c r="J52" s="34"/>
    </row>
    <row r="53" spans="1:10" ht="39.75" customHeight="1">
      <c r="A53" s="176"/>
      <c r="B53" s="191" t="s">
        <v>91</v>
      </c>
      <c r="C53" s="164"/>
      <c r="D53" s="321">
        <f t="shared" si="2"/>
        <v>982569</v>
      </c>
      <c r="E53" s="321">
        <f t="shared" si="2"/>
        <v>108527</v>
      </c>
      <c r="F53" s="321">
        <f t="shared" si="2"/>
        <v>327523</v>
      </c>
      <c r="G53" s="322">
        <f>SUM(D53:F53)</f>
        <v>1418619</v>
      </c>
      <c r="H53" s="331">
        <f>$H$12</f>
        <v>2.54</v>
      </c>
      <c r="I53" s="323">
        <f>TRUNC(G53*H53%,0)</f>
        <v>36032</v>
      </c>
      <c r="J53" s="34"/>
    </row>
    <row r="54" spans="1:10" ht="39.75" customHeight="1">
      <c r="A54" s="176"/>
      <c r="B54" s="191" t="s">
        <v>338</v>
      </c>
      <c r="C54" s="164"/>
      <c r="D54" s="321"/>
      <c r="E54" s="321"/>
      <c r="F54" s="321"/>
      <c r="G54" s="321"/>
      <c r="H54" s="331">
        <f>$H$13</f>
        <v>4.78</v>
      </c>
      <c r="I54" s="323">
        <f>TRUNC(I53*H54%,0)</f>
        <v>1722</v>
      </c>
      <c r="J54" s="34" t="s">
        <v>277</v>
      </c>
    </row>
    <row r="55" spans="1:10" ht="39.75" customHeight="1">
      <c r="A55" s="21"/>
      <c r="B55" s="319" t="s">
        <v>92</v>
      </c>
      <c r="C55" s="20"/>
      <c r="D55" s="321">
        <f>D53</f>
        <v>982569</v>
      </c>
      <c r="E55" s="321">
        <f>E53</f>
        <v>108527</v>
      </c>
      <c r="F55" s="321">
        <f>F53</f>
        <v>327523</v>
      </c>
      <c r="G55" s="322">
        <f>SUM(D55:F55)</f>
        <v>1418619</v>
      </c>
      <c r="H55" s="331">
        <f>$H$14</f>
        <v>0.04</v>
      </c>
      <c r="I55" s="323">
        <f>TRUNC(G55*H55%,0)</f>
        <v>567</v>
      </c>
      <c r="J55" s="34"/>
    </row>
    <row r="56" spans="1:10" ht="39.75" customHeight="1">
      <c r="A56" s="19"/>
      <c r="B56" s="317"/>
      <c r="C56" s="18"/>
      <c r="D56" s="324"/>
      <c r="E56" s="324"/>
      <c r="F56" s="324"/>
      <c r="G56" s="325"/>
      <c r="H56" s="370"/>
      <c r="I56" s="327"/>
      <c r="J56" s="35"/>
    </row>
    <row r="57" spans="1:10" ht="39.75" customHeight="1">
      <c r="A57" s="37"/>
      <c r="B57" s="38" t="s">
        <v>218</v>
      </c>
      <c r="C57" s="39"/>
      <c r="D57" s="328"/>
      <c r="E57" s="329"/>
      <c r="F57" s="329"/>
      <c r="G57" s="330"/>
      <c r="H57" s="330"/>
      <c r="I57" s="329">
        <f>SUM(I50:I56)</f>
        <v>141878</v>
      </c>
      <c r="J57" s="224"/>
    </row>
    <row r="58" spans="1:10" ht="39.75" customHeight="1">
      <c r="A58" s="225" t="str">
        <f>"주 1) 적용대상액 : "&amp;'[1]인집'!$A$1&amp;'[1]인집'!$A$2&amp;" 참조"</f>
        <v>주 1) 적용대상액 : &lt; 표 : 4 &gt; 단위당인건비집계표 참조</v>
      </c>
      <c r="B58" s="183"/>
      <c r="C58" s="225"/>
      <c r="D58" s="225"/>
      <c r="E58" s="181"/>
      <c r="F58" s="181"/>
      <c r="G58" s="182"/>
      <c r="H58" s="182"/>
      <c r="I58" s="182"/>
      <c r="J58" s="226"/>
    </row>
    <row r="59" spans="1:10" ht="39.75" customHeight="1">
      <c r="A59" s="225" t="str">
        <f>"   2) 비율(%) : "&amp;'[1]보험료산출기준'!$A$1&amp;'[1]보험료산출기준'!$A$2&amp;" 참조"</f>
        <v>   2) 비율(%) : &lt; 표 : 13 &gt; 보험료산정기준표 참조</v>
      </c>
      <c r="B59" s="183"/>
      <c r="C59" s="225"/>
      <c r="D59" s="225"/>
      <c r="E59" s="181"/>
      <c r="F59" s="181"/>
      <c r="G59" s="182"/>
      <c r="H59" s="182"/>
      <c r="I59" s="182"/>
      <c r="J59" s="226"/>
    </row>
    <row r="60" spans="1:10" ht="39.75" customHeight="1">
      <c r="A60" s="257" t="s">
        <v>307</v>
      </c>
      <c r="B60" s="183"/>
      <c r="C60" s="225"/>
      <c r="D60" s="227"/>
      <c r="E60" s="159"/>
      <c r="F60" s="159"/>
      <c r="G60" s="158"/>
      <c r="H60" s="158"/>
      <c r="I60" s="158"/>
      <c r="J60" s="183"/>
    </row>
    <row r="61" spans="1:10" ht="39.75" customHeight="1">
      <c r="A61" s="257"/>
      <c r="B61" s="183"/>
      <c r="C61" s="225"/>
      <c r="D61" s="227"/>
      <c r="E61" s="159"/>
      <c r="F61" s="159"/>
      <c r="G61" s="158"/>
      <c r="H61" s="158"/>
      <c r="I61" s="158"/>
      <c r="J61" s="183"/>
    </row>
    <row r="62" spans="1:10" ht="39.75" customHeight="1">
      <c r="A62" s="257"/>
      <c r="B62" s="183"/>
      <c r="C62" s="225"/>
      <c r="D62" s="227"/>
      <c r="E62" s="159"/>
      <c r="F62" s="159"/>
      <c r="G62" s="158"/>
      <c r="H62" s="158"/>
      <c r="I62" s="158"/>
      <c r="J62" s="183"/>
    </row>
    <row r="63" spans="1:10" ht="39.75" customHeight="1">
      <c r="A63" s="257"/>
      <c r="B63" s="183"/>
      <c r="C63" s="225"/>
      <c r="D63" s="227"/>
      <c r="E63" s="159"/>
      <c r="F63" s="159"/>
      <c r="G63" s="158"/>
      <c r="H63" s="158"/>
      <c r="I63" s="158"/>
      <c r="J63" s="183"/>
    </row>
    <row r="64" spans="1:10" ht="39.75" customHeight="1">
      <c r="A64" s="257"/>
      <c r="B64" s="183"/>
      <c r="C64" s="225"/>
      <c r="D64" s="227"/>
      <c r="E64" s="159"/>
      <c r="F64" s="159"/>
      <c r="G64" s="158"/>
      <c r="H64" s="158"/>
      <c r="I64" s="158"/>
      <c r="J64" s="183"/>
    </row>
    <row r="65" spans="1:10" ht="39.75" customHeight="1">
      <c r="A65" s="257"/>
      <c r="B65" s="183"/>
      <c r="C65" s="225"/>
      <c r="D65" s="227"/>
      <c r="E65" s="159"/>
      <c r="F65" s="159"/>
      <c r="G65" s="158"/>
      <c r="H65" s="158"/>
      <c r="I65" s="158"/>
      <c r="J65" s="183"/>
    </row>
    <row r="66" spans="1:10" ht="39.75" customHeight="1">
      <c r="A66" s="169" t="str">
        <f>'[1]원가'!A236</f>
        <v>구 분 : 경비원                       직종명 : 보통인부</v>
      </c>
      <c r="B66" s="170"/>
      <c r="C66" s="170"/>
      <c r="D66" s="169"/>
      <c r="I66" s="223"/>
      <c r="J66" s="223" t="s">
        <v>48</v>
      </c>
    </row>
    <row r="67" spans="1:10" ht="39.75" customHeight="1">
      <c r="A67" s="663" t="s">
        <v>82</v>
      </c>
      <c r="B67" s="648"/>
      <c r="C67" s="664"/>
      <c r="D67" s="625" t="s">
        <v>83</v>
      </c>
      <c r="E67" s="626"/>
      <c r="F67" s="626"/>
      <c r="G67" s="627"/>
      <c r="H67" s="682" t="s">
        <v>264</v>
      </c>
      <c r="I67" s="684" t="s">
        <v>84</v>
      </c>
      <c r="J67" s="650" t="s">
        <v>85</v>
      </c>
    </row>
    <row r="68" spans="1:10" ht="39.75" customHeight="1">
      <c r="A68" s="665"/>
      <c r="B68" s="666"/>
      <c r="C68" s="667"/>
      <c r="D68" s="26" t="s">
        <v>86</v>
      </c>
      <c r="E68" s="35" t="s">
        <v>87</v>
      </c>
      <c r="F68" s="35" t="s">
        <v>88</v>
      </c>
      <c r="G68" s="35" t="s">
        <v>67</v>
      </c>
      <c r="H68" s="683"/>
      <c r="I68" s="685"/>
      <c r="J68" s="686"/>
    </row>
    <row r="69" spans="1:10" ht="39.75" customHeight="1">
      <c r="A69" s="5"/>
      <c r="B69" s="11"/>
      <c r="C69" s="4"/>
      <c r="D69" s="9"/>
      <c r="E69" s="187"/>
      <c r="F69" s="187"/>
      <c r="G69" s="17"/>
      <c r="H69" s="315"/>
      <c r="I69" s="187"/>
      <c r="J69" s="9"/>
    </row>
    <row r="70" spans="1:10" ht="39.75" customHeight="1">
      <c r="A70" s="176"/>
      <c r="B70" s="10"/>
      <c r="C70" s="164"/>
      <c r="D70" s="8"/>
      <c r="E70" s="34"/>
      <c r="F70" s="34"/>
      <c r="G70" s="42"/>
      <c r="H70" s="318" t="s">
        <v>13</v>
      </c>
      <c r="I70" s="34"/>
      <c r="J70" s="8"/>
    </row>
    <row r="71" spans="1:10" ht="39.75" customHeight="1">
      <c r="A71" s="316"/>
      <c r="B71" s="191" t="s">
        <v>39</v>
      </c>
      <c r="C71" s="177"/>
      <c r="D71" s="321">
        <f>'[1]인집'!G15</f>
        <v>982569</v>
      </c>
      <c r="E71" s="321">
        <f>'[1]인집'!H15</f>
        <v>108527</v>
      </c>
      <c r="F71" s="321">
        <f>'[1]인집'!I15</f>
        <v>327523</v>
      </c>
      <c r="G71" s="322">
        <f>SUM(D71:F71)</f>
        <v>1418619</v>
      </c>
      <c r="H71" s="331">
        <f>$H$9</f>
        <v>2.1</v>
      </c>
      <c r="I71" s="323">
        <f>TRUNC(G71*H71%,0)</f>
        <v>29790</v>
      </c>
      <c r="J71" s="34"/>
    </row>
    <row r="72" spans="1:10" ht="39.75" customHeight="1">
      <c r="A72" s="176"/>
      <c r="B72" s="191" t="s">
        <v>89</v>
      </c>
      <c r="C72" s="164"/>
      <c r="D72" s="321">
        <f aca="true" t="shared" si="3" ref="D72:F74">D71</f>
        <v>982569</v>
      </c>
      <c r="E72" s="321">
        <f t="shared" si="3"/>
        <v>108527</v>
      </c>
      <c r="F72" s="321">
        <f t="shared" si="3"/>
        <v>327523</v>
      </c>
      <c r="G72" s="322">
        <f>SUM(D72:F72)</f>
        <v>1418619</v>
      </c>
      <c r="H72" s="331">
        <f>$H$10</f>
        <v>4.5</v>
      </c>
      <c r="I72" s="323">
        <f>TRUNC(G72*H72%,0)</f>
        <v>63837</v>
      </c>
      <c r="J72" s="34"/>
    </row>
    <row r="73" spans="1:10" ht="39.75" customHeight="1">
      <c r="A73" s="176"/>
      <c r="B73" s="191" t="s">
        <v>90</v>
      </c>
      <c r="C73" s="164"/>
      <c r="D73" s="321">
        <f t="shared" si="3"/>
        <v>982569</v>
      </c>
      <c r="E73" s="321">
        <f t="shared" si="3"/>
        <v>108527</v>
      </c>
      <c r="F73" s="321">
        <f t="shared" si="3"/>
        <v>327523</v>
      </c>
      <c r="G73" s="322">
        <f>SUM(D73:F73)</f>
        <v>1418619</v>
      </c>
      <c r="H73" s="331">
        <f>$H$11</f>
        <v>0.7</v>
      </c>
      <c r="I73" s="323">
        <f>TRUNC(G73*H73%,0)</f>
        <v>9930</v>
      </c>
      <c r="J73" s="34"/>
    </row>
    <row r="74" spans="1:10" ht="39.75" customHeight="1">
      <c r="A74" s="176"/>
      <c r="B74" s="191" t="s">
        <v>91</v>
      </c>
      <c r="C74" s="164"/>
      <c r="D74" s="321">
        <f t="shared" si="3"/>
        <v>982569</v>
      </c>
      <c r="E74" s="321">
        <f t="shared" si="3"/>
        <v>108527</v>
      </c>
      <c r="F74" s="321">
        <f t="shared" si="3"/>
        <v>327523</v>
      </c>
      <c r="G74" s="322">
        <f>SUM(D74:F74)</f>
        <v>1418619</v>
      </c>
      <c r="H74" s="331">
        <f>$H$12</f>
        <v>2.54</v>
      </c>
      <c r="I74" s="323">
        <f>TRUNC(G74*H74%,0)</f>
        <v>36032</v>
      </c>
      <c r="J74" s="34"/>
    </row>
    <row r="75" spans="1:10" ht="39.75" customHeight="1">
      <c r="A75" s="176"/>
      <c r="B75" s="191" t="s">
        <v>338</v>
      </c>
      <c r="C75" s="164"/>
      <c r="D75" s="321"/>
      <c r="E75" s="321"/>
      <c r="F75" s="321"/>
      <c r="G75" s="321"/>
      <c r="H75" s="331">
        <f>$H$13</f>
        <v>4.78</v>
      </c>
      <c r="I75" s="323">
        <f>TRUNC(I74*H75%,0)</f>
        <v>1722</v>
      </c>
      <c r="J75" s="34" t="s">
        <v>277</v>
      </c>
    </row>
    <row r="76" spans="1:10" ht="39.75" customHeight="1">
      <c r="A76" s="21"/>
      <c r="B76" s="319" t="s">
        <v>92</v>
      </c>
      <c r="C76" s="20"/>
      <c r="D76" s="321">
        <f>D74</f>
        <v>982569</v>
      </c>
      <c r="E76" s="321">
        <f>E74</f>
        <v>108527</v>
      </c>
      <c r="F76" s="321">
        <f>F74</f>
        <v>327523</v>
      </c>
      <c r="G76" s="322">
        <f>SUM(D76:F76)</f>
        <v>1418619</v>
      </c>
      <c r="H76" s="331">
        <f>$H$14</f>
        <v>0.04</v>
      </c>
      <c r="I76" s="323">
        <f>TRUNC(G76*H76%,0)</f>
        <v>567</v>
      </c>
      <c r="J76" s="34"/>
    </row>
    <row r="77" spans="1:10" ht="39.75" customHeight="1">
      <c r="A77" s="19"/>
      <c r="B77" s="317"/>
      <c r="C77" s="18"/>
      <c r="D77" s="324"/>
      <c r="E77" s="324"/>
      <c r="F77" s="324"/>
      <c r="G77" s="325"/>
      <c r="H77" s="370"/>
      <c r="I77" s="327"/>
      <c r="J77" s="35"/>
    </row>
    <row r="78" spans="1:10" ht="39.75" customHeight="1">
      <c r="A78" s="37"/>
      <c r="B78" s="38" t="s">
        <v>218</v>
      </c>
      <c r="C78" s="39"/>
      <c r="D78" s="328"/>
      <c r="E78" s="329"/>
      <c r="F78" s="329"/>
      <c r="G78" s="330"/>
      <c r="H78" s="330"/>
      <c r="I78" s="329">
        <f>SUM(I71:I77)</f>
        <v>141878</v>
      </c>
      <c r="J78" s="224"/>
    </row>
    <row r="79" spans="1:10" ht="39.75" customHeight="1">
      <c r="A79" s="225" t="str">
        <f>"주 1) 적용대상액 : "&amp;'[1]인집'!$A$1&amp;'[1]인집'!$A$2&amp;" 참조"</f>
        <v>주 1) 적용대상액 : &lt; 표 : 4 &gt; 단위당인건비집계표 참조</v>
      </c>
      <c r="B79" s="183"/>
      <c r="C79" s="225"/>
      <c r="D79" s="225"/>
      <c r="E79" s="181"/>
      <c r="F79" s="181"/>
      <c r="G79" s="182"/>
      <c r="H79" s="182"/>
      <c r="I79" s="182"/>
      <c r="J79" s="226"/>
    </row>
    <row r="80" spans="1:10" ht="39.75" customHeight="1">
      <c r="A80" s="225" t="str">
        <f>"   2) 비율(%) : "&amp;'[1]보험료산출기준'!$A$1&amp;'[1]보험료산출기준'!$A$2&amp;" 참조"</f>
        <v>   2) 비율(%) : &lt; 표 : 13 &gt; 보험료산정기준표 참조</v>
      </c>
      <c r="B80" s="183"/>
      <c r="C80" s="225"/>
      <c r="D80" s="225"/>
      <c r="E80" s="181"/>
      <c r="F80" s="181"/>
      <c r="G80" s="182"/>
      <c r="H80" s="182"/>
      <c r="I80" s="182"/>
      <c r="J80" s="226"/>
    </row>
    <row r="81" spans="1:10" ht="39.75" customHeight="1">
      <c r="A81" s="257" t="s">
        <v>307</v>
      </c>
      <c r="B81" s="183"/>
      <c r="C81" s="225"/>
      <c r="D81" s="227"/>
      <c r="E81" s="159"/>
      <c r="F81" s="159"/>
      <c r="G81" s="158"/>
      <c r="H81" s="158"/>
      <c r="I81" s="158"/>
      <c r="J81" s="183"/>
    </row>
    <row r="82" spans="1:10" ht="12">
      <c r="A82" s="257"/>
      <c r="B82" s="183"/>
      <c r="C82" s="225"/>
      <c r="D82" s="227"/>
      <c r="E82" s="159"/>
      <c r="F82" s="159"/>
      <c r="G82" s="158"/>
      <c r="H82" s="158"/>
      <c r="I82" s="158"/>
      <c r="J82" s="183"/>
    </row>
    <row r="83" spans="1:10" ht="12">
      <c r="A83" s="257"/>
      <c r="B83" s="183"/>
      <c r="C83" s="225"/>
      <c r="D83" s="227"/>
      <c r="E83" s="159"/>
      <c r="F83" s="159"/>
      <c r="G83" s="158"/>
      <c r="H83" s="158"/>
      <c r="I83" s="158"/>
      <c r="J83" s="183"/>
    </row>
    <row r="84" spans="1:10" ht="12">
      <c r="A84" s="257"/>
      <c r="B84" s="183"/>
      <c r="C84" s="225"/>
      <c r="D84" s="227"/>
      <c r="E84" s="159"/>
      <c r="F84" s="159"/>
      <c r="G84" s="158"/>
      <c r="H84" s="158"/>
      <c r="I84" s="158"/>
      <c r="J84" s="183"/>
    </row>
    <row r="85" spans="1:10" ht="12">
      <c r="A85" s="257"/>
      <c r="B85" s="183"/>
      <c r="C85" s="225"/>
      <c r="D85" s="227"/>
      <c r="E85" s="159"/>
      <c r="F85" s="159"/>
      <c r="G85" s="158"/>
      <c r="H85" s="158"/>
      <c r="I85" s="158"/>
      <c r="J85" s="183"/>
    </row>
    <row r="86" spans="1:10" ht="12">
      <c r="A86" s="257"/>
      <c r="B86" s="183"/>
      <c r="C86" s="225"/>
      <c r="D86" s="227"/>
      <c r="E86" s="159"/>
      <c r="F86" s="159"/>
      <c r="G86" s="158"/>
      <c r="H86" s="158"/>
      <c r="I86" s="158"/>
      <c r="J86" s="183"/>
    </row>
  </sheetData>
  <sheetProtection/>
  <mergeCells count="20">
    <mergeCell ref="A25:C26"/>
    <mergeCell ref="D25:G25"/>
    <mergeCell ref="H25:H26"/>
    <mergeCell ref="I25:I26"/>
    <mergeCell ref="J25:J26"/>
    <mergeCell ref="A5:C6"/>
    <mergeCell ref="D5:G5"/>
    <mergeCell ref="H5:H6"/>
    <mergeCell ref="I5:I6"/>
    <mergeCell ref="J5:J6"/>
    <mergeCell ref="A46:C47"/>
    <mergeCell ref="D46:G46"/>
    <mergeCell ref="H46:H47"/>
    <mergeCell ref="I46:I47"/>
    <mergeCell ref="J46:J47"/>
    <mergeCell ref="A67:C68"/>
    <mergeCell ref="D67:G67"/>
    <mergeCell ref="H67:H68"/>
    <mergeCell ref="I67:I68"/>
    <mergeCell ref="J67:J6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29" r:id="rId1"/>
  <headerFooter alignWithMargins="0">
    <oddFooter>&amp;C- &amp;P -</oddFooter>
  </headerFooter>
  <rowBreaks count="3" manualBreakCount="3">
    <brk id="23" max="9" man="1"/>
    <brk id="44" max="9" man="1"/>
    <brk id="65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80" zoomScaleSheetLayoutView="80" zoomScalePageLayoutView="0" workbookViewId="0" topLeftCell="A4">
      <selection activeCell="E8" sqref="E8"/>
    </sheetView>
  </sheetViews>
  <sheetFormatPr defaultColWidth="9.140625" defaultRowHeight="12"/>
  <cols>
    <col min="1" max="1" width="4.7109375" style="294" customWidth="1"/>
    <col min="2" max="2" width="0.85546875" style="294" customWidth="1"/>
    <col min="3" max="3" width="20.7109375" style="294" customWidth="1"/>
    <col min="4" max="4" width="0.85546875" style="294" customWidth="1"/>
    <col min="5" max="5" width="44.421875" style="288" customWidth="1"/>
    <col min="6" max="6" width="87.57421875" style="288" customWidth="1"/>
    <col min="7" max="7" width="33.7109375" style="288" customWidth="1"/>
    <col min="8" max="8" width="13.00390625" style="288" customWidth="1"/>
    <col min="9" max="9" width="9.140625" style="288" customWidth="1"/>
    <col min="10" max="10" width="9.140625" style="289" customWidth="1"/>
    <col min="11" max="16384" width="9.140625" style="288" customWidth="1"/>
  </cols>
  <sheetData>
    <row r="1" spans="1:4" ht="19.5" customHeight="1">
      <c r="A1" s="290" t="s">
        <v>530</v>
      </c>
      <c r="B1" s="291"/>
      <c r="C1" s="291"/>
      <c r="D1" s="291"/>
    </row>
    <row r="2" spans="1:8" ht="39.75" customHeight="1">
      <c r="A2" s="285" t="s">
        <v>250</v>
      </c>
      <c r="B2" s="293"/>
      <c r="C2" s="293"/>
      <c r="D2" s="293"/>
      <c r="E2" s="292"/>
      <c r="F2" s="292"/>
      <c r="G2" s="292"/>
      <c r="H2" s="292"/>
    </row>
    <row r="3" spans="1:8" ht="19.5" customHeight="1">
      <c r="A3" s="292"/>
      <c r="B3" s="293"/>
      <c r="C3" s="293"/>
      <c r="D3" s="293"/>
      <c r="E3" s="292"/>
      <c r="F3" s="292"/>
      <c r="G3" s="292"/>
      <c r="H3" s="292"/>
    </row>
    <row r="4" ht="19.5" customHeight="1"/>
    <row r="5" spans="1:8" ht="24.75" customHeight="1">
      <c r="A5" s="663" t="s">
        <v>240</v>
      </c>
      <c r="B5" s="648"/>
      <c r="C5" s="648"/>
      <c r="D5" s="664"/>
      <c r="E5" s="656" t="s">
        <v>241</v>
      </c>
      <c r="F5" s="654" t="s">
        <v>242</v>
      </c>
      <c r="G5" s="656" t="s">
        <v>243</v>
      </c>
      <c r="H5" s="656" t="s">
        <v>244</v>
      </c>
    </row>
    <row r="6" spans="1:8" ht="24.75" customHeight="1">
      <c r="A6" s="665"/>
      <c r="B6" s="666"/>
      <c r="C6" s="666"/>
      <c r="D6" s="667"/>
      <c r="E6" s="657"/>
      <c r="F6" s="655"/>
      <c r="G6" s="657"/>
      <c r="H6" s="657"/>
    </row>
    <row r="7" spans="1:9" ht="49.5" customHeight="1">
      <c r="A7" s="661" t="s">
        <v>245</v>
      </c>
      <c r="B7" s="239"/>
      <c r="C7" s="36" t="s">
        <v>246</v>
      </c>
      <c r="D7" s="286"/>
      <c r="E7" s="287" t="s">
        <v>247</v>
      </c>
      <c r="F7" s="287" t="s">
        <v>305</v>
      </c>
      <c r="G7" s="287" t="s">
        <v>306</v>
      </c>
      <c r="H7" s="295" t="str">
        <f>산재비율!A1&amp;"
참조"</f>
        <v>&lt; 표 : 14 &gt; 
참조</v>
      </c>
      <c r="I7" s="288">
        <v>2.1</v>
      </c>
    </row>
    <row r="8" spans="1:9" ht="49.5" customHeight="1">
      <c r="A8" s="662"/>
      <c r="B8" s="239"/>
      <c r="C8" s="36" t="s">
        <v>89</v>
      </c>
      <c r="D8" s="286"/>
      <c r="E8" s="287" t="s">
        <v>3</v>
      </c>
      <c r="F8" s="287" t="s">
        <v>251</v>
      </c>
      <c r="G8" s="287" t="s">
        <v>248</v>
      </c>
      <c r="H8" s="296"/>
      <c r="I8" s="288">
        <v>4.5</v>
      </c>
    </row>
    <row r="9" spans="1:9" ht="150" customHeight="1">
      <c r="A9" s="662"/>
      <c r="B9" s="239"/>
      <c r="C9" s="36" t="s">
        <v>238</v>
      </c>
      <c r="D9" s="286"/>
      <c r="E9" s="335" t="s">
        <v>511</v>
      </c>
      <c r="F9" s="597" t="s">
        <v>512</v>
      </c>
      <c r="G9" s="287" t="s">
        <v>513</v>
      </c>
      <c r="H9" s="296"/>
      <c r="I9" s="288">
        <v>0.7</v>
      </c>
    </row>
    <row r="10" spans="1:9" ht="49.5" customHeight="1">
      <c r="A10" s="662"/>
      <c r="B10" s="239"/>
      <c r="C10" s="36" t="s">
        <v>91</v>
      </c>
      <c r="D10" s="286"/>
      <c r="E10" s="287" t="s">
        <v>258</v>
      </c>
      <c r="F10" s="287" t="s">
        <v>0</v>
      </c>
      <c r="G10" s="287" t="s">
        <v>1</v>
      </c>
      <c r="H10" s="296"/>
      <c r="I10" s="288">
        <v>2.54</v>
      </c>
    </row>
    <row r="11" spans="1:9" s="337" customFormat="1" ht="54.75" customHeight="1">
      <c r="A11" s="662"/>
      <c r="B11" s="332"/>
      <c r="C11" s="333" t="s">
        <v>338</v>
      </c>
      <c r="D11" s="334"/>
      <c r="E11" s="335" t="s">
        <v>291</v>
      </c>
      <c r="F11" s="335" t="s">
        <v>293</v>
      </c>
      <c r="G11" s="335" t="s">
        <v>292</v>
      </c>
      <c r="H11" s="336"/>
      <c r="I11" s="337">
        <v>4.78</v>
      </c>
    </row>
    <row r="12" spans="1:9" ht="49.5" customHeight="1">
      <c r="A12" s="687"/>
      <c r="B12" s="239"/>
      <c r="C12" s="36" t="s">
        <v>92</v>
      </c>
      <c r="D12" s="286"/>
      <c r="E12" s="287" t="s">
        <v>294</v>
      </c>
      <c r="F12" s="287" t="s">
        <v>295</v>
      </c>
      <c r="G12" s="287" t="s">
        <v>249</v>
      </c>
      <c r="H12" s="296"/>
      <c r="I12" s="288">
        <v>0.04</v>
      </c>
    </row>
    <row r="13" ht="27.75" customHeight="1"/>
    <row r="14" ht="27.75" customHeight="1"/>
    <row r="15" ht="39.75" customHeight="1"/>
  </sheetData>
  <sheetProtection/>
  <mergeCells count="6">
    <mergeCell ref="H5:H6"/>
    <mergeCell ref="A7:A12"/>
    <mergeCell ref="A5:D6"/>
    <mergeCell ref="E5:E6"/>
    <mergeCell ref="F5:F6"/>
    <mergeCell ref="G5:G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0" r:id="rId2"/>
  <headerFooter alignWithMargins="0"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view="pageBreakPreview" zoomScaleSheetLayoutView="100" zoomScalePageLayoutView="0" workbookViewId="0" topLeftCell="A1">
      <selection activeCell="J10" sqref="J10"/>
    </sheetView>
  </sheetViews>
  <sheetFormatPr defaultColWidth="9.140625" defaultRowHeight="24.75" customHeight="1"/>
  <cols>
    <col min="1" max="1" width="0.85546875" style="342" customWidth="1"/>
    <col min="2" max="2" width="35.7109375" style="341" customWidth="1"/>
    <col min="3" max="3" width="0.85546875" style="342" customWidth="1"/>
    <col min="4" max="4" width="9.7109375" style="342" customWidth="1"/>
    <col min="5" max="5" width="0.85546875" style="342" customWidth="1"/>
    <col min="6" max="6" width="36.7109375" style="341" customWidth="1"/>
    <col min="7" max="7" width="0.85546875" style="342" customWidth="1"/>
    <col min="8" max="8" width="9.7109375" style="342" customWidth="1"/>
    <col min="9" max="16384" width="9.140625" style="342" customWidth="1"/>
  </cols>
  <sheetData>
    <row r="1" spans="1:8" ht="19.5" customHeight="1">
      <c r="A1" s="338" t="s">
        <v>531</v>
      </c>
      <c r="B1" s="338"/>
      <c r="C1" s="339"/>
      <c r="D1" s="340"/>
      <c r="E1" s="340"/>
      <c r="G1" s="340"/>
      <c r="H1" s="340"/>
    </row>
    <row r="2" spans="1:8" ht="39.75" customHeight="1">
      <c r="A2" s="343" t="s">
        <v>208</v>
      </c>
      <c r="B2" s="344"/>
      <c r="C2" s="344"/>
      <c r="D2" s="344"/>
      <c r="E2" s="344"/>
      <c r="F2" s="344"/>
      <c r="G2" s="344"/>
      <c r="H2" s="344"/>
    </row>
    <row r="3" spans="1:8" ht="19.5" customHeight="1">
      <c r="A3" s="345"/>
      <c r="B3" s="346"/>
      <c r="C3" s="346"/>
      <c r="D3" s="346"/>
      <c r="E3" s="346"/>
      <c r="F3" s="345"/>
      <c r="G3" s="346"/>
      <c r="H3" s="346"/>
    </row>
    <row r="4" spans="1:8" ht="19.5" customHeight="1">
      <c r="A4" s="347"/>
      <c r="B4" s="347"/>
      <c r="C4" s="348"/>
      <c r="D4" s="348"/>
      <c r="E4" s="348"/>
      <c r="G4" s="340"/>
      <c r="H4" s="349" t="s">
        <v>209</v>
      </c>
    </row>
    <row r="5" spans="1:8" ht="30" customHeight="1">
      <c r="A5" s="350"/>
      <c r="B5" s="351" t="s">
        <v>210</v>
      </c>
      <c r="C5" s="352"/>
      <c r="D5" s="353" t="s">
        <v>296</v>
      </c>
      <c r="E5" s="354"/>
      <c r="F5" s="351" t="s">
        <v>210</v>
      </c>
      <c r="G5" s="352"/>
      <c r="H5" s="353" t="s">
        <v>296</v>
      </c>
    </row>
    <row r="6" spans="1:8" ht="15" customHeight="1">
      <c r="A6" s="355"/>
      <c r="B6" s="356" t="s">
        <v>93</v>
      </c>
      <c r="C6" s="357"/>
      <c r="D6" s="340"/>
      <c r="E6" s="355"/>
      <c r="F6" s="356"/>
      <c r="G6" s="358"/>
      <c r="H6" s="358"/>
    </row>
    <row r="7" spans="1:8" ht="15" customHeight="1">
      <c r="A7" s="355"/>
      <c r="B7" s="356" t="s">
        <v>94</v>
      </c>
      <c r="C7" s="358"/>
      <c r="D7" s="359">
        <v>360</v>
      </c>
      <c r="E7" s="355"/>
      <c r="F7" s="356" t="s">
        <v>98</v>
      </c>
      <c r="G7" s="358"/>
      <c r="H7" s="360">
        <v>29</v>
      </c>
    </row>
    <row r="8" spans="1:8" ht="15" customHeight="1">
      <c r="A8" s="355"/>
      <c r="B8" s="356" t="s">
        <v>95</v>
      </c>
      <c r="C8" s="358"/>
      <c r="D8" s="359">
        <v>206</v>
      </c>
      <c r="E8" s="355"/>
      <c r="F8" s="356" t="s">
        <v>297</v>
      </c>
      <c r="G8" s="358"/>
      <c r="H8" s="360">
        <v>29</v>
      </c>
    </row>
    <row r="9" spans="1:8" ht="15" customHeight="1">
      <c r="A9" s="355"/>
      <c r="B9" s="356" t="s">
        <v>97</v>
      </c>
      <c r="C9" s="358"/>
      <c r="D9" s="359">
        <v>208</v>
      </c>
      <c r="E9" s="355"/>
      <c r="F9" s="356" t="s">
        <v>100</v>
      </c>
      <c r="G9" s="358"/>
      <c r="H9" s="360">
        <v>23</v>
      </c>
    </row>
    <row r="10" spans="1:8" ht="15" customHeight="1">
      <c r="A10" s="355"/>
      <c r="B10" s="356" t="s">
        <v>99</v>
      </c>
      <c r="C10" s="358"/>
      <c r="D10" s="359">
        <v>69</v>
      </c>
      <c r="E10" s="355"/>
      <c r="F10" s="356" t="s">
        <v>211</v>
      </c>
      <c r="G10" s="358"/>
      <c r="H10" s="360">
        <v>12</v>
      </c>
    </row>
    <row r="11" spans="1:8" ht="15" customHeight="1">
      <c r="A11" s="355"/>
      <c r="B11" s="356" t="s">
        <v>101</v>
      </c>
      <c r="C11" s="358"/>
      <c r="D11" s="359">
        <v>33</v>
      </c>
      <c r="E11" s="355"/>
      <c r="F11" s="356" t="s">
        <v>103</v>
      </c>
      <c r="G11" s="358"/>
      <c r="H11" s="360">
        <v>18</v>
      </c>
    </row>
    <row r="12" spans="1:8" ht="15" customHeight="1">
      <c r="A12" s="355"/>
      <c r="B12" s="356" t="s">
        <v>102</v>
      </c>
      <c r="C12" s="358"/>
      <c r="D12" s="359">
        <v>70</v>
      </c>
      <c r="E12" s="355"/>
      <c r="F12" s="356" t="s">
        <v>104</v>
      </c>
      <c r="G12" s="358"/>
      <c r="H12" s="360">
        <v>31</v>
      </c>
    </row>
    <row r="13" spans="1:8" ht="15" customHeight="1">
      <c r="A13" s="355"/>
      <c r="B13" s="356" t="s">
        <v>105</v>
      </c>
      <c r="C13" s="358"/>
      <c r="D13" s="359"/>
      <c r="E13" s="355"/>
      <c r="F13" s="356" t="s">
        <v>212</v>
      </c>
      <c r="G13" s="358"/>
      <c r="H13" s="360">
        <v>10</v>
      </c>
    </row>
    <row r="14" spans="1:8" ht="15" customHeight="1">
      <c r="A14" s="355"/>
      <c r="B14" s="356" t="s">
        <v>106</v>
      </c>
      <c r="C14" s="358"/>
      <c r="D14" s="359">
        <v>22</v>
      </c>
      <c r="E14" s="355"/>
      <c r="F14" s="356" t="s">
        <v>107</v>
      </c>
      <c r="G14" s="358"/>
      <c r="H14" s="360">
        <v>34</v>
      </c>
    </row>
    <row r="15" spans="1:8" ht="15" customHeight="1">
      <c r="A15" s="355"/>
      <c r="B15" s="356" t="s">
        <v>108</v>
      </c>
      <c r="C15" s="358"/>
      <c r="D15" s="359">
        <v>10</v>
      </c>
      <c r="E15" s="355"/>
      <c r="F15" s="356" t="s">
        <v>109</v>
      </c>
      <c r="G15" s="358"/>
      <c r="H15" s="360"/>
    </row>
    <row r="16" spans="1:8" ht="15" customHeight="1">
      <c r="A16" s="355"/>
      <c r="B16" s="356" t="s">
        <v>110</v>
      </c>
      <c r="C16" s="358"/>
      <c r="D16" s="359">
        <v>14</v>
      </c>
      <c r="E16" s="355"/>
      <c r="F16" s="356" t="s">
        <v>111</v>
      </c>
      <c r="G16" s="358"/>
      <c r="H16" s="360">
        <v>9</v>
      </c>
    </row>
    <row r="17" spans="1:8" ht="15" customHeight="1">
      <c r="A17" s="355"/>
      <c r="B17" s="356" t="s">
        <v>112</v>
      </c>
      <c r="C17" s="358"/>
      <c r="D17" s="359">
        <v>24</v>
      </c>
      <c r="E17" s="355"/>
      <c r="F17" s="356" t="s">
        <v>113</v>
      </c>
      <c r="G17" s="358"/>
      <c r="H17" s="360">
        <v>22</v>
      </c>
    </row>
    <row r="18" spans="1:8" ht="15" customHeight="1">
      <c r="A18" s="355"/>
      <c r="B18" s="356" t="s">
        <v>114</v>
      </c>
      <c r="C18" s="358"/>
      <c r="D18" s="359">
        <v>72</v>
      </c>
      <c r="E18" s="355"/>
      <c r="F18" s="356" t="s">
        <v>115</v>
      </c>
      <c r="G18" s="358"/>
      <c r="H18" s="360">
        <v>67</v>
      </c>
    </row>
    <row r="19" spans="1:8" ht="15" customHeight="1">
      <c r="A19" s="355"/>
      <c r="B19" s="356" t="s">
        <v>116</v>
      </c>
      <c r="C19" s="358"/>
      <c r="D19" s="359">
        <v>50</v>
      </c>
      <c r="E19" s="355"/>
      <c r="F19" s="356" t="s">
        <v>117</v>
      </c>
      <c r="G19" s="358"/>
      <c r="H19" s="360">
        <v>33</v>
      </c>
    </row>
    <row r="20" spans="1:8" ht="24.75" customHeight="1">
      <c r="A20" s="355"/>
      <c r="B20" s="361" t="s">
        <v>298</v>
      </c>
      <c r="C20" s="358"/>
      <c r="D20" s="359">
        <v>25</v>
      </c>
      <c r="E20" s="355"/>
      <c r="F20" s="356" t="s">
        <v>118</v>
      </c>
      <c r="G20" s="358"/>
      <c r="H20" s="360">
        <v>8</v>
      </c>
    </row>
    <row r="21" spans="1:8" ht="15" customHeight="1">
      <c r="A21" s="355"/>
      <c r="B21" s="356" t="s">
        <v>299</v>
      </c>
      <c r="C21" s="358"/>
      <c r="D21" s="359">
        <v>9</v>
      </c>
      <c r="E21" s="355"/>
      <c r="F21" s="356" t="s">
        <v>119</v>
      </c>
      <c r="G21" s="358"/>
      <c r="H21" s="360">
        <v>9</v>
      </c>
    </row>
    <row r="22" spans="1:8" ht="15" customHeight="1">
      <c r="A22" s="355"/>
      <c r="B22" s="356" t="s">
        <v>120</v>
      </c>
      <c r="C22" s="358"/>
      <c r="D22" s="359">
        <v>17</v>
      </c>
      <c r="E22" s="355"/>
      <c r="F22" s="356" t="s">
        <v>121</v>
      </c>
      <c r="G22" s="358"/>
      <c r="H22" s="360">
        <v>18</v>
      </c>
    </row>
    <row r="23" spans="1:8" ht="15" customHeight="1">
      <c r="A23" s="355"/>
      <c r="B23" s="356" t="s">
        <v>122</v>
      </c>
      <c r="C23" s="358"/>
      <c r="D23" s="359">
        <v>18</v>
      </c>
      <c r="E23" s="355"/>
      <c r="F23" s="356" t="s">
        <v>123</v>
      </c>
      <c r="G23" s="358"/>
      <c r="H23" s="360">
        <v>11</v>
      </c>
    </row>
    <row r="24" spans="1:8" ht="15" customHeight="1">
      <c r="A24" s="355"/>
      <c r="B24" s="356" t="s">
        <v>124</v>
      </c>
      <c r="C24" s="358"/>
      <c r="D24" s="359">
        <v>10</v>
      </c>
      <c r="E24" s="355"/>
      <c r="F24" s="356" t="s">
        <v>125</v>
      </c>
      <c r="G24" s="358"/>
      <c r="H24" s="360">
        <v>62</v>
      </c>
    </row>
    <row r="25" spans="1:8" ht="15" customHeight="1">
      <c r="A25" s="355"/>
      <c r="B25" s="356" t="s">
        <v>126</v>
      </c>
      <c r="C25" s="358"/>
      <c r="D25" s="359">
        <v>33</v>
      </c>
      <c r="E25" s="355"/>
      <c r="F25" s="356" t="s">
        <v>129</v>
      </c>
      <c r="G25" s="358"/>
      <c r="H25" s="360"/>
    </row>
    <row r="26" spans="1:8" ht="15" customHeight="1">
      <c r="A26" s="355"/>
      <c r="B26" s="356" t="s">
        <v>300</v>
      </c>
      <c r="C26" s="358"/>
      <c r="D26" s="359">
        <v>90</v>
      </c>
      <c r="E26" s="355"/>
      <c r="F26" s="356" t="s">
        <v>213</v>
      </c>
      <c r="G26" s="358"/>
      <c r="H26" s="360">
        <v>249</v>
      </c>
    </row>
    <row r="27" spans="1:8" ht="15" customHeight="1">
      <c r="A27" s="355"/>
      <c r="B27" s="356" t="s">
        <v>127</v>
      </c>
      <c r="C27" s="358"/>
      <c r="D27" s="359">
        <v>28</v>
      </c>
      <c r="E27" s="355"/>
      <c r="F27" s="356" t="s">
        <v>214</v>
      </c>
      <c r="G27" s="358"/>
      <c r="H27" s="360">
        <v>11</v>
      </c>
    </row>
    <row r="28" spans="1:8" ht="15" customHeight="1">
      <c r="A28" s="355"/>
      <c r="B28" s="356" t="s">
        <v>128</v>
      </c>
      <c r="C28" s="358"/>
      <c r="D28" s="359">
        <v>32</v>
      </c>
      <c r="E28" s="355"/>
      <c r="F28" s="356" t="s">
        <v>131</v>
      </c>
      <c r="G28" s="358"/>
      <c r="H28" s="360">
        <v>26</v>
      </c>
    </row>
    <row r="29" spans="1:8" ht="15" customHeight="1">
      <c r="A29" s="355"/>
      <c r="B29" s="356" t="s">
        <v>130</v>
      </c>
      <c r="C29" s="358"/>
      <c r="D29" s="359">
        <v>23</v>
      </c>
      <c r="E29" s="355"/>
      <c r="F29" s="356" t="s">
        <v>133</v>
      </c>
      <c r="G29" s="358"/>
      <c r="H29" s="360"/>
    </row>
    <row r="30" spans="1:8" ht="15" customHeight="1">
      <c r="A30" s="355"/>
      <c r="B30" s="356" t="s">
        <v>132</v>
      </c>
      <c r="C30" s="358"/>
      <c r="D30" s="359">
        <v>31</v>
      </c>
      <c r="E30" s="355"/>
      <c r="F30" s="356" t="s">
        <v>135</v>
      </c>
      <c r="G30" s="358"/>
      <c r="H30" s="360">
        <v>31</v>
      </c>
    </row>
    <row r="31" spans="1:8" ht="15" customHeight="1">
      <c r="A31" s="355"/>
      <c r="B31" s="356" t="s">
        <v>134</v>
      </c>
      <c r="C31" s="358"/>
      <c r="D31" s="359">
        <v>27</v>
      </c>
      <c r="E31" s="350"/>
      <c r="F31" s="432" t="s">
        <v>136</v>
      </c>
      <c r="G31" s="352"/>
      <c r="H31" s="433">
        <v>21</v>
      </c>
    </row>
    <row r="32" spans="1:8" ht="24.75" customHeight="1">
      <c r="A32" s="355"/>
      <c r="B32" s="361" t="s">
        <v>301</v>
      </c>
      <c r="C32" s="358"/>
      <c r="D32" s="359">
        <v>49</v>
      </c>
      <c r="E32" s="355"/>
      <c r="F32" s="356" t="s">
        <v>138</v>
      </c>
      <c r="G32" s="358"/>
      <c r="H32" s="360">
        <v>33</v>
      </c>
    </row>
    <row r="33" spans="1:8" ht="15" customHeight="1">
      <c r="A33" s="355"/>
      <c r="B33" s="356" t="s">
        <v>137</v>
      </c>
      <c r="C33" s="358"/>
      <c r="D33" s="359">
        <v>12</v>
      </c>
      <c r="E33" s="355"/>
      <c r="F33" s="356" t="s">
        <v>141</v>
      </c>
      <c r="G33" s="358"/>
      <c r="H33" s="360">
        <v>17</v>
      </c>
    </row>
    <row r="34" spans="1:8" ht="15" customHeight="1">
      <c r="A34" s="355"/>
      <c r="B34" s="356" t="s">
        <v>139</v>
      </c>
      <c r="C34" s="358"/>
      <c r="D34" s="359">
        <v>37</v>
      </c>
      <c r="E34" s="355"/>
      <c r="F34" s="356" t="s">
        <v>143</v>
      </c>
      <c r="G34" s="358"/>
      <c r="H34" s="360">
        <v>10</v>
      </c>
    </row>
    <row r="35" spans="1:8" ht="15" customHeight="1">
      <c r="A35" s="355"/>
      <c r="B35" s="356" t="s">
        <v>140</v>
      </c>
      <c r="C35" s="358"/>
      <c r="D35" s="359">
        <v>23</v>
      </c>
      <c r="E35" s="355"/>
      <c r="F35" s="356" t="s">
        <v>302</v>
      </c>
      <c r="G35" s="358"/>
      <c r="H35" s="360">
        <v>7</v>
      </c>
    </row>
    <row r="36" spans="1:8" ht="15" customHeight="1">
      <c r="A36" s="355"/>
      <c r="B36" s="356" t="s">
        <v>142</v>
      </c>
      <c r="C36" s="340"/>
      <c r="D36" s="362">
        <v>26</v>
      </c>
      <c r="E36" s="340"/>
      <c r="F36" s="356" t="s">
        <v>215</v>
      </c>
      <c r="G36" s="358"/>
      <c r="H36" s="360">
        <v>7</v>
      </c>
    </row>
    <row r="37" spans="1:8" ht="15" customHeight="1">
      <c r="A37" s="355"/>
      <c r="B37" s="356" t="s">
        <v>144</v>
      </c>
      <c r="C37" s="340"/>
      <c r="D37" s="362">
        <v>13</v>
      </c>
      <c r="E37" s="340"/>
      <c r="F37" s="356" t="s">
        <v>216</v>
      </c>
      <c r="G37" s="358"/>
      <c r="H37" s="360">
        <v>9</v>
      </c>
    </row>
    <row r="38" spans="1:8" ht="15" customHeight="1">
      <c r="A38" s="355"/>
      <c r="B38" s="356" t="s">
        <v>217</v>
      </c>
      <c r="C38" s="358"/>
      <c r="D38" s="360">
        <v>8</v>
      </c>
      <c r="E38" s="340"/>
      <c r="F38" s="356" t="s">
        <v>145</v>
      </c>
      <c r="G38" s="358"/>
      <c r="H38" s="360">
        <v>7</v>
      </c>
    </row>
    <row r="39" spans="1:8" ht="15" customHeight="1">
      <c r="A39" s="355"/>
      <c r="B39" s="356" t="s">
        <v>96</v>
      </c>
      <c r="C39" s="358"/>
      <c r="D39" s="360">
        <v>49</v>
      </c>
      <c r="E39" s="340"/>
      <c r="F39" s="356" t="s">
        <v>303</v>
      </c>
      <c r="G39" s="358"/>
      <c r="H39" s="360"/>
    </row>
    <row r="40" spans="1:8" ht="9" customHeight="1">
      <c r="A40" s="363"/>
      <c r="B40" s="364"/>
      <c r="C40" s="365"/>
      <c r="D40" s="366"/>
      <c r="E40" s="365"/>
      <c r="F40" s="364"/>
      <c r="G40" s="367"/>
      <c r="H40" s="368"/>
    </row>
    <row r="41" spans="1:8" ht="24.75" customHeight="1">
      <c r="A41" s="340"/>
      <c r="B41" s="369" t="s">
        <v>304</v>
      </c>
      <c r="C41" s="369"/>
      <c r="D41" s="369"/>
      <c r="E41" s="340"/>
      <c r="G41" s="348"/>
      <c r="H41" s="348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"/>
  <sheetViews>
    <sheetView showGridLines="0" showZeros="0" view="pageBreakPreview" zoomScaleSheetLayoutView="100" zoomScalePageLayoutView="0" workbookViewId="0" topLeftCell="A1">
      <selection activeCell="I8" sqref="I8"/>
    </sheetView>
  </sheetViews>
  <sheetFormatPr defaultColWidth="10.28125" defaultRowHeight="33.75" customHeight="1"/>
  <cols>
    <col min="1" max="1" width="1.7109375" style="195" customWidth="1"/>
    <col min="2" max="2" width="16.8515625" style="195" customWidth="1"/>
    <col min="3" max="4" width="1.7109375" style="195" customWidth="1"/>
    <col min="5" max="5" width="17.421875" style="195" customWidth="1"/>
    <col min="6" max="6" width="1.7109375" style="195" customWidth="1"/>
    <col min="7" max="7" width="12.7109375" style="196" hidden="1" customWidth="1"/>
    <col min="8" max="8" width="1.7109375" style="196" hidden="1" customWidth="1"/>
    <col min="9" max="9" width="15.28125" style="196" customWidth="1"/>
    <col min="10" max="10" width="1.7109375" style="196" customWidth="1"/>
    <col min="11" max="11" width="0.85546875" style="196" customWidth="1"/>
    <col min="12" max="12" width="36.00390625" style="196" customWidth="1"/>
    <col min="13" max="16384" width="10.28125" style="195" customWidth="1"/>
  </cols>
  <sheetData>
    <row r="1" ht="19.5" customHeight="1">
      <c r="A1" s="195" t="s">
        <v>532</v>
      </c>
    </row>
    <row r="2" spans="1:12" s="199" customFormat="1" ht="39.75" customHeight="1">
      <c r="A2" s="197" t="s">
        <v>146</v>
      </c>
      <c r="B2" s="197"/>
      <c r="C2" s="197"/>
      <c r="D2" s="197"/>
      <c r="E2" s="197"/>
      <c r="F2" s="197"/>
      <c r="G2" s="198"/>
      <c r="H2" s="198"/>
      <c r="I2" s="198"/>
      <c r="J2" s="198"/>
      <c r="K2" s="198"/>
      <c r="L2" s="198"/>
    </row>
    <row r="3" spans="1:12" ht="19.5" customHeight="1">
      <c r="A3" s="200"/>
      <c r="B3" s="200"/>
      <c r="C3" s="200"/>
      <c r="D3" s="200"/>
      <c r="E3" s="200"/>
      <c r="F3" s="200"/>
      <c r="G3" s="201"/>
      <c r="H3" s="201"/>
      <c r="I3" s="201"/>
      <c r="J3" s="201"/>
      <c r="K3" s="201"/>
      <c r="L3" s="201"/>
    </row>
    <row r="4" spans="2:12" ht="19.5" customHeight="1">
      <c r="B4" s="200"/>
      <c r="C4" s="202"/>
      <c r="D4" s="202"/>
      <c r="E4" s="202"/>
      <c r="F4" s="202"/>
      <c r="G4" s="201"/>
      <c r="H4" s="201"/>
      <c r="I4" s="201"/>
      <c r="J4" s="201"/>
      <c r="K4" s="201"/>
      <c r="L4" s="155" t="s">
        <v>45</v>
      </c>
    </row>
    <row r="5" spans="1:12" ht="49.5" customHeight="1">
      <c r="A5" s="203" t="s">
        <v>349</v>
      </c>
      <c r="B5" s="231"/>
      <c r="C5" s="205"/>
      <c r="D5" s="231" t="s">
        <v>350</v>
      </c>
      <c r="E5" s="231"/>
      <c r="F5" s="231"/>
      <c r="G5" s="514" t="s">
        <v>351</v>
      </c>
      <c r="H5" s="515"/>
      <c r="I5" s="514" t="s">
        <v>438</v>
      </c>
      <c r="J5" s="515"/>
      <c r="K5" s="514" t="s">
        <v>437</v>
      </c>
      <c r="L5" s="515"/>
    </row>
    <row r="6" spans="1:12" ht="30" customHeight="1">
      <c r="A6" s="207"/>
      <c r="B6" s="208" t="str">
        <f>인집!B7</f>
        <v>기계반장</v>
      </c>
      <c r="C6" s="209"/>
      <c r="D6" s="426"/>
      <c r="E6" s="509" t="str">
        <f>인집!E7</f>
        <v>기계정비공</v>
      </c>
      <c r="F6" s="426"/>
      <c r="G6" s="210">
        <f>식대!I7</f>
        <v>63000</v>
      </c>
      <c r="H6" s="211"/>
      <c r="I6" s="210">
        <f>G6</f>
        <v>63000</v>
      </c>
      <c r="J6" s="211"/>
      <c r="K6" s="210"/>
      <c r="L6" s="212"/>
    </row>
    <row r="7" spans="1:12" ht="30" customHeight="1">
      <c r="A7" s="207"/>
      <c r="B7" s="208" t="str">
        <f>인집!B8</f>
        <v>미화원</v>
      </c>
      <c r="C7" s="209"/>
      <c r="D7" s="426"/>
      <c r="E7" s="509" t="str">
        <f>인집!E8</f>
        <v>보통인부</v>
      </c>
      <c r="F7" s="426"/>
      <c r="G7" s="210">
        <f>식대!I8</f>
        <v>63000</v>
      </c>
      <c r="H7" s="211"/>
      <c r="I7" s="210">
        <f>G7</f>
        <v>63000</v>
      </c>
      <c r="J7" s="211"/>
      <c r="K7" s="210"/>
      <c r="L7" s="212"/>
    </row>
    <row r="8" spans="1:12" ht="30" customHeight="1">
      <c r="A8" s="207"/>
      <c r="B8" s="208" t="str">
        <f>인집!B9</f>
        <v>경비원</v>
      </c>
      <c r="C8" s="209"/>
      <c r="D8" s="426"/>
      <c r="E8" s="509" t="str">
        <f>인집!E9</f>
        <v>보통인부</v>
      </c>
      <c r="F8" s="426"/>
      <c r="G8" s="210">
        <f>식대!I9</f>
        <v>63000</v>
      </c>
      <c r="H8" s="211"/>
      <c r="I8" s="210">
        <f>G8</f>
        <v>63000</v>
      </c>
      <c r="J8" s="211"/>
      <c r="K8" s="210"/>
      <c r="L8" s="212"/>
    </row>
    <row r="9" spans="1:12" ht="9.75" customHeight="1">
      <c r="A9" s="213"/>
      <c r="B9" s="214"/>
      <c r="C9" s="215"/>
      <c r="D9" s="427"/>
      <c r="E9" s="428"/>
      <c r="F9" s="427"/>
      <c r="G9" s="216"/>
      <c r="H9" s="217"/>
      <c r="I9" s="216"/>
      <c r="J9" s="217"/>
      <c r="K9" s="216"/>
      <c r="L9" s="218"/>
    </row>
    <row r="10" ht="24.75" customHeight="1">
      <c r="A10" s="206" t="str">
        <f>"주) 식대 : "&amp;식대!A1&amp;식대!A2&amp;" 참조"</f>
        <v>주) 식대 : &lt; 표 : 16 &gt; 식비산출표 참조</v>
      </c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view="pageBreakPreview" zoomScale="90" zoomScaleSheetLayoutView="90" zoomScalePageLayoutView="0" workbookViewId="0" topLeftCell="A1">
      <selection activeCell="H14" sqref="H14"/>
    </sheetView>
  </sheetViews>
  <sheetFormatPr defaultColWidth="9.140625" defaultRowHeight="29.25" customHeight="1"/>
  <cols>
    <col min="1" max="1" width="2.7109375" style="152" customWidth="1"/>
    <col min="2" max="2" width="14.7109375" style="10" customWidth="1"/>
    <col min="3" max="3" width="2.7109375" style="152" customWidth="1"/>
    <col min="4" max="4" width="1.7109375" style="32" customWidth="1"/>
    <col min="5" max="5" width="15.7109375" style="33" customWidth="1"/>
    <col min="6" max="6" width="1.7109375" style="32" customWidth="1"/>
    <col min="7" max="8" width="10.7109375" style="32" customWidth="1"/>
    <col min="9" max="9" width="12.7109375" style="32" customWidth="1"/>
    <col min="10" max="10" width="0.85546875" style="32" customWidth="1"/>
    <col min="11" max="11" width="70.00390625" style="32" customWidth="1"/>
    <col min="12" max="16384" width="9.140625" style="188" customWidth="1"/>
  </cols>
  <sheetData>
    <row r="1" ht="23.25" customHeight="1">
      <c r="A1" s="188" t="s">
        <v>533</v>
      </c>
    </row>
    <row r="2" spans="1:11" s="189" customFormat="1" ht="43.5" customHeight="1">
      <c r="A2" s="165" t="s">
        <v>415</v>
      </c>
      <c r="B2" s="166"/>
      <c r="C2" s="165"/>
      <c r="D2" s="153"/>
      <c r="E2" s="167"/>
      <c r="F2" s="153"/>
      <c r="G2" s="153"/>
      <c r="H2" s="153"/>
      <c r="I2" s="153"/>
      <c r="J2" s="153"/>
      <c r="K2" s="153"/>
    </row>
    <row r="3" spans="1:11" s="189" customFormat="1" ht="19.5" customHeight="1">
      <c r="A3" s="165"/>
      <c r="B3" s="166"/>
      <c r="C3" s="165"/>
      <c r="D3" s="153"/>
      <c r="E3" s="167"/>
      <c r="F3" s="153"/>
      <c r="G3" s="153"/>
      <c r="H3" s="153"/>
      <c r="I3" s="153"/>
      <c r="J3" s="153"/>
      <c r="K3" s="153"/>
    </row>
    <row r="4" spans="1:11" ht="19.5" customHeight="1">
      <c r="A4" s="169"/>
      <c r="K4" s="172" t="s">
        <v>48</v>
      </c>
    </row>
    <row r="5" spans="1:11" ht="42" customHeight="1">
      <c r="A5" s="178" t="s">
        <v>206</v>
      </c>
      <c r="B5" s="404" t="s">
        <v>266</v>
      </c>
      <c r="C5" s="404"/>
      <c r="D5" s="405"/>
      <c r="E5" s="404" t="s">
        <v>340</v>
      </c>
      <c r="F5" s="244"/>
      <c r="G5" s="500" t="s">
        <v>147</v>
      </c>
      <c r="H5" s="500" t="s">
        <v>148</v>
      </c>
      <c r="I5" s="500" t="s">
        <v>46</v>
      </c>
      <c r="J5" s="245" t="s">
        <v>149</v>
      </c>
      <c r="K5" s="244"/>
    </row>
    <row r="6" spans="1:15" s="190" customFormat="1" ht="22.5" customHeight="1">
      <c r="A6" s="176"/>
      <c r="B6" s="10"/>
      <c r="C6" s="164"/>
      <c r="D6" s="176"/>
      <c r="E6" s="507"/>
      <c r="F6" s="10"/>
      <c r="G6" s="176" t="s">
        <v>61</v>
      </c>
      <c r="H6" s="176" t="s">
        <v>22</v>
      </c>
      <c r="I6" s="34" t="s">
        <v>426</v>
      </c>
      <c r="J6" s="175"/>
      <c r="K6" s="42"/>
      <c r="L6" s="501" t="s">
        <v>412</v>
      </c>
      <c r="M6" s="501" t="s">
        <v>413</v>
      </c>
      <c r="N6" s="501" t="s">
        <v>414</v>
      </c>
      <c r="O6" s="501"/>
    </row>
    <row r="7" spans="1:14" ht="22.5" customHeight="1">
      <c r="A7" s="176"/>
      <c r="B7" s="396" t="str">
        <f>인집!B7</f>
        <v>기계반장</v>
      </c>
      <c r="C7" s="383"/>
      <c r="D7" s="390"/>
      <c r="E7" s="510" t="str">
        <f>인집!E7</f>
        <v>기계정비공</v>
      </c>
      <c r="F7" s="42"/>
      <c r="G7" s="473">
        <f>SUM(L7:N7)</f>
        <v>22</v>
      </c>
      <c r="H7" s="160">
        <v>2900</v>
      </c>
      <c r="I7" s="160">
        <f>TRUNC(G7*H7,-3)</f>
        <v>63000</v>
      </c>
      <c r="J7" s="185"/>
      <c r="K7" s="156" t="str">
        <f>""&amp;L7&amp;"(월근무일수) + "&amp;M7&amp;"(휴일근무일수)"</f>
        <v>21(월근무일수) + 1(휴일근무일수)</v>
      </c>
      <c r="L7" s="188">
        <f>월기본급!I9</f>
        <v>21</v>
      </c>
      <c r="M7" s="502">
        <f>휴일근로!$F$8</f>
        <v>1</v>
      </c>
      <c r="N7" s="602"/>
    </row>
    <row r="8" spans="1:14" ht="22.5" customHeight="1">
      <c r="A8" s="176"/>
      <c r="B8" s="396" t="str">
        <f>인집!B8</f>
        <v>미화원</v>
      </c>
      <c r="C8" s="383"/>
      <c r="D8" s="390"/>
      <c r="E8" s="510" t="str">
        <f>인집!E8</f>
        <v>보통인부</v>
      </c>
      <c r="F8" s="42"/>
      <c r="G8" s="473">
        <f>SUM(L8:N8)</f>
        <v>22</v>
      </c>
      <c r="H8" s="160">
        <v>2900</v>
      </c>
      <c r="I8" s="160">
        <f>TRUNC(G8*H8,-3)</f>
        <v>63000</v>
      </c>
      <c r="J8" s="185"/>
      <c r="K8" s="156" t="str">
        <f>""&amp;L8&amp;"(월근무일수) + "&amp;M8&amp;"(휴일근무일수)"</f>
        <v>21(월근무일수) + 1(휴일근무일수)</v>
      </c>
      <c r="L8" s="188">
        <f>월기본급!I10</f>
        <v>21</v>
      </c>
      <c r="M8" s="502">
        <f>휴일근로!$F$8</f>
        <v>1</v>
      </c>
      <c r="N8" s="602"/>
    </row>
    <row r="9" spans="1:14" ht="22.5" customHeight="1">
      <c r="A9" s="3"/>
      <c r="B9" s="398" t="str">
        <f>인집!B9</f>
        <v>경비원</v>
      </c>
      <c r="C9" s="399"/>
      <c r="D9" s="389"/>
      <c r="E9" s="603" t="str">
        <f>인집!E9</f>
        <v>보통인부</v>
      </c>
      <c r="F9" s="16"/>
      <c r="G9" s="475">
        <f>SUM(L9:N9)</f>
        <v>22</v>
      </c>
      <c r="H9" s="162">
        <v>2900</v>
      </c>
      <c r="I9" s="162">
        <f>TRUNC(G9*H9,-3)</f>
        <v>63000</v>
      </c>
      <c r="J9" s="193"/>
      <c r="K9" s="157" t="str">
        <f>""&amp;L9&amp;"(월근무일수) + "&amp;M9&amp;"(휴일근무일수)"</f>
        <v>21(월근무일수) + 1(휴일근무일수)</v>
      </c>
      <c r="L9" s="188">
        <f>월기본급!I11</f>
        <v>21</v>
      </c>
      <c r="M9" s="502">
        <f>휴일근로!$F$8</f>
        <v>1</v>
      </c>
      <c r="N9" s="602"/>
    </row>
    <row r="10" ht="19.5" customHeight="1">
      <c r="A10" s="170" t="str">
        <f>"주 1) 수량 : "&amp;월기본급!A1&amp;월기본급!A2&amp;" 참조"</f>
        <v>주 1) 수량 : &lt; 표 : 8 &gt; M/M당기본급산출표 참조</v>
      </c>
    </row>
    <row r="11" ht="19.5" customHeight="1">
      <c r="A11" s="170" t="s">
        <v>207</v>
      </c>
    </row>
    <row r="12" ht="19.5" customHeight="1">
      <c r="A12" s="169" t="s">
        <v>373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5"/>
  <sheetViews>
    <sheetView showGridLines="0" showZeros="0" view="pageBreakPreview" zoomScaleSheetLayoutView="100" zoomScalePageLayoutView="0" workbookViewId="0" topLeftCell="A1">
      <selection activeCell="J9" sqref="J9"/>
    </sheetView>
  </sheetViews>
  <sheetFormatPr defaultColWidth="9.140625" defaultRowHeight="27" customHeight="1"/>
  <cols>
    <col min="1" max="1" width="1.7109375" style="382" customWidth="1"/>
    <col min="2" max="2" width="14.7109375" style="382" customWidth="1"/>
    <col min="3" max="3" width="1.7109375" style="382" customWidth="1"/>
    <col min="4" max="4" width="1.7109375" style="383" customWidth="1"/>
    <col min="5" max="5" width="15.7109375" style="383" customWidth="1"/>
    <col min="6" max="6" width="1.7109375" style="383" customWidth="1"/>
    <col min="7" max="7" width="14.7109375" style="382" customWidth="1"/>
    <col min="8" max="8" width="2.7109375" style="382" customWidth="1"/>
    <col min="9" max="9" width="9.7109375" style="382" customWidth="1"/>
    <col min="10" max="10" width="13.7109375" style="384" customWidth="1"/>
    <col min="11" max="11" width="3.7109375" style="420" customWidth="1"/>
    <col min="12" max="12" width="13.421875" style="384" customWidth="1"/>
    <col min="13" max="16384" width="9.140625" style="382" customWidth="1"/>
  </cols>
  <sheetData>
    <row r="1" spans="1:9" ht="19.5" customHeight="1">
      <c r="A1" s="380" t="s">
        <v>522</v>
      </c>
      <c r="B1" s="381"/>
      <c r="I1" s="383"/>
    </row>
    <row r="2" spans="1:12" s="69" customFormat="1" ht="39.75" customHeight="1">
      <c r="A2" s="68" t="s">
        <v>342</v>
      </c>
      <c r="B2" s="68"/>
      <c r="C2" s="68"/>
      <c r="D2" s="147"/>
      <c r="E2" s="147"/>
      <c r="F2" s="147"/>
      <c r="G2" s="68"/>
      <c r="H2" s="68"/>
      <c r="I2" s="68"/>
      <c r="J2" s="68"/>
      <c r="K2" s="147"/>
      <c r="L2" s="68"/>
    </row>
    <row r="3" spans="1:12" s="69" customFormat="1" ht="19.5" customHeight="1">
      <c r="A3" s="68"/>
      <c r="B3" s="68"/>
      <c r="C3" s="68"/>
      <c r="D3" s="147"/>
      <c r="E3" s="147"/>
      <c r="F3" s="147"/>
      <c r="G3" s="68"/>
      <c r="H3" s="68"/>
      <c r="I3" s="68"/>
      <c r="J3" s="68"/>
      <c r="K3" s="147"/>
      <c r="L3" s="68"/>
    </row>
    <row r="4" spans="1:12" ht="19.5" customHeight="1">
      <c r="A4" s="385"/>
      <c r="B4" s="383"/>
      <c r="C4" s="383"/>
      <c r="G4" s="386"/>
      <c r="H4" s="386"/>
      <c r="I4" s="387"/>
      <c r="J4" s="388"/>
      <c r="K4" s="388"/>
      <c r="L4" s="471" t="s">
        <v>384</v>
      </c>
    </row>
    <row r="5" spans="1:12" s="383" customFormat="1" ht="49.5" customHeight="1">
      <c r="A5" s="403"/>
      <c r="B5" s="404" t="s">
        <v>266</v>
      </c>
      <c r="C5" s="404"/>
      <c r="D5" s="405"/>
      <c r="E5" s="404" t="s">
        <v>340</v>
      </c>
      <c r="F5" s="406"/>
      <c r="G5" s="408" t="s">
        <v>345</v>
      </c>
      <c r="H5" s="413"/>
      <c r="I5" s="416" t="s">
        <v>264</v>
      </c>
      <c r="J5" s="417" t="s">
        <v>341</v>
      </c>
      <c r="K5" s="421"/>
      <c r="L5" s="407" t="s">
        <v>346</v>
      </c>
    </row>
    <row r="6" spans="1:12" s="383" customFormat="1" ht="9.75" customHeight="1">
      <c r="A6" s="390"/>
      <c r="B6" s="391"/>
      <c r="C6" s="391"/>
      <c r="D6" s="392"/>
      <c r="E6" s="391"/>
      <c r="F6" s="393"/>
      <c r="G6" s="409"/>
      <c r="H6" s="412"/>
      <c r="I6" s="393"/>
      <c r="J6" s="418"/>
      <c r="K6" s="422"/>
      <c r="L6" s="394"/>
    </row>
    <row r="7" spans="1:12" ht="30" customHeight="1">
      <c r="A7" s="390"/>
      <c r="B7" s="383"/>
      <c r="C7" s="383"/>
      <c r="D7" s="390"/>
      <c r="F7" s="395"/>
      <c r="G7" s="392" t="s">
        <v>267</v>
      </c>
      <c r="H7" s="393"/>
      <c r="I7" s="412" t="s">
        <v>347</v>
      </c>
      <c r="J7" s="418"/>
      <c r="K7" s="422"/>
      <c r="L7" s="394"/>
    </row>
    <row r="8" spans="1:12" ht="30" customHeight="1">
      <c r="A8" s="390"/>
      <c r="B8" s="396" t="str">
        <f>인집!B7</f>
        <v>기계반장</v>
      </c>
      <c r="C8" s="383"/>
      <c r="D8" s="390"/>
      <c r="E8" s="510" t="str">
        <f>인집!E7</f>
        <v>기계정비공</v>
      </c>
      <c r="F8" s="395"/>
      <c r="G8" s="410">
        <f>인집!K7-인집!J7</f>
        <v>1938176</v>
      </c>
      <c r="H8" s="414"/>
      <c r="I8" s="424">
        <v>0.5</v>
      </c>
      <c r="J8" s="410">
        <f>TRUNC(G8*I8%,0)</f>
        <v>9690</v>
      </c>
      <c r="K8" s="414"/>
      <c r="L8" s="397"/>
    </row>
    <row r="9" spans="1:12" ht="30" customHeight="1">
      <c r="A9" s="390"/>
      <c r="B9" s="396" t="str">
        <f>인집!B8</f>
        <v>미화원</v>
      </c>
      <c r="C9" s="383"/>
      <c r="D9" s="390"/>
      <c r="E9" s="510" t="str">
        <f>인집!E8</f>
        <v>보통인부</v>
      </c>
      <c r="F9" s="395"/>
      <c r="G9" s="410">
        <f>인집!K8-인집!J8</f>
        <v>1418619</v>
      </c>
      <c r="H9" s="414"/>
      <c r="I9" s="424">
        <v>0.5</v>
      </c>
      <c r="J9" s="410">
        <f>TRUNC(G9*I9%,0)</f>
        <v>7093</v>
      </c>
      <c r="K9" s="414"/>
      <c r="L9" s="397"/>
    </row>
    <row r="10" spans="1:12" ht="30" customHeight="1">
      <c r="A10" s="390"/>
      <c r="B10" s="396" t="str">
        <f>인집!B9</f>
        <v>경비원</v>
      </c>
      <c r="C10" s="383"/>
      <c r="D10" s="390"/>
      <c r="E10" s="510" t="str">
        <f>인집!E9</f>
        <v>보통인부</v>
      </c>
      <c r="F10" s="395"/>
      <c r="G10" s="410">
        <f>인집!K9-인집!J9</f>
        <v>1418619</v>
      </c>
      <c r="H10" s="414"/>
      <c r="I10" s="424">
        <v>0.5</v>
      </c>
      <c r="J10" s="410">
        <f>TRUNC(G10*I10%,0)</f>
        <v>7093</v>
      </c>
      <c r="K10" s="414"/>
      <c r="L10" s="397"/>
    </row>
    <row r="11" spans="1:12" ht="9.75" customHeight="1">
      <c r="A11" s="389"/>
      <c r="B11" s="398"/>
      <c r="C11" s="399"/>
      <c r="D11" s="389"/>
      <c r="E11" s="399"/>
      <c r="F11" s="400"/>
      <c r="G11" s="411"/>
      <c r="H11" s="415"/>
      <c r="I11" s="401"/>
      <c r="J11" s="419"/>
      <c r="K11" s="423"/>
      <c r="L11" s="402"/>
    </row>
    <row r="12" spans="1:9" ht="24.75" customHeight="1">
      <c r="A12" s="380" t="str">
        <f>"주 1) 적용대상액(급여액) : "&amp;인집!A1&amp;인집!A2&amp;" 참조"</f>
        <v>주 1) 적용대상액(급여액) : &lt; 표 : 4 &gt; 단위당인건비집계표 참조</v>
      </c>
      <c r="B12" s="380"/>
      <c r="I12" s="383"/>
    </row>
    <row r="13" spans="1:9" ht="24.75" customHeight="1">
      <c r="A13" s="380" t="s">
        <v>385</v>
      </c>
      <c r="B13" s="381"/>
      <c r="I13" s="383"/>
    </row>
    <row r="14" spans="1:9" ht="27" customHeight="1">
      <c r="A14" s="381"/>
      <c r="B14" s="380"/>
      <c r="I14" s="383"/>
    </row>
    <row r="15" ht="27" customHeight="1">
      <c r="B15" s="380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view="pageBreakPreview" zoomScaleSheetLayoutView="100" zoomScalePageLayoutView="0" workbookViewId="0" topLeftCell="A1">
      <selection activeCell="L13" sqref="L13"/>
    </sheetView>
  </sheetViews>
  <sheetFormatPr defaultColWidth="9.140625" defaultRowHeight="27" customHeight="1"/>
  <cols>
    <col min="1" max="1" width="1.7109375" style="382" customWidth="1"/>
    <col min="2" max="2" width="14.7109375" style="382" customWidth="1"/>
    <col min="3" max="3" width="1.7109375" style="382" customWidth="1"/>
    <col min="4" max="4" width="1.7109375" style="383" customWidth="1"/>
    <col min="5" max="5" width="15.7109375" style="383" customWidth="1"/>
    <col min="6" max="6" width="1.7109375" style="383" customWidth="1"/>
    <col min="7" max="7" width="12.7109375" style="382" customWidth="1"/>
    <col min="8" max="8" width="1.7109375" style="382" customWidth="1"/>
    <col min="9" max="9" width="9.7109375" style="382" customWidth="1"/>
    <col min="10" max="10" width="13.7109375" style="384" customWidth="1"/>
    <col min="11" max="11" width="2.7109375" style="420" customWidth="1"/>
    <col min="12" max="12" width="17.57421875" style="384" customWidth="1"/>
    <col min="13" max="16384" width="9.140625" style="382" customWidth="1"/>
  </cols>
  <sheetData>
    <row r="1" spans="1:9" ht="19.5" customHeight="1">
      <c r="A1" s="380" t="s">
        <v>523</v>
      </c>
      <c r="B1" s="381"/>
      <c r="I1" s="383"/>
    </row>
    <row r="2" spans="1:12" s="69" customFormat="1" ht="39.75" customHeight="1">
      <c r="A2" s="68" t="s">
        <v>364</v>
      </c>
      <c r="B2" s="68"/>
      <c r="C2" s="68"/>
      <c r="D2" s="147"/>
      <c r="E2" s="147"/>
      <c r="F2" s="147"/>
      <c r="G2" s="68"/>
      <c r="H2" s="68"/>
      <c r="I2" s="68"/>
      <c r="J2" s="68"/>
      <c r="K2" s="147"/>
      <c r="L2" s="68"/>
    </row>
    <row r="3" spans="1:12" s="69" customFormat="1" ht="19.5" customHeight="1">
      <c r="A3" s="68"/>
      <c r="B3" s="68"/>
      <c r="C3" s="68"/>
      <c r="D3" s="147"/>
      <c r="E3" s="147"/>
      <c r="F3" s="147"/>
      <c r="G3" s="68"/>
      <c r="H3" s="68"/>
      <c r="I3" s="68"/>
      <c r="J3" s="68"/>
      <c r="K3" s="147"/>
      <c r="L3" s="68"/>
    </row>
    <row r="4" spans="1:12" ht="19.5" customHeight="1">
      <c r="A4" s="385"/>
      <c r="B4" s="383"/>
      <c r="C4" s="383"/>
      <c r="G4" s="386"/>
      <c r="H4" s="386"/>
      <c r="I4" s="387"/>
      <c r="J4" s="388"/>
      <c r="K4" s="388"/>
      <c r="L4" s="471" t="s">
        <v>384</v>
      </c>
    </row>
    <row r="5" spans="1:12" s="383" customFormat="1" ht="49.5" customHeight="1">
      <c r="A5" s="403"/>
      <c r="B5" s="404" t="s">
        <v>266</v>
      </c>
      <c r="C5" s="404"/>
      <c r="D5" s="405"/>
      <c r="E5" s="404" t="s">
        <v>340</v>
      </c>
      <c r="F5" s="406"/>
      <c r="G5" s="408" t="s">
        <v>366</v>
      </c>
      <c r="H5" s="413"/>
      <c r="I5" s="416" t="s">
        <v>365</v>
      </c>
      <c r="J5" s="417" t="s">
        <v>367</v>
      </c>
      <c r="K5" s="421"/>
      <c r="L5" s="407" t="s">
        <v>346</v>
      </c>
    </row>
    <row r="6" spans="1:12" s="383" customFormat="1" ht="9.75" customHeight="1">
      <c r="A6" s="390"/>
      <c r="B6" s="391"/>
      <c r="C6" s="391"/>
      <c r="D6" s="392"/>
      <c r="E6" s="391"/>
      <c r="F6" s="393"/>
      <c r="G6" s="409"/>
      <c r="H6" s="412"/>
      <c r="I6" s="393"/>
      <c r="J6" s="418"/>
      <c r="K6" s="422"/>
      <c r="L6" s="394"/>
    </row>
    <row r="7" spans="1:12" ht="30" customHeight="1">
      <c r="A7" s="390"/>
      <c r="B7" s="396" t="str">
        <f>인집!B7</f>
        <v>기계반장</v>
      </c>
      <c r="C7" s="383"/>
      <c r="D7" s="390"/>
      <c r="E7" s="510" t="str">
        <f>인집!E7</f>
        <v>기계정비공</v>
      </c>
      <c r="F7" s="395"/>
      <c r="G7" s="410">
        <v>100000</v>
      </c>
      <c r="H7" s="414"/>
      <c r="I7" s="434">
        <v>12</v>
      </c>
      <c r="J7" s="410">
        <f>TRUNC(G7/I7)</f>
        <v>8333</v>
      </c>
      <c r="K7" s="414"/>
      <c r="L7" s="397"/>
    </row>
    <row r="8" spans="1:12" ht="30" customHeight="1">
      <c r="A8" s="390"/>
      <c r="B8" s="396" t="str">
        <f>인집!B8</f>
        <v>미화원</v>
      </c>
      <c r="C8" s="383"/>
      <c r="D8" s="390"/>
      <c r="E8" s="510" t="str">
        <f>인집!E8</f>
        <v>보통인부</v>
      </c>
      <c r="F8" s="395"/>
      <c r="G8" s="410"/>
      <c r="H8" s="414"/>
      <c r="I8" s="434">
        <v>12</v>
      </c>
      <c r="J8" s="410">
        <f>TRUNC(G8/I8)</f>
        <v>0</v>
      </c>
      <c r="K8" s="414"/>
      <c r="L8" s="397"/>
    </row>
    <row r="9" spans="1:12" ht="30" customHeight="1">
      <c r="A9" s="390"/>
      <c r="B9" s="396" t="str">
        <f>인집!B9</f>
        <v>경비원</v>
      </c>
      <c r="C9" s="383"/>
      <c r="D9" s="390"/>
      <c r="E9" s="510" t="str">
        <f>인집!E9</f>
        <v>보통인부</v>
      </c>
      <c r="F9" s="395"/>
      <c r="G9" s="410"/>
      <c r="H9" s="414"/>
      <c r="I9" s="434">
        <v>12</v>
      </c>
      <c r="J9" s="410">
        <f>TRUNC(G9/I9)</f>
        <v>0</v>
      </c>
      <c r="K9" s="414"/>
      <c r="L9" s="397"/>
    </row>
    <row r="10" spans="1:12" ht="9.75" customHeight="1">
      <c r="A10" s="389"/>
      <c r="B10" s="398"/>
      <c r="C10" s="399"/>
      <c r="D10" s="389"/>
      <c r="E10" s="399"/>
      <c r="F10" s="400"/>
      <c r="G10" s="411"/>
      <c r="H10" s="415"/>
      <c r="I10" s="401"/>
      <c r="J10" s="419"/>
      <c r="K10" s="423"/>
      <c r="L10" s="402"/>
    </row>
    <row r="11" spans="1:9" ht="24.75" customHeight="1">
      <c r="A11" s="380" t="s">
        <v>383</v>
      </c>
      <c r="B11" s="380"/>
      <c r="I11" s="383"/>
    </row>
    <row r="12" spans="1:9" ht="27" customHeight="1">
      <c r="A12" s="381"/>
      <c r="B12" s="380"/>
      <c r="I12" s="383"/>
    </row>
    <row r="13" spans="2:9" ht="27" customHeight="1">
      <c r="B13" s="380"/>
      <c r="I13" s="383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showGridLines="0" showZeros="0" tabSelected="1" view="pageBreakPreview" zoomScaleSheetLayoutView="100" zoomScalePageLayoutView="0" workbookViewId="0" topLeftCell="A1">
      <selection activeCell="P9" sqref="P9"/>
    </sheetView>
  </sheetViews>
  <sheetFormatPr defaultColWidth="9.140625" defaultRowHeight="12"/>
  <cols>
    <col min="1" max="1" width="5.7109375" style="188" customWidth="1"/>
    <col min="2" max="2" width="1.7109375" style="188" customWidth="1"/>
    <col min="3" max="3" width="12.7109375" style="190" customWidth="1"/>
    <col min="4" max="5" width="1.7109375" style="190" customWidth="1"/>
    <col min="6" max="6" width="14.7109375" style="190" customWidth="1"/>
    <col min="7" max="7" width="1.7109375" style="190" customWidth="1"/>
    <col min="8" max="8" width="5.7109375" style="188" customWidth="1"/>
    <col min="9" max="9" width="1.1484375" style="190" customWidth="1"/>
    <col min="10" max="10" width="12.7109375" style="190" customWidth="1"/>
    <col min="11" max="11" width="12.7109375" style="158" customWidth="1"/>
    <col min="12" max="12" width="6.7109375" style="158" customWidth="1"/>
    <col min="13" max="13" width="1.7109375" style="159" customWidth="1"/>
    <col min="14" max="14" width="14.7109375" style="159" customWidth="1"/>
    <col min="15" max="15" width="17.8515625" style="188" bestFit="1" customWidth="1"/>
    <col min="16" max="16" width="16.57421875" style="188" customWidth="1"/>
    <col min="17" max="16384" width="9.140625" style="188" customWidth="1"/>
  </cols>
  <sheetData>
    <row r="1" ht="19.5" customHeight="1">
      <c r="A1" s="220" t="s">
        <v>381</v>
      </c>
    </row>
    <row r="2" spans="1:14" ht="39.75" customHeight="1">
      <c r="A2" s="165" t="s">
        <v>441</v>
      </c>
      <c r="B2" s="165"/>
      <c r="C2" s="166"/>
      <c r="D2" s="166"/>
      <c r="E2" s="166"/>
      <c r="F2" s="166"/>
      <c r="G2" s="166"/>
      <c r="H2" s="165"/>
      <c r="I2" s="166"/>
      <c r="J2" s="166"/>
      <c r="K2" s="166"/>
      <c r="L2" s="166"/>
      <c r="M2" s="165"/>
      <c r="N2" s="165"/>
    </row>
    <row r="3" spans="1:14" ht="19.5" customHeight="1">
      <c r="A3" s="168"/>
      <c r="B3" s="168"/>
      <c r="C3" s="284"/>
      <c r="D3" s="284"/>
      <c r="E3" s="284"/>
      <c r="F3" s="284"/>
      <c r="G3" s="284"/>
      <c r="H3" s="168"/>
      <c r="I3" s="284"/>
      <c r="J3" s="284"/>
      <c r="K3" s="284"/>
      <c r="L3" s="284"/>
      <c r="M3" s="168"/>
      <c r="N3" s="168"/>
    </row>
    <row r="4" spans="1:14" ht="19.5" customHeight="1">
      <c r="A4" s="606" t="s">
        <v>545</v>
      </c>
      <c r="N4" s="267" t="s">
        <v>225</v>
      </c>
    </row>
    <row r="5" spans="1:14" ht="39.75" customHeight="1">
      <c r="A5" s="516" t="s">
        <v>352</v>
      </c>
      <c r="B5" s="517" t="s">
        <v>354</v>
      </c>
      <c r="C5" s="517"/>
      <c r="D5" s="517"/>
      <c r="E5" s="24"/>
      <c r="F5" s="23" t="s">
        <v>353</v>
      </c>
      <c r="G5" s="22"/>
      <c r="H5" s="518" t="s">
        <v>224</v>
      </c>
      <c r="I5" s="519"/>
      <c r="J5" s="520" t="s">
        <v>18</v>
      </c>
      <c r="K5" s="500" t="s">
        <v>19</v>
      </c>
      <c r="L5" s="521" t="s">
        <v>20</v>
      </c>
      <c r="M5" s="519"/>
      <c r="N5" s="500" t="s">
        <v>21</v>
      </c>
    </row>
    <row r="6" spans="1:14" ht="22.5" customHeight="1">
      <c r="A6" s="610"/>
      <c r="B6" s="611"/>
      <c r="C6" s="36" t="str">
        <f>인집!B7</f>
        <v>기계반장</v>
      </c>
      <c r="D6" s="36"/>
      <c r="E6" s="612"/>
      <c r="F6" s="613" t="str">
        <f>인집!E7</f>
        <v>기계정비공</v>
      </c>
      <c r="G6" s="614"/>
      <c r="H6" s="260">
        <f>투입인원!F7</f>
        <v>1</v>
      </c>
      <c r="I6" s="228"/>
      <c r="J6" s="228">
        <f>원가!G35</f>
        <v>2811668</v>
      </c>
      <c r="K6" s="163">
        <f>TRUNC(J6*H6,0)</f>
        <v>2811668</v>
      </c>
      <c r="L6" s="615">
        <v>2.5</v>
      </c>
      <c r="M6" s="228"/>
      <c r="N6" s="163">
        <f>TRUNC(K6*L6,0)</f>
        <v>7029170</v>
      </c>
    </row>
    <row r="7" spans="1:14" ht="22.5" customHeight="1">
      <c r="A7" s="26"/>
      <c r="B7" s="524"/>
      <c r="C7" s="249" t="str">
        <f>인집!B8</f>
        <v>미화원</v>
      </c>
      <c r="D7" s="249"/>
      <c r="E7" s="525"/>
      <c r="F7" s="249" t="str">
        <f>인집!E8</f>
        <v>보통인부</v>
      </c>
      <c r="G7" s="526"/>
      <c r="H7" s="527">
        <f>투입인원!F9</f>
        <v>1</v>
      </c>
      <c r="I7" s="503"/>
      <c r="J7" s="503">
        <f>원가!G68</f>
        <v>2071663</v>
      </c>
      <c r="K7" s="163">
        <f>TRUNC(J7*H7,0)</f>
        <v>2071663</v>
      </c>
      <c r="L7" s="615">
        <v>2.5</v>
      </c>
      <c r="M7" s="228"/>
      <c r="N7" s="163">
        <f>TRUNC(K7*L7,0)</f>
        <v>5179157</v>
      </c>
    </row>
    <row r="8" spans="1:16" ht="22.5" customHeight="1">
      <c r="A8" s="26"/>
      <c r="B8" s="524"/>
      <c r="C8" s="249" t="str">
        <f>인집!B9</f>
        <v>경비원</v>
      </c>
      <c r="D8" s="249"/>
      <c r="E8" s="525"/>
      <c r="F8" s="249" t="str">
        <f>인집!E9</f>
        <v>보통인부</v>
      </c>
      <c r="G8" s="526"/>
      <c r="H8" s="527">
        <f>투입인원!F15</f>
        <v>4</v>
      </c>
      <c r="I8" s="503"/>
      <c r="J8" s="503">
        <f>원가!G101</f>
        <v>2071663</v>
      </c>
      <c r="K8" s="162">
        <f>TRUNC(J8*H8,0)</f>
        <v>8286652</v>
      </c>
      <c r="L8" s="609">
        <v>2.5</v>
      </c>
      <c r="M8" s="503"/>
      <c r="N8" s="162">
        <f>TRUNC(K8*L8,0)</f>
        <v>20716630</v>
      </c>
      <c r="P8" s="523"/>
    </row>
    <row r="9" spans="1:16" ht="22.5" customHeight="1">
      <c r="A9" s="500" t="s">
        <v>26</v>
      </c>
      <c r="B9" s="235"/>
      <c r="C9" s="235"/>
      <c r="D9" s="235"/>
      <c r="E9" s="13"/>
      <c r="F9" s="36"/>
      <c r="G9" s="12"/>
      <c r="H9" s="260">
        <f>SUM(H6:H8)</f>
        <v>6</v>
      </c>
      <c r="I9" s="228"/>
      <c r="J9" s="228"/>
      <c r="K9" s="163">
        <f>SUM(K6:K8)</f>
        <v>13169983</v>
      </c>
      <c r="L9" s="186"/>
      <c r="M9" s="228"/>
      <c r="N9" s="163">
        <f>SUM(N6:N8)</f>
        <v>32924957</v>
      </c>
      <c r="O9" s="528"/>
      <c r="P9" s="529"/>
    </row>
    <row r="10" spans="1:16" ht="22.5" customHeight="1">
      <c r="A10" s="625"/>
      <c r="B10" s="626"/>
      <c r="C10" s="626"/>
      <c r="D10" s="627"/>
      <c r="E10" s="625"/>
      <c r="F10" s="626"/>
      <c r="G10" s="627"/>
      <c r="H10" s="618"/>
      <c r="I10" s="619"/>
      <c r="J10" s="163"/>
      <c r="K10" s="163"/>
      <c r="L10" s="618"/>
      <c r="M10" s="619"/>
      <c r="N10" s="604" t="s">
        <v>540</v>
      </c>
      <c r="O10" s="528"/>
      <c r="P10" s="529"/>
    </row>
    <row r="11" spans="1:16" ht="22.5" customHeight="1">
      <c r="A11" s="622" t="s">
        <v>541</v>
      </c>
      <c r="B11" s="623"/>
      <c r="C11" s="623"/>
      <c r="D11" s="624"/>
      <c r="E11" s="622"/>
      <c r="F11" s="623"/>
      <c r="G11" s="624"/>
      <c r="H11" s="620"/>
      <c r="I11" s="621"/>
      <c r="J11" s="605"/>
      <c r="K11" s="605"/>
      <c r="L11" s="620"/>
      <c r="M11" s="621"/>
      <c r="N11" s="605">
        <v>32924950</v>
      </c>
      <c r="O11" s="528"/>
      <c r="P11" s="529"/>
    </row>
    <row r="12" spans="1:15" ht="19.5" customHeight="1">
      <c r="A12" s="225"/>
      <c r="B12" s="225"/>
      <c r="C12" s="225"/>
      <c r="D12" s="225"/>
      <c r="E12" s="33"/>
      <c r="F12" s="41"/>
      <c r="G12" s="33"/>
      <c r="H12" s="33"/>
      <c r="I12" s="33"/>
      <c r="J12" s="33"/>
      <c r="M12" s="158"/>
      <c r="N12" s="158"/>
      <c r="O12" s="528"/>
    </row>
    <row r="13" spans="1:14" ht="19.5" customHeight="1">
      <c r="A13" s="225" t="str">
        <f>"   2) 단위(1인)당용역비 : "&amp;원가집계!A1&amp;원가집계!A2&amp;" 참조(부가가치세 포함)"</f>
        <v>   2) 단위(1인)당용역비 : &lt; 표 : 2 &gt; 용역원가계산서 참조(부가가치세 포함)</v>
      </c>
      <c r="B13" s="225"/>
      <c r="C13" s="225"/>
      <c r="D13" s="225"/>
      <c r="E13" s="33"/>
      <c r="F13" s="41"/>
      <c r="G13" s="33"/>
      <c r="H13" s="33"/>
      <c r="I13" s="33"/>
      <c r="J13" s="33"/>
      <c r="M13" s="158"/>
      <c r="N13" s="530"/>
    </row>
    <row r="14" spans="1:14" ht="19.5" customHeight="1">
      <c r="A14" s="257" t="s">
        <v>226</v>
      </c>
      <c r="B14" s="257"/>
      <c r="C14" s="225"/>
      <c r="D14" s="225"/>
      <c r="E14" s="33"/>
      <c r="F14" s="41"/>
      <c r="G14" s="33"/>
      <c r="H14" s="33"/>
      <c r="I14" s="33"/>
      <c r="J14" s="33"/>
      <c r="M14" s="158"/>
      <c r="N14" s="530"/>
    </row>
    <row r="15" spans="1:14" ht="19.5" customHeight="1">
      <c r="A15" s="257" t="s">
        <v>454</v>
      </c>
      <c r="B15" s="257"/>
      <c r="C15" s="225"/>
      <c r="D15" s="225"/>
      <c r="E15" s="33"/>
      <c r="F15" s="41"/>
      <c r="G15" s="33"/>
      <c r="H15" s="33"/>
      <c r="I15" s="33"/>
      <c r="J15" s="33"/>
      <c r="M15" s="158"/>
      <c r="N15" s="530"/>
    </row>
    <row r="16" spans="1:14" ht="19.5" customHeight="1">
      <c r="A16" s="257" t="s">
        <v>227</v>
      </c>
      <c r="B16" s="257"/>
      <c r="C16" s="225"/>
      <c r="D16" s="225"/>
      <c r="E16" s="33"/>
      <c r="F16" s="41"/>
      <c r="G16" s="33"/>
      <c r="H16" s="33"/>
      <c r="I16" s="33"/>
      <c r="J16" s="33"/>
      <c r="M16" s="158"/>
      <c r="N16" s="158"/>
    </row>
  </sheetData>
  <sheetProtection/>
  <mergeCells count="8">
    <mergeCell ref="H10:I10"/>
    <mergeCell ref="H11:I11"/>
    <mergeCell ref="L10:M10"/>
    <mergeCell ref="L11:M11"/>
    <mergeCell ref="A11:D11"/>
    <mergeCell ref="A10:D10"/>
    <mergeCell ref="E10:G10"/>
    <mergeCell ref="E11:G1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view="pageBreakPreview" zoomScaleSheetLayoutView="100" zoomScalePageLayoutView="0" workbookViewId="0" topLeftCell="A1">
      <selection activeCell="N14" sqref="N14"/>
    </sheetView>
  </sheetViews>
  <sheetFormatPr defaultColWidth="9.140625" defaultRowHeight="27" customHeight="1"/>
  <cols>
    <col min="1" max="1" width="1.7109375" style="84" customWidth="1"/>
    <col min="2" max="2" width="12.7109375" style="84" customWidth="1"/>
    <col min="3" max="3" width="1.7109375" style="84" customWidth="1"/>
    <col min="4" max="4" width="1.7109375" style="74" customWidth="1"/>
    <col min="5" max="5" width="14.7109375" style="74" customWidth="1"/>
    <col min="6" max="6" width="1.7109375" style="74" customWidth="1"/>
    <col min="7" max="7" width="13.140625" style="84" customWidth="1"/>
    <col min="8" max="8" width="12.7109375" style="84" customWidth="1"/>
    <col min="9" max="9" width="13.7109375" style="84" customWidth="1"/>
    <col min="10" max="10" width="8.7109375" style="84" customWidth="1"/>
    <col min="11" max="11" width="12.7109375" style="93" customWidth="1"/>
    <col min="12" max="16384" width="9.140625" style="84" customWidth="1"/>
  </cols>
  <sheetData>
    <row r="1" spans="1:10" ht="19.5" customHeight="1">
      <c r="A1" s="67" t="s">
        <v>452</v>
      </c>
      <c r="B1" s="94"/>
      <c r="J1" s="74"/>
    </row>
    <row r="2" spans="1:11" s="69" customFormat="1" ht="39.75" customHeight="1">
      <c r="A2" s="68" t="s">
        <v>150</v>
      </c>
      <c r="B2" s="68"/>
      <c r="C2" s="68"/>
      <c r="D2" s="147"/>
      <c r="E2" s="147"/>
      <c r="F2" s="147"/>
      <c r="G2" s="68"/>
      <c r="H2" s="68"/>
      <c r="I2" s="68"/>
      <c r="J2" s="68"/>
      <c r="K2" s="68"/>
    </row>
    <row r="3" spans="1:11" s="69" customFormat="1" ht="19.5" customHeight="1">
      <c r="A3" s="68"/>
      <c r="B3" s="68"/>
      <c r="C3" s="68"/>
      <c r="D3" s="147"/>
      <c r="E3" s="147"/>
      <c r="F3" s="147"/>
      <c r="G3" s="68"/>
      <c r="H3" s="68"/>
      <c r="I3" s="68"/>
      <c r="J3" s="68"/>
      <c r="K3" s="68"/>
    </row>
    <row r="4" spans="1:11" ht="19.5" customHeight="1">
      <c r="A4" s="298"/>
      <c r="B4" s="74"/>
      <c r="C4" s="74"/>
      <c r="G4" s="299"/>
      <c r="H4" s="299"/>
      <c r="I4" s="299"/>
      <c r="J4" s="300"/>
      <c r="K4" s="471" t="s">
        <v>384</v>
      </c>
    </row>
    <row r="5" spans="1:11" s="74" customFormat="1" ht="24.75" customHeight="1">
      <c r="A5" s="70"/>
      <c r="B5" s="692" t="s">
        <v>151</v>
      </c>
      <c r="C5" s="71"/>
      <c r="D5" s="694"/>
      <c r="E5" s="692" t="s">
        <v>152</v>
      </c>
      <c r="F5" s="696"/>
      <c r="G5" s="73" t="s">
        <v>153</v>
      </c>
      <c r="H5" s="73"/>
      <c r="I5" s="73"/>
      <c r="J5" s="688" t="s">
        <v>264</v>
      </c>
      <c r="K5" s="690" t="s">
        <v>154</v>
      </c>
    </row>
    <row r="6" spans="1:11" s="74" customFormat="1" ht="24.75" customHeight="1">
      <c r="A6" s="75"/>
      <c r="B6" s="693"/>
      <c r="C6" s="76"/>
      <c r="D6" s="695"/>
      <c r="E6" s="693"/>
      <c r="F6" s="697"/>
      <c r="G6" s="78" t="s">
        <v>155</v>
      </c>
      <c r="H6" s="78" t="s">
        <v>156</v>
      </c>
      <c r="I6" s="78" t="s">
        <v>26</v>
      </c>
      <c r="J6" s="689"/>
      <c r="K6" s="691"/>
    </row>
    <row r="7" spans="1:11" s="74" customFormat="1" ht="9.75" customHeight="1">
      <c r="A7" s="79"/>
      <c r="B7" s="87"/>
      <c r="C7" s="87"/>
      <c r="D7" s="98"/>
      <c r="E7" s="87"/>
      <c r="F7" s="99"/>
      <c r="G7" s="82"/>
      <c r="H7" s="82"/>
      <c r="I7" s="82"/>
      <c r="J7" s="81"/>
      <c r="K7" s="83"/>
    </row>
    <row r="8" spans="1:11" ht="30" customHeight="1">
      <c r="A8" s="79"/>
      <c r="B8" s="74"/>
      <c r="C8" s="74"/>
      <c r="D8" s="79"/>
      <c r="F8" s="80"/>
      <c r="G8" s="81" t="s">
        <v>343</v>
      </c>
      <c r="H8" s="81" t="s">
        <v>13</v>
      </c>
      <c r="I8" s="81"/>
      <c r="J8" s="82" t="s">
        <v>344</v>
      </c>
      <c r="K8" s="83"/>
    </row>
    <row r="9" spans="1:11" ht="30" customHeight="1">
      <c r="A9" s="79"/>
      <c r="B9" s="85" t="str">
        <f>인집!B7</f>
        <v>기계반장</v>
      </c>
      <c r="C9" s="74"/>
      <c r="D9" s="79"/>
      <c r="E9" s="511" t="str">
        <f>인집!E7</f>
        <v>기계정비공</v>
      </c>
      <c r="F9" s="80"/>
      <c r="G9" s="97">
        <f>인집!K7</f>
        <v>1938176</v>
      </c>
      <c r="H9" s="97">
        <f>경비집계표!E18</f>
        <v>274865</v>
      </c>
      <c r="I9" s="97">
        <f>SUM(G9:H9)</f>
        <v>2213041</v>
      </c>
      <c r="J9" s="95">
        <v>5</v>
      </c>
      <c r="K9" s="97">
        <f>TRUNC(I9*J9%,0)</f>
        <v>110652</v>
      </c>
    </row>
    <row r="10" spans="1:11" ht="30" customHeight="1">
      <c r="A10" s="79"/>
      <c r="B10" s="85" t="str">
        <f>인집!B8</f>
        <v>미화원</v>
      </c>
      <c r="C10" s="74"/>
      <c r="D10" s="79"/>
      <c r="E10" s="86" t="str">
        <f>인집!E8</f>
        <v>보통인부</v>
      </c>
      <c r="F10" s="80"/>
      <c r="G10" s="97">
        <f>인집!K8</f>
        <v>1418619</v>
      </c>
      <c r="H10" s="97">
        <f>경비집계표!F18</f>
        <v>211971</v>
      </c>
      <c r="I10" s="97">
        <f>SUM(G10:H10)</f>
        <v>1630590</v>
      </c>
      <c r="J10" s="95">
        <v>5</v>
      </c>
      <c r="K10" s="97">
        <f>TRUNC(I10*J10%,0)</f>
        <v>81529</v>
      </c>
    </row>
    <row r="11" spans="1:11" ht="30" customHeight="1">
      <c r="A11" s="79"/>
      <c r="B11" s="85" t="str">
        <f>인집!B9</f>
        <v>경비원</v>
      </c>
      <c r="C11" s="74"/>
      <c r="D11" s="79"/>
      <c r="E11" s="86" t="str">
        <f>인집!E9</f>
        <v>보통인부</v>
      </c>
      <c r="F11" s="80"/>
      <c r="G11" s="97">
        <f>인집!K9</f>
        <v>1418619</v>
      </c>
      <c r="H11" s="97">
        <f>경비집계표!G18</f>
        <v>211971</v>
      </c>
      <c r="I11" s="97">
        <f>SUM(G11:H11)</f>
        <v>1630590</v>
      </c>
      <c r="J11" s="95">
        <v>5</v>
      </c>
      <c r="K11" s="97">
        <f>TRUNC(I11*J11%,0)</f>
        <v>81529</v>
      </c>
    </row>
    <row r="12" spans="1:11" ht="9.75" customHeight="1">
      <c r="A12" s="75"/>
      <c r="B12" s="88"/>
      <c r="C12" s="89"/>
      <c r="D12" s="75"/>
      <c r="E12" s="89"/>
      <c r="F12" s="90"/>
      <c r="G12" s="149"/>
      <c r="H12" s="149"/>
      <c r="I12" s="149"/>
      <c r="J12" s="148"/>
      <c r="K12" s="150"/>
    </row>
    <row r="13" spans="1:10" ht="24.75" customHeight="1">
      <c r="A13" s="67" t="str">
        <f>"주 1) 인건비 : "&amp;인집!A1&amp;""&amp;인집!A2&amp;" 참조"</f>
        <v>주 1) 인건비 : &lt; 표 : 4 &gt; 단위당인건비집계표 참조</v>
      </c>
      <c r="B13" s="67"/>
      <c r="J13" s="74"/>
    </row>
    <row r="14" spans="1:10" ht="24.75" customHeight="1">
      <c r="A14" s="94" t="str">
        <f>"   2) 경비 : "&amp;경비집계표!A1&amp;""&amp;경비집계표!A2&amp;" 참조"</f>
        <v>   2) 경비 : &lt; 표 : 11 &gt; 경비집계표 참조</v>
      </c>
      <c r="B14" s="67"/>
      <c r="J14" s="74"/>
    </row>
    <row r="15" spans="1:10" ht="24.75" customHeight="1">
      <c r="A15" s="67" t="str">
        <f>"   3) 비율(%) : "&amp;일반비율!A1&amp;""&amp;일반비율!A2&amp;" 참조"</f>
        <v>   3) 비율(%) : &lt; 표 : 23 &gt; 일반관리비율산출표 참조</v>
      </c>
      <c r="B15" s="94"/>
      <c r="J15" s="74"/>
    </row>
    <row r="16" spans="1:10" ht="27" customHeight="1">
      <c r="A16" s="94"/>
      <c r="B16" s="67"/>
      <c r="J16" s="74"/>
    </row>
    <row r="17" ht="27" customHeight="1">
      <c r="B17" s="67"/>
    </row>
  </sheetData>
  <sheetProtection/>
  <mergeCells count="6">
    <mergeCell ref="J5:J6"/>
    <mergeCell ref="K5:K6"/>
    <mergeCell ref="B5:B6"/>
    <mergeCell ref="D5:D6"/>
    <mergeCell ref="E5:E6"/>
    <mergeCell ref="F5:F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view="pageBreakPreview" zoomScaleSheetLayoutView="100" zoomScalePageLayoutView="0" workbookViewId="0" topLeftCell="A13">
      <selection activeCell="L9" sqref="L9"/>
    </sheetView>
  </sheetViews>
  <sheetFormatPr defaultColWidth="9.140625" defaultRowHeight="23.25" customHeight="1"/>
  <cols>
    <col min="1" max="1" width="1.7109375" style="103" customWidth="1"/>
    <col min="2" max="2" width="3.7109375" style="103" customWidth="1"/>
    <col min="3" max="3" width="29.7109375" style="128" customWidth="1"/>
    <col min="4" max="4" width="1.7109375" style="103" customWidth="1"/>
    <col min="5" max="5" width="15.7109375" style="124" customWidth="1"/>
    <col min="6" max="6" width="2.7109375" style="124" customWidth="1"/>
    <col min="7" max="7" width="15.7109375" style="103" customWidth="1"/>
    <col min="8" max="8" width="2.7109375" style="103" customWidth="1"/>
    <col min="9" max="9" width="21.57421875" style="103" customWidth="1"/>
    <col min="10" max="16384" width="9.140625" style="103" customWidth="1"/>
  </cols>
  <sheetData>
    <row r="1" spans="1:6" ht="19.5" customHeight="1">
      <c r="A1" s="101" t="s">
        <v>453</v>
      </c>
      <c r="B1" s="102"/>
      <c r="C1" s="103"/>
      <c r="D1" s="102"/>
      <c r="E1" s="104"/>
      <c r="F1" s="104"/>
    </row>
    <row r="2" spans="1:9" ht="39.75" customHeight="1">
      <c r="A2" s="105" t="s">
        <v>186</v>
      </c>
      <c r="B2" s="106"/>
      <c r="C2" s="106"/>
      <c r="D2" s="106"/>
      <c r="E2" s="107"/>
      <c r="F2" s="107"/>
      <c r="G2" s="106"/>
      <c r="H2" s="106"/>
      <c r="I2" s="106"/>
    </row>
    <row r="3" spans="1:9" ht="19.5" customHeight="1">
      <c r="A3" s="115"/>
      <c r="B3" s="106"/>
      <c r="C3" s="106"/>
      <c r="D3" s="106"/>
      <c r="E3" s="107"/>
      <c r="F3" s="107"/>
      <c r="G3" s="106"/>
      <c r="H3" s="106"/>
      <c r="I3" s="106"/>
    </row>
    <row r="4" spans="1:9" ht="19.5" customHeight="1">
      <c r="A4" s="108" t="s">
        <v>187</v>
      </c>
      <c r="B4" s="301"/>
      <c r="C4" s="106"/>
      <c r="D4" s="301"/>
      <c r="E4" s="302"/>
      <c r="F4" s="302"/>
      <c r="G4" s="106"/>
      <c r="H4" s="106"/>
      <c r="I4" s="106"/>
    </row>
    <row r="5" spans="1:9" ht="49.5" customHeight="1">
      <c r="A5" s="109"/>
      <c r="B5" s="698" t="s">
        <v>188</v>
      </c>
      <c r="C5" s="698"/>
      <c r="D5" s="110"/>
      <c r="E5" s="111" t="s">
        <v>189</v>
      </c>
      <c r="F5" s="111"/>
      <c r="G5" s="699" t="s">
        <v>205</v>
      </c>
      <c r="H5" s="700"/>
      <c r="I5" s="112" t="s">
        <v>190</v>
      </c>
    </row>
    <row r="6" spans="1:9" ht="24.75" customHeight="1">
      <c r="A6" s="113"/>
      <c r="B6" s="114"/>
      <c r="C6" s="115"/>
      <c r="D6" s="116"/>
      <c r="E6" s="107"/>
      <c r="F6" s="107"/>
      <c r="G6" s="117"/>
      <c r="H6" s="118"/>
      <c r="I6" s="119"/>
    </row>
    <row r="7" spans="1:9" ht="24.75" customHeight="1">
      <c r="A7" s="120"/>
      <c r="B7" s="121" t="s">
        <v>191</v>
      </c>
      <c r="C7" s="122" t="s">
        <v>171</v>
      </c>
      <c r="D7" s="123"/>
      <c r="E7" s="142"/>
      <c r="F7" s="142"/>
      <c r="G7" s="143">
        <f>기업!F7</f>
        <v>17456387</v>
      </c>
      <c r="H7" s="125"/>
      <c r="I7" s="126" t="s">
        <v>192</v>
      </c>
    </row>
    <row r="8" spans="1:9" ht="24.75" customHeight="1">
      <c r="A8" s="120"/>
      <c r="B8" s="121" t="s">
        <v>193</v>
      </c>
      <c r="C8" s="122" t="s">
        <v>194</v>
      </c>
      <c r="D8" s="123"/>
      <c r="E8" s="143"/>
      <c r="F8" s="142"/>
      <c r="G8" s="143">
        <f>G9-G10</f>
        <v>10055331</v>
      </c>
      <c r="H8" s="125"/>
      <c r="I8" s="126"/>
    </row>
    <row r="9" spans="1:9" ht="24.75" customHeight="1">
      <c r="A9" s="120"/>
      <c r="B9" s="127" t="s">
        <v>157</v>
      </c>
      <c r="C9" s="122" t="s">
        <v>172</v>
      </c>
      <c r="D9" s="123"/>
      <c r="E9" s="142"/>
      <c r="F9" s="142"/>
      <c r="G9" s="143">
        <f>기업!F9</f>
        <v>15264542</v>
      </c>
      <c r="H9" s="125"/>
      <c r="I9" s="126"/>
    </row>
    <row r="10" spans="1:9" ht="24.75" customHeight="1">
      <c r="A10" s="120"/>
      <c r="B10" s="127" t="s">
        <v>157</v>
      </c>
      <c r="C10" s="122" t="s">
        <v>195</v>
      </c>
      <c r="D10" s="123"/>
      <c r="E10" s="142"/>
      <c r="F10" s="142"/>
      <c r="G10" s="143">
        <f>SUM(G11:G16)</f>
        <v>5209211</v>
      </c>
      <c r="H10" s="125"/>
      <c r="I10" s="126"/>
    </row>
    <row r="11" spans="1:9" ht="24.75" customHeight="1">
      <c r="A11" s="120"/>
      <c r="B11" s="127"/>
      <c r="C11" s="128" t="s">
        <v>196</v>
      </c>
      <c r="D11" s="123"/>
      <c r="E11" s="142"/>
      <c r="F11" s="142"/>
      <c r="G11" s="143">
        <f>기업!F17</f>
        <v>318216</v>
      </c>
      <c r="H11" s="125"/>
      <c r="I11" s="126"/>
    </row>
    <row r="12" spans="1:9" ht="24.75" customHeight="1">
      <c r="A12" s="120"/>
      <c r="B12" s="127"/>
      <c r="C12" s="128" t="s">
        <v>197</v>
      </c>
      <c r="D12" s="123"/>
      <c r="E12" s="142"/>
      <c r="F12" s="142"/>
      <c r="G12" s="143">
        <f>기업!F18</f>
        <v>284890</v>
      </c>
      <c r="H12" s="125"/>
      <c r="I12" s="126"/>
    </row>
    <row r="13" spans="1:9" ht="24.75" customHeight="1">
      <c r="A13" s="120"/>
      <c r="B13" s="127"/>
      <c r="C13" s="128" t="s">
        <v>198</v>
      </c>
      <c r="D13" s="123"/>
      <c r="E13" s="142"/>
      <c r="F13" s="142"/>
      <c r="G13" s="143">
        <f>기업!F21</f>
        <v>34297</v>
      </c>
      <c r="H13" s="125"/>
      <c r="I13" s="126"/>
    </row>
    <row r="14" spans="1:9" ht="24.75" customHeight="1">
      <c r="A14" s="120"/>
      <c r="B14" s="127"/>
      <c r="C14" s="128" t="s">
        <v>199</v>
      </c>
      <c r="D14" s="123"/>
      <c r="E14" s="142"/>
      <c r="F14" s="142"/>
      <c r="G14" s="143">
        <f>기업!F22</f>
        <v>83524</v>
      </c>
      <c r="H14" s="125"/>
      <c r="I14" s="126"/>
    </row>
    <row r="15" spans="1:9" ht="24.75" customHeight="1">
      <c r="A15" s="120"/>
      <c r="B15" s="127"/>
      <c r="C15" s="128" t="s">
        <v>200</v>
      </c>
      <c r="D15" s="123"/>
      <c r="E15" s="142"/>
      <c r="F15" s="142"/>
      <c r="G15" s="143">
        <f>기업!F23</f>
        <v>67955</v>
      </c>
      <c r="H15" s="125"/>
      <c r="I15" s="126"/>
    </row>
    <row r="16" spans="1:9" ht="24.75" customHeight="1">
      <c r="A16" s="120"/>
      <c r="B16" s="127"/>
      <c r="C16" s="128" t="s">
        <v>201</v>
      </c>
      <c r="D16" s="123"/>
      <c r="E16" s="142"/>
      <c r="F16" s="142"/>
      <c r="G16" s="143">
        <f>기업!F26</f>
        <v>4420329</v>
      </c>
      <c r="H16" s="125"/>
      <c r="I16" s="126"/>
    </row>
    <row r="17" spans="1:9" ht="24.75" customHeight="1">
      <c r="A17" s="120"/>
      <c r="B17" s="127"/>
      <c r="D17" s="123"/>
      <c r="E17" s="142"/>
      <c r="F17" s="142"/>
      <c r="G17" s="144"/>
      <c r="H17" s="123"/>
      <c r="I17" s="126"/>
    </row>
    <row r="18" spans="1:9" ht="45" customHeight="1">
      <c r="A18" s="129"/>
      <c r="B18" s="130" t="s">
        <v>202</v>
      </c>
      <c r="C18" s="131" t="s">
        <v>203</v>
      </c>
      <c r="D18" s="132"/>
      <c r="E18" s="145">
        <v>5</v>
      </c>
      <c r="F18" s="146"/>
      <c r="G18" s="145">
        <f>TRUNC(G8/G7*100,2)</f>
        <v>57.6</v>
      </c>
      <c r="H18" s="133"/>
      <c r="I18" s="134" t="s">
        <v>204</v>
      </c>
    </row>
    <row r="19" spans="1:6" ht="24.75" customHeight="1">
      <c r="A19" s="135" t="str">
        <f>"주 1) 금액 : "&amp;기업!A1&amp;기업!A2&amp;" 참조"</f>
        <v>주 1) 금액 : &lt; 표 : 26 &gt; 기업경영분석자료 참조</v>
      </c>
      <c r="B19" s="135"/>
      <c r="C19" s="101"/>
      <c r="D19" s="102"/>
      <c r="E19" s="104"/>
      <c r="F19" s="104"/>
    </row>
    <row r="20" spans="1:2" ht="24.75" customHeight="1">
      <c r="A20" s="101" t="s">
        <v>313</v>
      </c>
      <c r="B20" s="135"/>
    </row>
    <row r="21" spans="1:3" ht="24.75" customHeight="1">
      <c r="A21" s="136" t="s">
        <v>314</v>
      </c>
      <c r="B21" s="136"/>
      <c r="C21" s="137"/>
    </row>
    <row r="22" spans="1:3" s="140" customFormat="1" ht="24.75" customHeight="1">
      <c r="A22" s="138" t="str">
        <f>"   행정안전부예규에 의한 '용역 및 서비스업'의 일반관리비율 적용 한도율은 "&amp;E18&amp;"%이며, 기업경영"</f>
        <v>   행정안전부예규에 의한 '용역 및 서비스업'의 일반관리비율 적용 한도율은 5%이며, 기업경영</v>
      </c>
      <c r="B22" s="139"/>
      <c r="C22" s="139"/>
    </row>
    <row r="23" spans="1:3" s="140" customFormat="1" ht="24.75" customHeight="1">
      <c r="A23" s="138" t="str">
        <f>"   분석자료 비율은 "&amp;G18&amp;"%로 발생되어 본 원가산출시 적용 일반관리비율은 "&amp;MIN(E18:G18)&amp;"%를 적용하였다."</f>
        <v>   분석자료 비율은 57.6%로 발생되어 본 원가산출시 적용 일반관리비율은 5%를 적용하였다.</v>
      </c>
      <c r="B23" s="138"/>
      <c r="C23" s="138"/>
    </row>
    <row r="24" spans="1:3" ht="23.25" customHeight="1">
      <c r="A24" s="136"/>
      <c r="B24" s="141"/>
      <c r="C24" s="136"/>
    </row>
  </sheetData>
  <sheetProtection/>
  <mergeCells count="2">
    <mergeCell ref="B5:C5"/>
    <mergeCell ref="G5:H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18"/>
  <sheetViews>
    <sheetView showGridLines="0" showZeros="0" view="pageBreakPreview" zoomScaleSheetLayoutView="100" zoomScalePageLayoutView="0" workbookViewId="0" topLeftCell="A1">
      <selection activeCell="K13" sqref="K13"/>
    </sheetView>
  </sheetViews>
  <sheetFormatPr defaultColWidth="9.140625" defaultRowHeight="27" customHeight="1"/>
  <cols>
    <col min="1" max="1" width="1.7109375" style="84" customWidth="1"/>
    <col min="2" max="2" width="12.140625" style="84" customWidth="1"/>
    <col min="3" max="3" width="1.7109375" style="84" customWidth="1"/>
    <col min="4" max="4" width="0.85546875" style="84" customWidth="1"/>
    <col min="5" max="5" width="14.7109375" style="84" customWidth="1"/>
    <col min="6" max="6" width="0.85546875" style="84" customWidth="1"/>
    <col min="7" max="7" width="11.7109375" style="84" customWidth="1"/>
    <col min="8" max="9" width="10.7109375" style="84" customWidth="1"/>
    <col min="10" max="10" width="11.7109375" style="84" customWidth="1"/>
    <col min="11" max="11" width="7.7109375" style="84" customWidth="1"/>
    <col min="12" max="12" width="10.7109375" style="93" customWidth="1"/>
    <col min="13" max="16384" width="9.140625" style="84" customWidth="1"/>
  </cols>
  <sheetData>
    <row r="1" spans="1:11" ht="19.5" customHeight="1">
      <c r="A1" s="67" t="s">
        <v>534</v>
      </c>
      <c r="B1" s="94"/>
      <c r="K1" s="74"/>
    </row>
    <row r="2" spans="1:12" ht="39.75" customHeight="1">
      <c r="A2" s="68" t="s">
        <v>173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9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9.5" customHeight="1">
      <c r="A4" s="298"/>
      <c r="B4" s="74"/>
      <c r="C4" s="74"/>
      <c r="D4" s="74"/>
      <c r="E4" s="74"/>
      <c r="F4" s="74"/>
      <c r="G4" s="299"/>
      <c r="H4" s="299"/>
      <c r="I4" s="299"/>
      <c r="J4" s="299"/>
      <c r="K4" s="300"/>
      <c r="L4" s="471" t="s">
        <v>384</v>
      </c>
    </row>
    <row r="5" spans="1:12" s="74" customFormat="1" ht="24.75" customHeight="1">
      <c r="A5" s="70"/>
      <c r="B5" s="692" t="s">
        <v>174</v>
      </c>
      <c r="C5" s="71"/>
      <c r="D5" s="694"/>
      <c r="E5" s="692" t="s">
        <v>175</v>
      </c>
      <c r="F5" s="72"/>
      <c r="G5" s="73" t="s">
        <v>176</v>
      </c>
      <c r="H5" s="73"/>
      <c r="I5" s="73"/>
      <c r="J5" s="73"/>
      <c r="K5" s="688" t="s">
        <v>264</v>
      </c>
      <c r="L5" s="690" t="s">
        <v>177</v>
      </c>
    </row>
    <row r="6" spans="1:12" s="74" customFormat="1" ht="24.75" customHeight="1">
      <c r="A6" s="75"/>
      <c r="B6" s="693"/>
      <c r="C6" s="76"/>
      <c r="D6" s="695"/>
      <c r="E6" s="693"/>
      <c r="F6" s="77"/>
      <c r="G6" s="78" t="s">
        <v>178</v>
      </c>
      <c r="H6" s="78" t="s">
        <v>179</v>
      </c>
      <c r="I6" s="78" t="s">
        <v>180</v>
      </c>
      <c r="J6" s="78" t="s">
        <v>181</v>
      </c>
      <c r="K6" s="689"/>
      <c r="L6" s="691"/>
    </row>
    <row r="7" spans="1:12" s="74" customFormat="1" ht="9.75" customHeight="1">
      <c r="A7" s="79"/>
      <c r="B7" s="87"/>
      <c r="C7" s="87"/>
      <c r="D7" s="98"/>
      <c r="E7" s="87"/>
      <c r="F7" s="99"/>
      <c r="G7" s="82"/>
      <c r="H7" s="82"/>
      <c r="I7" s="82"/>
      <c r="J7" s="82"/>
      <c r="K7" s="81"/>
      <c r="L7" s="83"/>
    </row>
    <row r="8" spans="1:12" ht="30" customHeight="1">
      <c r="A8" s="79"/>
      <c r="B8" s="74"/>
      <c r="C8" s="74"/>
      <c r="D8" s="79"/>
      <c r="E8" s="74"/>
      <c r="F8" s="80"/>
      <c r="G8" s="81" t="s">
        <v>182</v>
      </c>
      <c r="H8" s="81" t="s">
        <v>183</v>
      </c>
      <c r="I8" s="81" t="s">
        <v>184</v>
      </c>
      <c r="J8" s="81"/>
      <c r="K8" s="82" t="s">
        <v>185</v>
      </c>
      <c r="L8" s="83"/>
    </row>
    <row r="9" spans="1:12" ht="30" customHeight="1">
      <c r="A9" s="79"/>
      <c r="B9" s="85" t="str">
        <f>일반!B9</f>
        <v>기계반장</v>
      </c>
      <c r="C9" s="74"/>
      <c r="D9" s="79"/>
      <c r="E9" s="511" t="str">
        <f>일반!E9</f>
        <v>기계정비공</v>
      </c>
      <c r="F9" s="80"/>
      <c r="G9" s="97">
        <f>일반!G9</f>
        <v>1938176</v>
      </c>
      <c r="H9" s="97">
        <f>일반!H9</f>
        <v>274865</v>
      </c>
      <c r="I9" s="97">
        <f>일반!K9</f>
        <v>110652</v>
      </c>
      <c r="J9" s="97">
        <f>SUM(G9:I9)</f>
        <v>2323693</v>
      </c>
      <c r="K9" s="96">
        <v>10</v>
      </c>
      <c r="L9" s="97">
        <f>TRUNC(J9*K9%,0)</f>
        <v>232369</v>
      </c>
    </row>
    <row r="10" spans="1:12" ht="30" customHeight="1">
      <c r="A10" s="79"/>
      <c r="B10" s="85" t="str">
        <f>일반!B10</f>
        <v>미화원</v>
      </c>
      <c r="C10" s="74"/>
      <c r="D10" s="79"/>
      <c r="E10" s="86" t="str">
        <f>일반!E10</f>
        <v>보통인부</v>
      </c>
      <c r="F10" s="80"/>
      <c r="G10" s="97">
        <f>일반!G10</f>
        <v>1418619</v>
      </c>
      <c r="H10" s="97">
        <f>일반!H10</f>
        <v>211971</v>
      </c>
      <c r="I10" s="97">
        <f>일반!K10</f>
        <v>81529</v>
      </c>
      <c r="J10" s="97">
        <f>SUM(G10:I10)</f>
        <v>1712119</v>
      </c>
      <c r="K10" s="96">
        <v>10</v>
      </c>
      <c r="L10" s="97">
        <f>TRUNC(J10*K10%,0)</f>
        <v>171211</v>
      </c>
    </row>
    <row r="11" spans="1:12" ht="30" customHeight="1">
      <c r="A11" s="79"/>
      <c r="B11" s="85" t="str">
        <f>일반!B11</f>
        <v>경비원</v>
      </c>
      <c r="C11" s="74"/>
      <c r="D11" s="79"/>
      <c r="E11" s="86" t="str">
        <f>일반!E11</f>
        <v>보통인부</v>
      </c>
      <c r="F11" s="80"/>
      <c r="G11" s="97">
        <f>일반!G11</f>
        <v>1418619</v>
      </c>
      <c r="H11" s="97">
        <f>일반!H11</f>
        <v>211971</v>
      </c>
      <c r="I11" s="97">
        <f>일반!K11</f>
        <v>81529</v>
      </c>
      <c r="J11" s="97">
        <f>SUM(G11:I11)</f>
        <v>1712119</v>
      </c>
      <c r="K11" s="96">
        <v>10</v>
      </c>
      <c r="L11" s="97">
        <f>TRUNC(J11*K11%,0)</f>
        <v>171211</v>
      </c>
    </row>
    <row r="12" spans="1:12" ht="9.75" customHeight="1">
      <c r="A12" s="75"/>
      <c r="B12" s="88"/>
      <c r="C12" s="89"/>
      <c r="D12" s="75"/>
      <c r="E12" s="89"/>
      <c r="F12" s="90"/>
      <c r="G12" s="91"/>
      <c r="H12" s="91"/>
      <c r="I12" s="91"/>
      <c r="J12" s="91"/>
      <c r="K12" s="76"/>
      <c r="L12" s="92"/>
    </row>
    <row r="13" spans="1:11" ht="24.75" customHeight="1">
      <c r="A13" s="67" t="str">
        <f>"주 1) 인건비 : "&amp;인집!A1&amp;인집!A2&amp;" 참조"</f>
        <v>주 1) 인건비 : &lt; 표 : 4 &gt; 단위당인건비집계표 참조</v>
      </c>
      <c r="B13" s="67"/>
      <c r="K13" s="74"/>
    </row>
    <row r="14" spans="1:11" ht="24.75" customHeight="1">
      <c r="A14" s="94" t="str">
        <f>"   2) 경비 : "&amp;경비집계표!A1&amp;" "&amp;경비집계표!A2&amp;" 참조"</f>
        <v>   2) 경비 : &lt; 표 : 11 &gt;  경비집계표 참조</v>
      </c>
      <c r="B14" s="67"/>
      <c r="K14" s="74"/>
    </row>
    <row r="15" spans="1:11" ht="24.75" customHeight="1">
      <c r="A15" s="67" t="str">
        <f>"   3) 일반관리비 : "&amp;일반!A1&amp;일반!A2&amp;" 참조"</f>
        <v>   3) 일반관리비 : &lt; 표 : 22 &gt; 일반관리비산출표 참조</v>
      </c>
      <c r="B15" s="67"/>
      <c r="K15" s="74"/>
    </row>
    <row r="16" spans="1:11" ht="24.75" customHeight="1">
      <c r="A16" s="67" t="str">
        <f>"   4) 비율(%) : "&amp;이윤율!A1&amp;이윤율!A2&amp;" 참조"</f>
        <v>   4) 비율(%) : &lt; 표 : 25 &gt; 이윤비율표 참조</v>
      </c>
      <c r="B16" s="94"/>
      <c r="K16" s="74"/>
    </row>
    <row r="17" spans="1:11" ht="27" customHeight="1">
      <c r="A17" s="94"/>
      <c r="B17" s="67"/>
      <c r="K17" s="74"/>
    </row>
    <row r="18" ht="27" customHeight="1">
      <c r="B18" s="67"/>
    </row>
  </sheetData>
  <sheetProtection/>
  <mergeCells count="5">
    <mergeCell ref="L5:L6"/>
    <mergeCell ref="B5:B6"/>
    <mergeCell ref="D5:D6"/>
    <mergeCell ref="E5:E6"/>
    <mergeCell ref="K5:K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view="pageBreakPreview" zoomScaleSheetLayoutView="100" zoomScalePageLayoutView="0" workbookViewId="0" topLeftCell="A1">
      <selection activeCell="I10" sqref="I10"/>
    </sheetView>
  </sheetViews>
  <sheetFormatPr defaultColWidth="11.421875" defaultRowHeight="12"/>
  <cols>
    <col min="1" max="1" width="5.7109375" style="45" customWidth="1"/>
    <col min="2" max="2" width="25.7109375" style="45" customWidth="1"/>
    <col min="3" max="3" width="5.7109375" style="45" customWidth="1"/>
    <col min="4" max="5" width="17.7109375" style="45" customWidth="1"/>
    <col min="6" max="6" width="22.7109375" style="45" customWidth="1"/>
    <col min="7" max="16384" width="11.421875" style="45" customWidth="1"/>
  </cols>
  <sheetData>
    <row r="1" ht="19.5" customHeight="1">
      <c r="A1" s="44" t="s">
        <v>535</v>
      </c>
    </row>
    <row r="2" spans="1:7" s="48" customFormat="1" ht="39.75" customHeight="1">
      <c r="A2" s="46" t="s">
        <v>158</v>
      </c>
      <c r="B2" s="47"/>
      <c r="C2" s="47"/>
      <c r="D2" s="47"/>
      <c r="E2" s="47"/>
      <c r="F2" s="47"/>
      <c r="G2" s="64"/>
    </row>
    <row r="3" spans="1:6" s="48" customFormat="1" ht="19.5" customHeight="1">
      <c r="A3" s="46"/>
      <c r="B3" s="47"/>
      <c r="C3" s="47"/>
      <c r="D3" s="47"/>
      <c r="E3" s="47"/>
      <c r="F3" s="47"/>
    </row>
    <row r="4" ht="19.5" customHeight="1"/>
    <row r="5" spans="1:6" ht="49.5" customHeight="1">
      <c r="A5" s="49"/>
      <c r="B5" s="50" t="s">
        <v>159</v>
      </c>
      <c r="C5" s="51"/>
      <c r="D5" s="52" t="s">
        <v>160</v>
      </c>
      <c r="E5" s="52" t="s">
        <v>161</v>
      </c>
      <c r="F5" s="53" t="s">
        <v>162</v>
      </c>
    </row>
    <row r="6" spans="1:6" ht="19.5" customHeight="1">
      <c r="A6" s="54"/>
      <c r="B6" s="55"/>
      <c r="C6" s="56"/>
      <c r="D6" s="43"/>
      <c r="E6" s="43"/>
      <c r="F6" s="43"/>
    </row>
    <row r="7" spans="1:6" ht="60" customHeight="1">
      <c r="A7" s="57"/>
      <c r="B7" s="58" t="s">
        <v>163</v>
      </c>
      <c r="C7" s="43"/>
      <c r="D7" s="66">
        <v>15</v>
      </c>
      <c r="E7" s="66"/>
      <c r="F7" s="43"/>
    </row>
    <row r="8" spans="1:6" ht="60" customHeight="1">
      <c r="A8" s="57"/>
      <c r="B8" s="58" t="s">
        <v>164</v>
      </c>
      <c r="C8" s="43"/>
      <c r="D8" s="66">
        <v>25</v>
      </c>
      <c r="E8" s="66"/>
      <c r="F8" s="59"/>
    </row>
    <row r="9" spans="1:6" ht="60" customHeight="1">
      <c r="A9" s="57"/>
      <c r="B9" s="58" t="s">
        <v>165</v>
      </c>
      <c r="C9" s="43"/>
      <c r="D9" s="66">
        <v>10</v>
      </c>
      <c r="E9" s="66">
        <v>10</v>
      </c>
      <c r="F9" s="59"/>
    </row>
    <row r="10" spans="1:6" ht="60" customHeight="1">
      <c r="A10" s="57"/>
      <c r="B10" s="58" t="s">
        <v>166</v>
      </c>
      <c r="C10" s="43"/>
      <c r="D10" s="66">
        <v>10</v>
      </c>
      <c r="E10" s="66"/>
      <c r="F10" s="59"/>
    </row>
    <row r="11" spans="1:6" ht="19.5" customHeight="1">
      <c r="A11" s="60"/>
      <c r="B11" s="61"/>
      <c r="C11" s="62"/>
      <c r="D11" s="63"/>
      <c r="E11" s="63"/>
      <c r="F11" s="63"/>
    </row>
    <row r="12" ht="24.75" customHeight="1">
      <c r="A12" s="65" t="s">
        <v>388</v>
      </c>
    </row>
    <row r="13" ht="24.75" customHeight="1">
      <c r="A13" s="45" t="s">
        <v>167</v>
      </c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54"/>
  <sheetViews>
    <sheetView showGridLines="0" showZeros="0" view="pageBreakPreview" zoomScaleSheetLayoutView="100" zoomScalePageLayoutView="0" workbookViewId="0" topLeftCell="A1">
      <selection activeCell="K12" sqref="K12"/>
    </sheetView>
  </sheetViews>
  <sheetFormatPr defaultColWidth="9.140625" defaultRowHeight="17.25" customHeight="1"/>
  <cols>
    <col min="1" max="1" width="3.140625" style="532" customWidth="1"/>
    <col min="2" max="2" width="10.57421875" style="532" customWidth="1"/>
    <col min="3" max="3" width="1.8515625" style="532" customWidth="1"/>
    <col min="4" max="4" width="27.57421875" style="532" customWidth="1"/>
    <col min="5" max="5" width="1.8515625" style="532" customWidth="1"/>
    <col min="6" max="6" width="16.57421875" style="532" customWidth="1"/>
    <col min="7" max="7" width="14.8515625" style="532" customWidth="1"/>
    <col min="8" max="8" width="18.7109375" style="532" customWidth="1"/>
    <col min="9" max="9" width="9.140625" style="532" customWidth="1"/>
    <col min="10" max="10" width="14.421875" style="532" bestFit="1" customWidth="1"/>
    <col min="11" max="16384" width="9.140625" style="532" customWidth="1"/>
  </cols>
  <sheetData>
    <row r="1" spans="1:13" ht="17.25" customHeight="1">
      <c r="A1" s="531" t="s">
        <v>536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</row>
    <row r="2" spans="1:8" s="538" customFormat="1" ht="38.25" customHeight="1">
      <c r="A2" s="533" t="s">
        <v>455</v>
      </c>
      <c r="B2" s="534"/>
      <c r="C2" s="535"/>
      <c r="D2" s="535"/>
      <c r="E2" s="535"/>
      <c r="F2" s="536"/>
      <c r="G2" s="536"/>
      <c r="H2" s="537"/>
    </row>
    <row r="3" ht="7.5" customHeight="1"/>
    <row r="4" spans="1:8" s="540" customFormat="1" ht="17.25" customHeight="1">
      <c r="A4" s="539" t="s">
        <v>456</v>
      </c>
      <c r="C4" s="541"/>
      <c r="D4" s="542"/>
      <c r="F4" s="543"/>
      <c r="G4" s="544"/>
      <c r="H4" s="545" t="s">
        <v>457</v>
      </c>
    </row>
    <row r="5" spans="1:8" s="554" customFormat="1" ht="21.75" customHeight="1">
      <c r="A5" s="546" t="s">
        <v>168</v>
      </c>
      <c r="B5" s="547"/>
      <c r="C5" s="548"/>
      <c r="D5" s="549" t="s">
        <v>458</v>
      </c>
      <c r="E5" s="550"/>
      <c r="F5" s="551" t="s">
        <v>169</v>
      </c>
      <c r="G5" s="552" t="s">
        <v>459</v>
      </c>
      <c r="H5" s="553" t="s">
        <v>149</v>
      </c>
    </row>
    <row r="6" spans="1:8" s="562" customFormat="1" ht="12" customHeight="1">
      <c r="A6" s="555"/>
      <c r="B6" s="556">
        <v>21</v>
      </c>
      <c r="C6" s="555"/>
      <c r="D6" s="557" t="s">
        <v>460</v>
      </c>
      <c r="E6" s="558"/>
      <c r="F6" s="559">
        <v>34614665</v>
      </c>
      <c r="G6" s="560">
        <f>SUM(F6/$F$6%)</f>
        <v>100</v>
      </c>
      <c r="H6" s="561"/>
    </row>
    <row r="7" spans="1:8" s="562" customFormat="1" ht="12" customHeight="1">
      <c r="A7" s="555"/>
      <c r="B7" s="556">
        <v>22</v>
      </c>
      <c r="C7" s="555"/>
      <c r="D7" s="557" t="s">
        <v>461</v>
      </c>
      <c r="E7" s="558"/>
      <c r="F7" s="559">
        <v>17456387</v>
      </c>
      <c r="G7" s="560">
        <f aca="true" t="shared" si="0" ref="G7:G52">SUM(F7/$F$6%)</f>
        <v>50.43061084080981</v>
      </c>
      <c r="H7" s="561"/>
    </row>
    <row r="8" spans="1:8" s="562" customFormat="1" ht="12" customHeight="1">
      <c r="A8" s="555"/>
      <c r="B8" s="556">
        <v>23</v>
      </c>
      <c r="C8" s="555"/>
      <c r="D8" s="557" t="s">
        <v>462</v>
      </c>
      <c r="E8" s="558"/>
      <c r="F8" s="559">
        <v>17158277</v>
      </c>
      <c r="G8" s="560">
        <f t="shared" si="0"/>
        <v>49.56938627024124</v>
      </c>
      <c r="H8" s="561"/>
    </row>
    <row r="9" spans="1:8" s="562" customFormat="1" ht="12" customHeight="1">
      <c r="A9" s="555"/>
      <c r="B9" s="556">
        <v>241</v>
      </c>
      <c r="C9" s="555"/>
      <c r="D9" s="557" t="s">
        <v>463</v>
      </c>
      <c r="E9" s="558"/>
      <c r="F9" s="559">
        <v>15264542</v>
      </c>
      <c r="G9" s="560">
        <f t="shared" si="0"/>
        <v>44.09848253623139</v>
      </c>
      <c r="H9" s="561"/>
    </row>
    <row r="10" spans="1:8" s="562" customFormat="1" ht="12" customHeight="1">
      <c r="A10" s="563"/>
      <c r="B10" s="564">
        <v>24101</v>
      </c>
      <c r="C10" s="563"/>
      <c r="D10" s="565" t="s">
        <v>464</v>
      </c>
      <c r="E10" s="566"/>
      <c r="F10" s="567">
        <v>6547123</v>
      </c>
      <c r="G10" s="568">
        <f t="shared" si="0"/>
        <v>18.914304096255155</v>
      </c>
      <c r="H10" s="569"/>
    </row>
    <row r="11" spans="1:8" s="562" customFormat="1" ht="12" customHeight="1">
      <c r="A11" s="570"/>
      <c r="B11" s="571">
        <v>24102</v>
      </c>
      <c r="C11" s="570"/>
      <c r="D11" s="572" t="s">
        <v>465</v>
      </c>
      <c r="E11" s="573"/>
      <c r="F11" s="574">
        <v>466334</v>
      </c>
      <c r="G11" s="575">
        <f t="shared" si="0"/>
        <v>1.347215118216513</v>
      </c>
      <c r="H11" s="576"/>
    </row>
    <row r="12" spans="1:8" s="562" customFormat="1" ht="12" customHeight="1">
      <c r="A12" s="570"/>
      <c r="B12" s="571">
        <v>24103</v>
      </c>
      <c r="C12" s="570"/>
      <c r="D12" s="572" t="s">
        <v>466</v>
      </c>
      <c r="E12" s="573"/>
      <c r="F12" s="574">
        <v>835661</v>
      </c>
      <c r="G12" s="575">
        <f t="shared" si="0"/>
        <v>2.414181965938425</v>
      </c>
      <c r="H12" s="576"/>
    </row>
    <row r="13" spans="1:8" s="562" customFormat="1" ht="12" customHeight="1">
      <c r="A13" s="570"/>
      <c r="B13" s="571">
        <v>24104</v>
      </c>
      <c r="C13" s="570"/>
      <c r="D13" s="572" t="s">
        <v>467</v>
      </c>
      <c r="E13" s="573"/>
      <c r="F13" s="574">
        <v>43089</v>
      </c>
      <c r="G13" s="575">
        <f t="shared" si="0"/>
        <v>0.12448192117416129</v>
      </c>
      <c r="H13" s="576"/>
    </row>
    <row r="14" spans="1:8" s="562" customFormat="1" ht="12" customHeight="1">
      <c r="A14" s="570"/>
      <c r="B14" s="571">
        <v>24105</v>
      </c>
      <c r="C14" s="570"/>
      <c r="D14" s="572" t="s">
        <v>468</v>
      </c>
      <c r="E14" s="573"/>
      <c r="F14" s="574">
        <v>239616</v>
      </c>
      <c r="G14" s="575">
        <f t="shared" si="0"/>
        <v>0.6922383908669923</v>
      </c>
      <c r="H14" s="576"/>
    </row>
    <row r="15" spans="1:8" s="562" customFormat="1" ht="12" customHeight="1">
      <c r="A15" s="570"/>
      <c r="B15" s="571">
        <v>24106</v>
      </c>
      <c r="C15" s="570"/>
      <c r="D15" s="572" t="s">
        <v>469</v>
      </c>
      <c r="E15" s="573"/>
      <c r="F15" s="574">
        <v>514071</v>
      </c>
      <c r="G15" s="575">
        <f t="shared" si="0"/>
        <v>1.4851248740959937</v>
      </c>
      <c r="H15" s="576"/>
    </row>
    <row r="16" spans="1:8" s="562" customFormat="1" ht="12" customHeight="1">
      <c r="A16" s="570"/>
      <c r="B16" s="571">
        <v>24107</v>
      </c>
      <c r="C16" s="570"/>
      <c r="D16" s="572" t="s">
        <v>470</v>
      </c>
      <c r="E16" s="573"/>
      <c r="F16" s="574">
        <v>347755</v>
      </c>
      <c r="G16" s="575">
        <f t="shared" si="0"/>
        <v>1.004646441038791</v>
      </c>
      <c r="H16" s="576"/>
    </row>
    <row r="17" spans="1:8" s="562" customFormat="1" ht="12" customHeight="1">
      <c r="A17" s="570"/>
      <c r="B17" s="571">
        <v>24108</v>
      </c>
      <c r="C17" s="570"/>
      <c r="D17" s="572" t="s">
        <v>471</v>
      </c>
      <c r="E17" s="573"/>
      <c r="F17" s="577">
        <v>318216</v>
      </c>
      <c r="G17" s="575">
        <f t="shared" si="0"/>
        <v>0.9193097780954979</v>
      </c>
      <c r="H17" s="578" t="s">
        <v>472</v>
      </c>
    </row>
    <row r="18" spans="1:8" s="562" customFormat="1" ht="12" customHeight="1">
      <c r="A18" s="570"/>
      <c r="B18" s="571">
        <v>24109</v>
      </c>
      <c r="C18" s="570"/>
      <c r="D18" s="572" t="s">
        <v>473</v>
      </c>
      <c r="E18" s="573"/>
      <c r="F18" s="577">
        <v>284890</v>
      </c>
      <c r="G18" s="575">
        <f t="shared" si="0"/>
        <v>0.8230326654901903</v>
      </c>
      <c r="H18" s="578" t="s">
        <v>170</v>
      </c>
    </row>
    <row r="19" spans="1:8" s="562" customFormat="1" ht="12" customHeight="1">
      <c r="A19" s="570"/>
      <c r="B19" s="571">
        <v>24110</v>
      </c>
      <c r="C19" s="570"/>
      <c r="D19" s="572" t="s">
        <v>474</v>
      </c>
      <c r="E19" s="573"/>
      <c r="F19" s="577">
        <v>461930</v>
      </c>
      <c r="G19" s="575">
        <f t="shared" si="0"/>
        <v>1.334492187054244</v>
      </c>
      <c r="H19" s="578"/>
    </row>
    <row r="20" spans="1:8" s="562" customFormat="1" ht="12" customHeight="1">
      <c r="A20" s="570"/>
      <c r="B20" s="571">
        <v>24111</v>
      </c>
      <c r="C20" s="570"/>
      <c r="D20" s="572" t="s">
        <v>475</v>
      </c>
      <c r="E20" s="573"/>
      <c r="F20" s="577">
        <v>141228</v>
      </c>
      <c r="G20" s="575">
        <f t="shared" si="0"/>
        <v>0.4080004818766843</v>
      </c>
      <c r="H20" s="578"/>
    </row>
    <row r="21" spans="1:8" s="562" customFormat="1" ht="12" customHeight="1">
      <c r="A21" s="570"/>
      <c r="B21" s="571">
        <v>24112</v>
      </c>
      <c r="C21" s="570"/>
      <c r="D21" s="572" t="s">
        <v>476</v>
      </c>
      <c r="E21" s="573"/>
      <c r="F21" s="577">
        <v>34297</v>
      </c>
      <c r="G21" s="575">
        <f t="shared" si="0"/>
        <v>0.09908228203277425</v>
      </c>
      <c r="H21" s="578" t="s">
        <v>472</v>
      </c>
    </row>
    <row r="22" spans="1:8" s="562" customFormat="1" ht="12" customHeight="1">
      <c r="A22" s="570"/>
      <c r="B22" s="571">
        <v>24113</v>
      </c>
      <c r="C22" s="570"/>
      <c r="D22" s="572" t="s">
        <v>477</v>
      </c>
      <c r="E22" s="573"/>
      <c r="F22" s="577">
        <v>83524</v>
      </c>
      <c r="G22" s="575">
        <f t="shared" si="0"/>
        <v>0.24129657184317685</v>
      </c>
      <c r="H22" s="578" t="s">
        <v>478</v>
      </c>
    </row>
    <row r="23" spans="1:8" s="562" customFormat="1" ht="12" customHeight="1">
      <c r="A23" s="570"/>
      <c r="B23" s="571">
        <v>24114</v>
      </c>
      <c r="C23" s="570"/>
      <c r="D23" s="572" t="s">
        <v>479</v>
      </c>
      <c r="E23" s="573"/>
      <c r="F23" s="577">
        <v>67955</v>
      </c>
      <c r="G23" s="575">
        <f t="shared" si="0"/>
        <v>0.1963185256884618</v>
      </c>
      <c r="H23" s="578" t="s">
        <v>478</v>
      </c>
    </row>
    <row r="24" spans="1:8" s="562" customFormat="1" ht="12" customHeight="1">
      <c r="A24" s="570"/>
      <c r="B24" s="571">
        <v>241141</v>
      </c>
      <c r="C24" s="570"/>
      <c r="D24" s="572" t="s">
        <v>480</v>
      </c>
      <c r="E24" s="573"/>
      <c r="F24" s="577">
        <v>2171</v>
      </c>
      <c r="G24" s="575">
        <f t="shared" si="0"/>
        <v>0.006271908163779715</v>
      </c>
      <c r="H24" s="578"/>
    </row>
    <row r="25" spans="1:8" s="562" customFormat="1" ht="12" customHeight="1">
      <c r="A25" s="570"/>
      <c r="B25" s="571">
        <v>24115</v>
      </c>
      <c r="C25" s="570"/>
      <c r="D25" s="572" t="s">
        <v>481</v>
      </c>
      <c r="E25" s="573"/>
      <c r="F25" s="577">
        <v>458525</v>
      </c>
      <c r="G25" s="575">
        <f t="shared" si="0"/>
        <v>1.3246553158899559</v>
      </c>
      <c r="H25" s="578"/>
    </row>
    <row r="26" spans="1:8" s="562" customFormat="1" ht="12" customHeight="1">
      <c r="A26" s="579"/>
      <c r="B26" s="580">
        <v>24116</v>
      </c>
      <c r="C26" s="579"/>
      <c r="D26" s="581" t="s">
        <v>482</v>
      </c>
      <c r="E26" s="582"/>
      <c r="F26" s="583">
        <v>4420329</v>
      </c>
      <c r="G26" s="584">
        <f t="shared" si="0"/>
        <v>12.77010480962332</v>
      </c>
      <c r="H26" s="578" t="s">
        <v>472</v>
      </c>
    </row>
    <row r="27" spans="1:8" s="562" customFormat="1" ht="12" customHeight="1">
      <c r="A27" s="555"/>
      <c r="B27" s="556">
        <v>24</v>
      </c>
      <c r="C27" s="555"/>
      <c r="D27" s="557" t="s">
        <v>483</v>
      </c>
      <c r="E27" s="558"/>
      <c r="F27" s="585">
        <v>1893735</v>
      </c>
      <c r="G27" s="560">
        <f t="shared" si="0"/>
        <v>5.470903734009847</v>
      </c>
      <c r="H27" s="561"/>
    </row>
    <row r="28" spans="1:8" s="562" customFormat="1" ht="12" customHeight="1">
      <c r="A28" s="555"/>
      <c r="B28" s="556">
        <v>251</v>
      </c>
      <c r="C28" s="555"/>
      <c r="D28" s="557" t="s">
        <v>484</v>
      </c>
      <c r="E28" s="558"/>
      <c r="F28" s="585">
        <v>1501413</v>
      </c>
      <c r="G28" s="560">
        <f t="shared" si="0"/>
        <v>4.337505505253337</v>
      </c>
      <c r="H28" s="561"/>
    </row>
    <row r="29" spans="1:8" s="562" customFormat="1" ht="12" customHeight="1">
      <c r="A29" s="563"/>
      <c r="B29" s="564">
        <v>25101</v>
      </c>
      <c r="C29" s="563"/>
      <c r="D29" s="565" t="s">
        <v>485</v>
      </c>
      <c r="E29" s="566"/>
      <c r="F29" s="586">
        <v>359007</v>
      </c>
      <c r="G29" s="568">
        <f t="shared" si="0"/>
        <v>1.0371528945896196</v>
      </c>
      <c r="H29" s="569"/>
    </row>
    <row r="30" spans="1:8" s="562" customFormat="1" ht="12" customHeight="1">
      <c r="A30" s="570"/>
      <c r="B30" s="571">
        <v>25102</v>
      </c>
      <c r="C30" s="570"/>
      <c r="D30" s="572" t="s">
        <v>486</v>
      </c>
      <c r="E30" s="573"/>
      <c r="F30" s="577">
        <v>9437</v>
      </c>
      <c r="G30" s="575">
        <f t="shared" si="0"/>
        <v>0.027263011212155307</v>
      </c>
      <c r="H30" s="576"/>
    </row>
    <row r="31" spans="1:8" s="562" customFormat="1" ht="12" customHeight="1">
      <c r="A31" s="570"/>
      <c r="B31" s="571">
        <v>25103</v>
      </c>
      <c r="C31" s="570"/>
      <c r="D31" s="572" t="s">
        <v>487</v>
      </c>
      <c r="E31" s="573"/>
      <c r="F31" s="574">
        <v>435449</v>
      </c>
      <c r="G31" s="575">
        <f t="shared" si="0"/>
        <v>1.2579899299906556</v>
      </c>
      <c r="H31" s="576"/>
    </row>
    <row r="32" spans="1:8" s="562" customFormat="1" ht="12" customHeight="1">
      <c r="A32" s="570"/>
      <c r="B32" s="571">
        <v>25104</v>
      </c>
      <c r="C32" s="570"/>
      <c r="D32" s="572" t="s">
        <v>488</v>
      </c>
      <c r="E32" s="573"/>
      <c r="F32" s="574">
        <v>93502</v>
      </c>
      <c r="G32" s="575">
        <f t="shared" si="0"/>
        <v>0.27012250443561997</v>
      </c>
      <c r="H32" s="576"/>
    </row>
    <row r="33" spans="1:8" s="562" customFormat="1" ht="12" customHeight="1">
      <c r="A33" s="570"/>
      <c r="B33" s="571">
        <v>25105</v>
      </c>
      <c r="C33" s="570"/>
      <c r="D33" s="572" t="s">
        <v>489</v>
      </c>
      <c r="E33" s="573"/>
      <c r="F33" s="574">
        <v>15990</v>
      </c>
      <c r="G33" s="575">
        <f t="shared" si="0"/>
        <v>0.04619429366137156</v>
      </c>
      <c r="H33" s="576"/>
    </row>
    <row r="34" spans="1:8" s="562" customFormat="1" ht="12" customHeight="1">
      <c r="A34" s="570"/>
      <c r="B34" s="571">
        <v>25106</v>
      </c>
      <c r="C34" s="570"/>
      <c r="D34" s="572" t="s">
        <v>490</v>
      </c>
      <c r="E34" s="573"/>
      <c r="F34" s="574">
        <v>30100</v>
      </c>
      <c r="G34" s="575">
        <f t="shared" si="0"/>
        <v>0.08695736330251931</v>
      </c>
      <c r="H34" s="576"/>
    </row>
    <row r="35" spans="1:8" s="587" customFormat="1" ht="12" customHeight="1">
      <c r="A35" s="570"/>
      <c r="B35" s="571">
        <v>25107</v>
      </c>
      <c r="C35" s="570"/>
      <c r="D35" s="572" t="s">
        <v>491</v>
      </c>
      <c r="E35" s="573"/>
      <c r="F35" s="574">
        <v>84381</v>
      </c>
      <c r="G35" s="575">
        <f t="shared" si="0"/>
        <v>0.24377240109069376</v>
      </c>
      <c r="H35" s="576"/>
    </row>
    <row r="36" spans="1:8" s="587" customFormat="1" ht="12" customHeight="1">
      <c r="A36" s="570"/>
      <c r="B36" s="571">
        <v>25108</v>
      </c>
      <c r="C36" s="570"/>
      <c r="D36" s="572" t="s">
        <v>492</v>
      </c>
      <c r="E36" s="573"/>
      <c r="F36" s="574">
        <v>192383</v>
      </c>
      <c r="G36" s="575">
        <f t="shared" si="0"/>
        <v>0.5557846652567633</v>
      </c>
      <c r="H36" s="576"/>
    </row>
    <row r="37" spans="1:8" s="587" customFormat="1" ht="12" customHeight="1">
      <c r="A37" s="579"/>
      <c r="B37" s="571">
        <v>25109</v>
      </c>
      <c r="C37" s="579"/>
      <c r="D37" s="581" t="s">
        <v>493</v>
      </c>
      <c r="E37" s="582"/>
      <c r="F37" s="574">
        <v>281165</v>
      </c>
      <c r="G37" s="584">
        <f t="shared" si="0"/>
        <v>0.8122713306628851</v>
      </c>
      <c r="H37" s="588"/>
    </row>
    <row r="38" spans="1:8" s="562" customFormat="1" ht="12" customHeight="1">
      <c r="A38" s="555"/>
      <c r="B38" s="556">
        <v>252</v>
      </c>
      <c r="C38" s="555"/>
      <c r="D38" s="557" t="s">
        <v>494</v>
      </c>
      <c r="E38" s="558"/>
      <c r="F38" s="559">
        <v>1153532</v>
      </c>
      <c r="G38" s="560">
        <f t="shared" si="0"/>
        <v>3.332495056647233</v>
      </c>
      <c r="H38" s="561"/>
    </row>
    <row r="39" spans="1:8" s="562" customFormat="1" ht="12" customHeight="1">
      <c r="A39" s="563"/>
      <c r="B39" s="564">
        <v>25201</v>
      </c>
      <c r="C39" s="563"/>
      <c r="D39" s="565" t="s">
        <v>495</v>
      </c>
      <c r="E39" s="566"/>
      <c r="F39" s="567">
        <v>251905</v>
      </c>
      <c r="G39" s="568">
        <f t="shared" si="0"/>
        <v>0.727740684475785</v>
      </c>
      <c r="H39" s="569"/>
    </row>
    <row r="40" spans="1:8" s="562" customFormat="1" ht="12" customHeight="1">
      <c r="A40" s="570"/>
      <c r="B40" s="571">
        <v>25202</v>
      </c>
      <c r="C40" s="570"/>
      <c r="D40" s="572" t="s">
        <v>496</v>
      </c>
      <c r="E40" s="573"/>
      <c r="F40" s="574">
        <v>314113</v>
      </c>
      <c r="G40" s="575">
        <f t="shared" si="0"/>
        <v>0.9074564205662542</v>
      </c>
      <c r="H40" s="576"/>
    </row>
    <row r="41" spans="1:8" s="562" customFormat="1" ht="12" customHeight="1">
      <c r="A41" s="570"/>
      <c r="B41" s="571">
        <v>25203</v>
      </c>
      <c r="C41" s="570"/>
      <c r="D41" s="572" t="s">
        <v>497</v>
      </c>
      <c r="E41" s="573"/>
      <c r="F41" s="574">
        <v>164757</v>
      </c>
      <c r="G41" s="575">
        <f t="shared" si="0"/>
        <v>0.4759745616489427</v>
      </c>
      <c r="H41" s="576"/>
    </row>
    <row r="42" spans="1:8" s="562" customFormat="1" ht="12" customHeight="1">
      <c r="A42" s="570"/>
      <c r="B42" s="571">
        <v>25204</v>
      </c>
      <c r="C42" s="570"/>
      <c r="D42" s="572" t="s">
        <v>498</v>
      </c>
      <c r="E42" s="573"/>
      <c r="F42" s="574">
        <v>60519</v>
      </c>
      <c r="G42" s="575">
        <f t="shared" si="0"/>
        <v>0.17483630131910852</v>
      </c>
      <c r="H42" s="576"/>
    </row>
    <row r="43" spans="1:8" s="562" customFormat="1" ht="12" customHeight="1">
      <c r="A43" s="570"/>
      <c r="B43" s="571">
        <v>25205</v>
      </c>
      <c r="C43" s="570"/>
      <c r="D43" s="572" t="s">
        <v>499</v>
      </c>
      <c r="E43" s="573"/>
      <c r="F43" s="574">
        <v>64768</v>
      </c>
      <c r="G43" s="575">
        <f t="shared" si="0"/>
        <v>0.1871114453946037</v>
      </c>
      <c r="H43" s="576"/>
    </row>
    <row r="44" spans="1:8" s="587" customFormat="1" ht="12" customHeight="1">
      <c r="A44" s="570"/>
      <c r="B44" s="571">
        <v>25206</v>
      </c>
      <c r="C44" s="570"/>
      <c r="D44" s="572" t="s">
        <v>500</v>
      </c>
      <c r="E44" s="573"/>
      <c r="F44" s="574">
        <v>35928</v>
      </c>
      <c r="G44" s="575">
        <f t="shared" si="0"/>
        <v>0.10379415776521309</v>
      </c>
      <c r="H44" s="576"/>
    </row>
    <row r="45" spans="1:8" s="587" customFormat="1" ht="12" customHeight="1">
      <c r="A45" s="570"/>
      <c r="B45" s="571">
        <v>25207</v>
      </c>
      <c r="C45" s="570"/>
      <c r="D45" s="572" t="s">
        <v>501</v>
      </c>
      <c r="E45" s="573"/>
      <c r="F45" s="574">
        <v>76561</v>
      </c>
      <c r="G45" s="575">
        <f t="shared" si="0"/>
        <v>0.2211808203257203</v>
      </c>
      <c r="H45" s="576"/>
    </row>
    <row r="46" spans="1:8" s="587" customFormat="1" ht="12" customHeight="1">
      <c r="A46" s="570"/>
      <c r="B46" s="571">
        <v>25208</v>
      </c>
      <c r="C46" s="570"/>
      <c r="D46" s="572" t="s">
        <v>502</v>
      </c>
      <c r="E46" s="573"/>
      <c r="F46" s="574">
        <v>1650</v>
      </c>
      <c r="G46" s="575">
        <f t="shared" si="0"/>
        <v>0.004766765762430461</v>
      </c>
      <c r="H46" s="576"/>
    </row>
    <row r="47" spans="1:8" s="562" customFormat="1" ht="12" customHeight="1">
      <c r="A47" s="579"/>
      <c r="B47" s="571">
        <v>25209</v>
      </c>
      <c r="C47" s="579"/>
      <c r="D47" s="581" t="s">
        <v>503</v>
      </c>
      <c r="E47" s="582"/>
      <c r="F47" s="589">
        <v>183332</v>
      </c>
      <c r="G47" s="584">
        <f t="shared" si="0"/>
        <v>0.529636788338122</v>
      </c>
      <c r="H47" s="588"/>
    </row>
    <row r="48" spans="1:8" s="562" customFormat="1" ht="12" customHeight="1">
      <c r="A48" s="555"/>
      <c r="B48" s="556">
        <v>25</v>
      </c>
      <c r="C48" s="555"/>
      <c r="D48" s="557" t="s">
        <v>504</v>
      </c>
      <c r="E48" s="558"/>
      <c r="F48" s="590">
        <v>2241617</v>
      </c>
      <c r="G48" s="560">
        <f t="shared" si="0"/>
        <v>6.475917071564899</v>
      </c>
      <c r="H48" s="561"/>
    </row>
    <row r="49" spans="1:8" s="562" customFormat="1" ht="12" customHeight="1">
      <c r="A49" s="555"/>
      <c r="B49" s="556">
        <v>261</v>
      </c>
      <c r="C49" s="555"/>
      <c r="D49" s="557" t="s">
        <v>505</v>
      </c>
      <c r="E49" s="558"/>
      <c r="F49" s="559">
        <v>524105</v>
      </c>
      <c r="G49" s="560">
        <f t="shared" si="0"/>
        <v>1.5141125878294646</v>
      </c>
      <c r="H49" s="561"/>
    </row>
    <row r="50" spans="1:8" s="562" customFormat="1" ht="12" customHeight="1">
      <c r="A50" s="555"/>
      <c r="B50" s="556">
        <v>26</v>
      </c>
      <c r="C50" s="555"/>
      <c r="D50" s="557" t="s">
        <v>506</v>
      </c>
      <c r="E50" s="558"/>
      <c r="F50" s="590">
        <v>1717513</v>
      </c>
      <c r="G50" s="560">
        <f t="shared" si="0"/>
        <v>4.9618073726843805</v>
      </c>
      <c r="H50" s="561"/>
    </row>
    <row r="51" spans="1:8" s="562" customFormat="1" ht="12" customHeight="1">
      <c r="A51" s="555"/>
      <c r="B51" s="556">
        <v>27</v>
      </c>
      <c r="C51" s="555"/>
      <c r="D51" s="557" t="s">
        <v>507</v>
      </c>
      <c r="E51" s="558"/>
      <c r="F51" s="590">
        <v>-1454</v>
      </c>
      <c r="G51" s="560">
        <f t="shared" si="0"/>
        <v>-0.00420053176883266</v>
      </c>
      <c r="H51" s="561"/>
    </row>
    <row r="52" spans="1:8" s="562" customFormat="1" ht="12" customHeight="1">
      <c r="A52" s="555"/>
      <c r="B52" s="556">
        <v>28</v>
      </c>
      <c r="C52" s="555"/>
      <c r="D52" s="557" t="s">
        <v>508</v>
      </c>
      <c r="E52" s="558"/>
      <c r="F52" s="590">
        <v>1716059</v>
      </c>
      <c r="G52" s="560">
        <f t="shared" si="0"/>
        <v>4.957606840915548</v>
      </c>
      <c r="H52" s="561"/>
    </row>
    <row r="53" spans="1:8" s="554" customFormat="1" ht="12" customHeight="1">
      <c r="A53" s="591" t="s">
        <v>509</v>
      </c>
      <c r="C53" s="592"/>
      <c r="D53" s="593"/>
      <c r="E53" s="594"/>
      <c r="F53" s="595"/>
      <c r="G53" s="596"/>
      <c r="H53" s="594"/>
    </row>
    <row r="54" spans="1:8" s="554" customFormat="1" ht="12" customHeight="1">
      <c r="A54" s="591" t="s">
        <v>510</v>
      </c>
      <c r="C54" s="592"/>
      <c r="D54" s="593"/>
      <c r="E54" s="594"/>
      <c r="F54" s="595"/>
      <c r="G54" s="596"/>
      <c r="H54" s="594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showGridLines="0" showZeros="0" view="pageBreakPreview" zoomScale="80" zoomScaleSheetLayoutView="80" zoomScalePageLayoutView="0" workbookViewId="0" topLeftCell="A13">
      <selection activeCell="I33" sqref="I33"/>
    </sheetView>
  </sheetViews>
  <sheetFormatPr defaultColWidth="9.140625" defaultRowHeight="12"/>
  <cols>
    <col min="1" max="1" width="1.7109375" style="152" customWidth="1"/>
    <col min="2" max="2" width="3.7109375" style="10" customWidth="1"/>
    <col min="3" max="3" width="8.57421875" style="152" bestFit="1" customWidth="1"/>
    <col min="4" max="4" width="1.7109375" style="152" customWidth="1"/>
    <col min="5" max="5" width="20.7109375" style="10" customWidth="1"/>
    <col min="6" max="6" width="1.7109375" style="10" customWidth="1"/>
    <col min="7" max="9" width="18.57421875" style="33" customWidth="1"/>
    <col min="10" max="10" width="16.7109375" style="152" bestFit="1" customWidth="1"/>
    <col min="11" max="16384" width="9.140625" style="152" customWidth="1"/>
  </cols>
  <sheetData>
    <row r="1" spans="1:12" ht="19.5" customHeight="1">
      <c r="A1" s="220" t="s">
        <v>443</v>
      </c>
      <c r="B1" s="220"/>
      <c r="C1" s="220"/>
      <c r="D1" s="220"/>
      <c r="E1" s="152"/>
      <c r="F1" s="152"/>
      <c r="G1" s="152"/>
      <c r="H1" s="152"/>
      <c r="I1" s="152"/>
      <c r="J1" s="32"/>
      <c r="K1" s="32"/>
      <c r="L1" s="32"/>
    </row>
    <row r="2" spans="1:9" s="168" customFormat="1" ht="39.75" customHeight="1">
      <c r="A2" s="165" t="s">
        <v>442</v>
      </c>
      <c r="B2" s="166"/>
      <c r="C2" s="221"/>
      <c r="D2" s="221"/>
      <c r="E2" s="222"/>
      <c r="F2" s="222"/>
      <c r="G2" s="167"/>
      <c r="H2" s="167"/>
      <c r="I2" s="167"/>
    </row>
    <row r="3" spans="1:12" ht="19.5" customHeight="1">
      <c r="A3" s="264"/>
      <c r="B3" s="265"/>
      <c r="C3" s="264"/>
      <c r="D3" s="264"/>
      <c r="E3" s="265"/>
      <c r="F3" s="265"/>
      <c r="G3" s="154"/>
      <c r="H3" s="154"/>
      <c r="I3" s="154"/>
      <c r="L3" s="168"/>
    </row>
    <row r="4" spans="1:12" ht="19.5" customHeight="1">
      <c r="A4" s="283" t="str">
        <f>집계!A4</f>
        <v>건 명 : 2010년 경기도어린이박물관 시설관리 용역 원가계산서</v>
      </c>
      <c r="B4" s="170"/>
      <c r="C4" s="169"/>
      <c r="D4" s="169"/>
      <c r="G4" s="171"/>
      <c r="I4" s="223" t="s">
        <v>225</v>
      </c>
      <c r="L4" s="168"/>
    </row>
    <row r="5" spans="1:12" ht="24.75" customHeight="1">
      <c r="A5" s="268"/>
      <c r="B5" s="269"/>
      <c r="C5" s="269"/>
      <c r="D5" s="269"/>
      <c r="E5" s="270" t="s">
        <v>278</v>
      </c>
      <c r="F5" s="270"/>
      <c r="G5" s="429" t="str">
        <f>인집!$B$7</f>
        <v>기계반장</v>
      </c>
      <c r="H5" s="429" t="str">
        <f>인집!$B$8</f>
        <v>미화원</v>
      </c>
      <c r="I5" s="429" t="str">
        <f>인집!$B$9</f>
        <v>경비원</v>
      </c>
      <c r="L5" s="168"/>
    </row>
    <row r="6" spans="1:9" ht="24.75" customHeight="1">
      <c r="A6" s="271" t="s">
        <v>279</v>
      </c>
      <c r="B6" s="277"/>
      <c r="C6" s="272"/>
      <c r="D6" s="272"/>
      <c r="E6" s="272"/>
      <c r="F6" s="272"/>
      <c r="G6" s="430" t="str">
        <f>"("&amp;인집!$E$7&amp;")"</f>
        <v>(기계정비공)</v>
      </c>
      <c r="H6" s="430" t="str">
        <f>"("&amp;인집!$E$8&amp;")"</f>
        <v>(보통인부)</v>
      </c>
      <c r="I6" s="430" t="str">
        <f>"("&amp;인집!$E$9&amp;")"</f>
        <v>(보통인부)</v>
      </c>
    </row>
    <row r="7" spans="1:9" ht="18.75" customHeight="1">
      <c r="A7" s="632" t="s">
        <v>260</v>
      </c>
      <c r="B7" s="633"/>
      <c r="C7" s="628" t="s">
        <v>280</v>
      </c>
      <c r="D7" s="629"/>
      <c r="E7" s="629"/>
      <c r="F7" s="630"/>
      <c r="G7" s="163">
        <f>원가!G9</f>
        <v>1342425</v>
      </c>
      <c r="H7" s="163">
        <f>원가!G42</f>
        <v>982569</v>
      </c>
      <c r="I7" s="163">
        <f>원가!G75</f>
        <v>982569</v>
      </c>
    </row>
    <row r="8" spans="1:9" ht="18.75" customHeight="1">
      <c r="A8" s="634"/>
      <c r="B8" s="635"/>
      <c r="C8" s="638" t="s">
        <v>386</v>
      </c>
      <c r="D8" s="23"/>
      <c r="E8" s="25" t="s">
        <v>2</v>
      </c>
      <c r="F8" s="273"/>
      <c r="G8" s="163">
        <f>원가!G10</f>
        <v>6969</v>
      </c>
      <c r="H8" s="163">
        <f>원가!G43</f>
        <v>5100</v>
      </c>
      <c r="I8" s="163">
        <f>원가!G76</f>
        <v>5100</v>
      </c>
    </row>
    <row r="9" spans="1:9" ht="18.75" customHeight="1">
      <c r="A9" s="634"/>
      <c r="B9" s="635"/>
      <c r="C9" s="641"/>
      <c r="D9" s="23"/>
      <c r="E9" s="25" t="s">
        <v>311</v>
      </c>
      <c r="F9" s="273"/>
      <c r="G9" s="163">
        <f>원가!G11</f>
        <v>77077</v>
      </c>
      <c r="H9" s="163">
        <f>원가!G44</f>
        <v>56415</v>
      </c>
      <c r="I9" s="163">
        <f>원가!G77</f>
        <v>56415</v>
      </c>
    </row>
    <row r="10" spans="1:9" ht="18.75" customHeight="1">
      <c r="A10" s="634"/>
      <c r="B10" s="635"/>
      <c r="C10" s="641"/>
      <c r="D10" s="23"/>
      <c r="E10" s="25" t="s">
        <v>16</v>
      </c>
      <c r="F10" s="273"/>
      <c r="G10" s="163">
        <f>원가!G12</f>
        <v>64230</v>
      </c>
      <c r="H10" s="163">
        <f>원가!G45</f>
        <v>47012</v>
      </c>
      <c r="I10" s="163">
        <f>원가!G78</f>
        <v>47012</v>
      </c>
    </row>
    <row r="11" spans="1:9" ht="18.75" customHeight="1">
      <c r="A11" s="634"/>
      <c r="B11" s="635"/>
      <c r="C11" s="641"/>
      <c r="D11" s="23"/>
      <c r="E11" s="25" t="s">
        <v>358</v>
      </c>
      <c r="F11" s="273"/>
      <c r="G11" s="163">
        <f>원가!G13</f>
        <v>0</v>
      </c>
      <c r="H11" s="163">
        <f>원가!G46</f>
        <v>0</v>
      </c>
      <c r="I11" s="163">
        <f>원가!G79</f>
        <v>0</v>
      </c>
    </row>
    <row r="12" spans="1:9" ht="18.75" customHeight="1">
      <c r="A12" s="634"/>
      <c r="B12" s="635"/>
      <c r="C12" s="639"/>
      <c r="D12" s="23"/>
      <c r="E12" s="23" t="s">
        <v>17</v>
      </c>
      <c r="F12" s="274"/>
      <c r="G12" s="163">
        <f>원가!G14</f>
        <v>148276</v>
      </c>
      <c r="H12" s="163">
        <f>원가!G47</f>
        <v>108527</v>
      </c>
      <c r="I12" s="163">
        <f>원가!G80</f>
        <v>108527</v>
      </c>
    </row>
    <row r="13" spans="1:9" ht="18.75" customHeight="1">
      <c r="A13" s="634"/>
      <c r="B13" s="635"/>
      <c r="C13" s="628" t="s">
        <v>281</v>
      </c>
      <c r="D13" s="629"/>
      <c r="E13" s="629"/>
      <c r="F13" s="630"/>
      <c r="G13" s="163">
        <f>원가!G15</f>
        <v>447475</v>
      </c>
      <c r="H13" s="163">
        <f>원가!G48</f>
        <v>327523</v>
      </c>
      <c r="I13" s="163">
        <f>원가!G81</f>
        <v>327523</v>
      </c>
    </row>
    <row r="14" spans="1:9" ht="18.75" customHeight="1">
      <c r="A14" s="634"/>
      <c r="B14" s="635"/>
      <c r="C14" s="628" t="s">
        <v>282</v>
      </c>
      <c r="D14" s="629"/>
      <c r="E14" s="629"/>
      <c r="F14" s="630"/>
      <c r="G14" s="163">
        <f>원가!G16</f>
        <v>0</v>
      </c>
      <c r="H14" s="163">
        <f>원가!G49</f>
        <v>0</v>
      </c>
      <c r="I14" s="163">
        <f>원가!G82</f>
        <v>0</v>
      </c>
    </row>
    <row r="15" spans="1:9" ht="18.75" customHeight="1">
      <c r="A15" s="636"/>
      <c r="B15" s="637"/>
      <c r="C15" s="628" t="s">
        <v>283</v>
      </c>
      <c r="D15" s="629"/>
      <c r="E15" s="629"/>
      <c r="F15" s="630"/>
      <c r="G15" s="163">
        <f>원가!G17</f>
        <v>1938176</v>
      </c>
      <c r="H15" s="163">
        <f>원가!G50</f>
        <v>1418619</v>
      </c>
      <c r="I15" s="163">
        <f>원가!G83</f>
        <v>1418619</v>
      </c>
    </row>
    <row r="16" spans="1:9" ht="18.75" customHeight="1">
      <c r="A16" s="632" t="s">
        <v>315</v>
      </c>
      <c r="B16" s="633"/>
      <c r="C16" s="638" t="s">
        <v>15</v>
      </c>
      <c r="D16" s="23"/>
      <c r="E16" s="25" t="s">
        <v>39</v>
      </c>
      <c r="F16" s="25"/>
      <c r="G16" s="163">
        <f>원가!G18</f>
        <v>40701</v>
      </c>
      <c r="H16" s="163">
        <f>원가!G51</f>
        <v>29790</v>
      </c>
      <c r="I16" s="163">
        <f>원가!G84</f>
        <v>29790</v>
      </c>
    </row>
    <row r="17" spans="1:9" ht="18.75" customHeight="1">
      <c r="A17" s="634"/>
      <c r="B17" s="635"/>
      <c r="C17" s="641"/>
      <c r="D17" s="23"/>
      <c r="E17" s="25" t="s">
        <v>284</v>
      </c>
      <c r="F17" s="25"/>
      <c r="G17" s="163">
        <f>원가!G19</f>
        <v>87217</v>
      </c>
      <c r="H17" s="163">
        <f>원가!G52</f>
        <v>63837</v>
      </c>
      <c r="I17" s="163">
        <f>원가!G85</f>
        <v>63837</v>
      </c>
    </row>
    <row r="18" spans="1:9" ht="18.75" customHeight="1">
      <c r="A18" s="634"/>
      <c r="B18" s="635"/>
      <c r="C18" s="641"/>
      <c r="D18" s="23"/>
      <c r="E18" s="25" t="s">
        <v>285</v>
      </c>
      <c r="F18" s="25"/>
      <c r="G18" s="163">
        <f>원가!G20</f>
        <v>13567</v>
      </c>
      <c r="H18" s="163">
        <f>원가!G53</f>
        <v>9930</v>
      </c>
      <c r="I18" s="163">
        <f>원가!G86</f>
        <v>9930</v>
      </c>
    </row>
    <row r="19" spans="1:9" ht="18.75" customHeight="1">
      <c r="A19" s="634"/>
      <c r="B19" s="635"/>
      <c r="C19" s="641"/>
      <c r="D19" s="23"/>
      <c r="E19" s="25" t="s">
        <v>286</v>
      </c>
      <c r="F19" s="25"/>
      <c r="G19" s="163">
        <f>원가!G21</f>
        <v>49229</v>
      </c>
      <c r="H19" s="163">
        <f>원가!G54</f>
        <v>36032</v>
      </c>
      <c r="I19" s="163">
        <f>원가!G87</f>
        <v>36032</v>
      </c>
    </row>
    <row r="20" spans="1:9" ht="18.75" customHeight="1">
      <c r="A20" s="634"/>
      <c r="B20" s="635"/>
      <c r="C20" s="641"/>
      <c r="D20" s="23"/>
      <c r="E20" s="319" t="s">
        <v>355</v>
      </c>
      <c r="F20" s="25"/>
      <c r="G20" s="163">
        <f>원가!G22</f>
        <v>2353</v>
      </c>
      <c r="H20" s="163">
        <f>원가!G55</f>
        <v>1722</v>
      </c>
      <c r="I20" s="163">
        <f>원가!G88</f>
        <v>1722</v>
      </c>
    </row>
    <row r="21" spans="1:9" ht="18.75" customHeight="1">
      <c r="A21" s="634"/>
      <c r="B21" s="635"/>
      <c r="C21" s="641"/>
      <c r="D21" s="23"/>
      <c r="E21" s="25" t="s">
        <v>287</v>
      </c>
      <c r="F21" s="25"/>
      <c r="G21" s="163">
        <f>원가!G23</f>
        <v>775</v>
      </c>
      <c r="H21" s="163">
        <f>원가!G56</f>
        <v>567</v>
      </c>
      <c r="I21" s="163">
        <f>원가!G89</f>
        <v>567</v>
      </c>
    </row>
    <row r="22" spans="1:9" ht="18.75" customHeight="1">
      <c r="A22" s="634"/>
      <c r="B22" s="635"/>
      <c r="C22" s="639"/>
      <c r="D22" s="23"/>
      <c r="E22" s="274" t="s">
        <v>17</v>
      </c>
      <c r="F22" s="25"/>
      <c r="G22" s="163">
        <f>원가!G24</f>
        <v>193842</v>
      </c>
      <c r="H22" s="163">
        <f>원가!G57</f>
        <v>141878</v>
      </c>
      <c r="I22" s="163">
        <f>원가!G90</f>
        <v>141878</v>
      </c>
    </row>
    <row r="23" spans="1:9" ht="18.75" customHeight="1">
      <c r="A23" s="634"/>
      <c r="B23" s="635"/>
      <c r="C23" s="642" t="s">
        <v>439</v>
      </c>
      <c r="D23" s="23"/>
      <c r="E23" s="25" t="s">
        <v>288</v>
      </c>
      <c r="F23" s="25"/>
      <c r="G23" s="163">
        <f>원가!G25</f>
        <v>63000</v>
      </c>
      <c r="H23" s="163">
        <f>원가!G58</f>
        <v>63000</v>
      </c>
      <c r="I23" s="163">
        <f>원가!G91</f>
        <v>63000</v>
      </c>
    </row>
    <row r="24" spans="1:9" ht="18.75" customHeight="1">
      <c r="A24" s="634"/>
      <c r="B24" s="635"/>
      <c r="C24" s="643"/>
      <c r="D24" s="23"/>
      <c r="E24" s="274" t="s">
        <v>17</v>
      </c>
      <c r="F24" s="25"/>
      <c r="G24" s="163">
        <f>원가!G26</f>
        <v>63000</v>
      </c>
      <c r="H24" s="163">
        <f>원가!G59</f>
        <v>63000</v>
      </c>
      <c r="I24" s="163">
        <f>원가!G92</f>
        <v>63000</v>
      </c>
    </row>
    <row r="25" spans="1:9" ht="18.75" customHeight="1">
      <c r="A25" s="634"/>
      <c r="B25" s="635"/>
      <c r="C25" s="638" t="s">
        <v>361</v>
      </c>
      <c r="D25" s="23"/>
      <c r="E25" s="25" t="s">
        <v>363</v>
      </c>
      <c r="F25" s="25"/>
      <c r="G25" s="163">
        <f>원가!G27</f>
        <v>9690</v>
      </c>
      <c r="H25" s="163">
        <f>원가!G60</f>
        <v>7093</v>
      </c>
      <c r="I25" s="163">
        <f>원가!G93</f>
        <v>7093</v>
      </c>
    </row>
    <row r="26" spans="1:9" ht="18.75" customHeight="1">
      <c r="A26" s="634"/>
      <c r="B26" s="635"/>
      <c r="C26" s="639"/>
      <c r="D26" s="23"/>
      <c r="E26" s="25" t="s">
        <v>362</v>
      </c>
      <c r="F26" s="25"/>
      <c r="G26" s="163">
        <f>원가!G28</f>
        <v>8333</v>
      </c>
      <c r="H26" s="163">
        <f>원가!G61</f>
        <v>0</v>
      </c>
      <c r="I26" s="163">
        <f>원가!G94</f>
        <v>0</v>
      </c>
    </row>
    <row r="27" spans="1:9" ht="18.75" customHeight="1">
      <c r="A27" s="636"/>
      <c r="B27" s="637"/>
      <c r="C27" s="628" t="s">
        <v>283</v>
      </c>
      <c r="D27" s="629"/>
      <c r="E27" s="629"/>
      <c r="F27" s="630"/>
      <c r="G27" s="163">
        <f>원가!G29</f>
        <v>274865</v>
      </c>
      <c r="H27" s="163">
        <f>원가!G62</f>
        <v>211971</v>
      </c>
      <c r="I27" s="163">
        <f>원가!G95</f>
        <v>211971</v>
      </c>
    </row>
    <row r="28" spans="1:9" ht="18.75" customHeight="1">
      <c r="A28" s="178"/>
      <c r="B28" s="631" t="s">
        <v>222</v>
      </c>
      <c r="C28" s="631"/>
      <c r="D28" s="631"/>
      <c r="E28" s="631"/>
      <c r="F28" s="278"/>
      <c r="G28" s="163">
        <f>원가!G30</f>
        <v>2213041</v>
      </c>
      <c r="H28" s="163">
        <f>원가!G63</f>
        <v>1630590</v>
      </c>
      <c r="I28" s="163">
        <f>원가!G96</f>
        <v>1630590</v>
      </c>
    </row>
    <row r="29" spans="1:9" ht="18.75" customHeight="1">
      <c r="A29" s="275"/>
      <c r="B29" s="631" t="s">
        <v>289</v>
      </c>
      <c r="C29" s="631"/>
      <c r="D29" s="631"/>
      <c r="E29" s="631"/>
      <c r="F29" s="279"/>
      <c r="G29" s="163">
        <f>원가!G31</f>
        <v>110652</v>
      </c>
      <c r="H29" s="163">
        <f>원가!G64</f>
        <v>81529</v>
      </c>
      <c r="I29" s="163">
        <f>원가!G97</f>
        <v>81529</v>
      </c>
    </row>
    <row r="30" spans="1:9" ht="18.75" customHeight="1">
      <c r="A30" s="275"/>
      <c r="B30" s="631" t="s">
        <v>290</v>
      </c>
      <c r="C30" s="631"/>
      <c r="D30" s="631"/>
      <c r="E30" s="631"/>
      <c r="F30" s="279"/>
      <c r="G30" s="163">
        <f>원가!G32</f>
        <v>232369</v>
      </c>
      <c r="H30" s="163">
        <f>원가!G65</f>
        <v>171211</v>
      </c>
      <c r="I30" s="163">
        <f>원가!G98</f>
        <v>171211</v>
      </c>
    </row>
    <row r="31" spans="1:9" ht="18.75" customHeight="1">
      <c r="A31" s="275"/>
      <c r="B31" s="640" t="s">
        <v>428</v>
      </c>
      <c r="C31" s="640"/>
      <c r="D31" s="640"/>
      <c r="E31" s="640"/>
      <c r="F31" s="279"/>
      <c r="G31" s="163">
        <f>원가!G33</f>
        <v>2556062</v>
      </c>
      <c r="H31" s="163">
        <f>원가!G66</f>
        <v>1883330</v>
      </c>
      <c r="I31" s="163">
        <f>원가!G99</f>
        <v>1883330</v>
      </c>
    </row>
    <row r="32" spans="1:9" ht="18.75" customHeight="1">
      <c r="A32" s="275"/>
      <c r="B32" s="640" t="s">
        <v>429</v>
      </c>
      <c r="C32" s="640"/>
      <c r="D32" s="640"/>
      <c r="E32" s="640"/>
      <c r="F32" s="279"/>
      <c r="G32" s="163">
        <f>원가!G34</f>
        <v>255606</v>
      </c>
      <c r="H32" s="163">
        <f>원가!G67</f>
        <v>188333</v>
      </c>
      <c r="I32" s="163">
        <f>원가!G100</f>
        <v>188333</v>
      </c>
    </row>
    <row r="33" spans="1:9" ht="18.75" customHeight="1">
      <c r="A33" s="275"/>
      <c r="B33" s="640" t="s">
        <v>430</v>
      </c>
      <c r="C33" s="640"/>
      <c r="D33" s="640"/>
      <c r="E33" s="640"/>
      <c r="F33" s="279"/>
      <c r="G33" s="163">
        <f>원가!G35</f>
        <v>2811668</v>
      </c>
      <c r="H33" s="163">
        <f>원가!G68</f>
        <v>2071663</v>
      </c>
      <c r="I33" s="163">
        <f>원가!G101</f>
        <v>2071663</v>
      </c>
    </row>
  </sheetData>
  <sheetProtection/>
  <mergeCells count="17">
    <mergeCell ref="B32:E32"/>
    <mergeCell ref="B33:E33"/>
    <mergeCell ref="B30:E30"/>
    <mergeCell ref="B31:E31"/>
    <mergeCell ref="C7:F7"/>
    <mergeCell ref="A7:B15"/>
    <mergeCell ref="C16:C22"/>
    <mergeCell ref="C23:C24"/>
    <mergeCell ref="C8:C12"/>
    <mergeCell ref="C13:F13"/>
    <mergeCell ref="C14:F14"/>
    <mergeCell ref="C15:F15"/>
    <mergeCell ref="B28:E28"/>
    <mergeCell ref="B29:E29"/>
    <mergeCell ref="A16:B27"/>
    <mergeCell ref="C27:F27"/>
    <mergeCell ref="C25:C2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0" r:id="rId2"/>
  <headerFooter alignWithMargins="0"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1"/>
  <sheetViews>
    <sheetView showGridLines="0" showZeros="0" view="pageBreakPreview" zoomScale="80" zoomScaleSheetLayoutView="80" zoomScalePageLayoutView="0" workbookViewId="0" topLeftCell="A1">
      <selection activeCell="L108" sqref="L108"/>
    </sheetView>
  </sheetViews>
  <sheetFormatPr defaultColWidth="9.140625" defaultRowHeight="12"/>
  <cols>
    <col min="1" max="1" width="1.7109375" style="152" customWidth="1"/>
    <col min="2" max="2" width="3.7109375" style="10" customWidth="1"/>
    <col min="3" max="3" width="6.8515625" style="152" customWidth="1"/>
    <col min="4" max="4" width="1.7109375" style="152" customWidth="1"/>
    <col min="5" max="5" width="20.7109375" style="10" customWidth="1"/>
    <col min="6" max="6" width="1.7109375" style="10" customWidth="1"/>
    <col min="7" max="7" width="14.28125" style="33" customWidth="1"/>
    <col min="8" max="8" width="0.9921875" style="32" customWidth="1"/>
    <col min="9" max="9" width="9.28125" style="33" bestFit="1" customWidth="1"/>
    <col min="10" max="10" width="1.1484375" style="32" customWidth="1"/>
    <col min="11" max="11" width="0.85546875" style="33" customWidth="1"/>
    <col min="12" max="12" width="32.28125" style="152" customWidth="1"/>
    <col min="13" max="13" width="11.7109375" style="152" bestFit="1" customWidth="1"/>
    <col min="14" max="14" width="10.7109375" style="152" bestFit="1" customWidth="1"/>
    <col min="15" max="16384" width="9.140625" style="152" customWidth="1"/>
  </cols>
  <sheetData>
    <row r="1" spans="1:15" ht="19.5" customHeight="1">
      <c r="A1" s="220" t="s">
        <v>444</v>
      </c>
      <c r="B1" s="220"/>
      <c r="C1" s="220"/>
      <c r="D1" s="220"/>
      <c r="E1" s="152"/>
      <c r="F1" s="152"/>
      <c r="G1" s="152"/>
      <c r="I1" s="32"/>
      <c r="L1" s="32"/>
      <c r="M1" s="32"/>
      <c r="N1" s="32"/>
      <c r="O1" s="32"/>
    </row>
    <row r="2" spans="1:15" ht="19.5" customHeight="1">
      <c r="A2" s="220"/>
      <c r="B2" s="220"/>
      <c r="C2" s="220"/>
      <c r="D2" s="220"/>
      <c r="E2" s="152"/>
      <c r="F2" s="152"/>
      <c r="G2" s="152"/>
      <c r="I2" s="32"/>
      <c r="L2" s="32"/>
      <c r="M2" s="32"/>
      <c r="N2" s="32"/>
      <c r="O2" s="32"/>
    </row>
    <row r="3" spans="1:12" s="168" customFormat="1" ht="39.75" customHeight="1">
      <c r="A3" s="165" t="s">
        <v>445</v>
      </c>
      <c r="B3" s="166"/>
      <c r="C3" s="221"/>
      <c r="D3" s="221"/>
      <c r="E3" s="222"/>
      <c r="F3" s="222"/>
      <c r="G3" s="167"/>
      <c r="H3" s="153"/>
      <c r="I3" s="28"/>
      <c r="J3" s="29"/>
      <c r="K3" s="28"/>
      <c r="L3" s="165"/>
    </row>
    <row r="4" spans="1:15" ht="19.5" customHeight="1">
      <c r="A4" s="264"/>
      <c r="B4" s="265"/>
      <c r="C4" s="264"/>
      <c r="D4" s="264"/>
      <c r="E4" s="265"/>
      <c r="F4" s="265"/>
      <c r="G4" s="154"/>
      <c r="H4" s="266"/>
      <c r="I4" s="30"/>
      <c r="J4" s="31"/>
      <c r="K4" s="30"/>
      <c r="L4" s="184"/>
      <c r="O4" s="168"/>
    </row>
    <row r="5" spans="1:15" ht="19.5" customHeight="1">
      <c r="A5" s="264"/>
      <c r="B5" s="265"/>
      <c r="C5" s="264"/>
      <c r="D5" s="264"/>
      <c r="E5" s="265"/>
      <c r="F5" s="265"/>
      <c r="G5" s="154"/>
      <c r="H5" s="266"/>
      <c r="I5" s="30"/>
      <c r="J5" s="31"/>
      <c r="K5" s="30"/>
      <c r="L5" s="184"/>
      <c r="O5" s="168"/>
    </row>
    <row r="6" spans="1:15" ht="19.5" customHeight="1">
      <c r="A6" s="169" t="str">
        <f>"구 분 : "&amp;월기본급!B9&amp;"                       직종명 : "&amp;월기본급!F9&amp;""</f>
        <v>구 분 : 기계반장                       직종명 : 기계정비공</v>
      </c>
      <c r="B6" s="170"/>
      <c r="C6" s="169"/>
      <c r="D6" s="169"/>
      <c r="G6" s="171"/>
      <c r="H6" s="171"/>
      <c r="I6" s="171"/>
      <c r="L6" s="267" t="s">
        <v>27</v>
      </c>
      <c r="O6" s="168"/>
    </row>
    <row r="7" spans="1:15" ht="19.5" customHeight="1">
      <c r="A7" s="268"/>
      <c r="B7" s="269"/>
      <c r="C7" s="269"/>
      <c r="D7" s="269"/>
      <c r="E7" s="270" t="s">
        <v>28</v>
      </c>
      <c r="F7" s="270"/>
      <c r="G7" s="646" t="s">
        <v>29</v>
      </c>
      <c r="H7" s="644"/>
      <c r="I7" s="646" t="s">
        <v>30</v>
      </c>
      <c r="J7" s="644"/>
      <c r="K7" s="281"/>
      <c r="L7" s="644" t="s">
        <v>31</v>
      </c>
      <c r="O7" s="168"/>
    </row>
    <row r="8" spans="1:12" ht="19.5" customHeight="1">
      <c r="A8" s="271" t="s">
        <v>32</v>
      </c>
      <c r="B8" s="277"/>
      <c r="C8" s="272"/>
      <c r="D8" s="272"/>
      <c r="E8" s="272"/>
      <c r="F8" s="272"/>
      <c r="G8" s="647"/>
      <c r="H8" s="645"/>
      <c r="I8" s="647"/>
      <c r="J8" s="645"/>
      <c r="K8" s="282"/>
      <c r="L8" s="645"/>
    </row>
    <row r="9" spans="1:12" ht="19.5" customHeight="1">
      <c r="A9" s="632" t="s">
        <v>259</v>
      </c>
      <c r="B9" s="633"/>
      <c r="C9" s="628" t="s">
        <v>33</v>
      </c>
      <c r="D9" s="629"/>
      <c r="E9" s="629"/>
      <c r="F9" s="630"/>
      <c r="G9" s="186">
        <f>단위당인건비!E6</f>
        <v>1342425</v>
      </c>
      <c r="H9" s="228"/>
      <c r="I9" s="186"/>
      <c r="J9" s="228"/>
      <c r="K9" s="280"/>
      <c r="L9" s="22"/>
    </row>
    <row r="10" spans="1:12" ht="19.5" customHeight="1">
      <c r="A10" s="634"/>
      <c r="B10" s="635"/>
      <c r="C10" s="638" t="s">
        <v>356</v>
      </c>
      <c r="D10" s="23"/>
      <c r="E10" s="25" t="s">
        <v>2</v>
      </c>
      <c r="F10" s="23"/>
      <c r="G10" s="186">
        <f>단위당인건비!E7</f>
        <v>6969</v>
      </c>
      <c r="H10" s="228"/>
      <c r="I10" s="186"/>
      <c r="J10" s="228"/>
      <c r="K10" s="280"/>
      <c r="L10" s="22"/>
    </row>
    <row r="11" spans="1:12" ht="19.5" customHeight="1">
      <c r="A11" s="634"/>
      <c r="B11" s="635"/>
      <c r="C11" s="641"/>
      <c r="D11" s="23"/>
      <c r="E11" s="25" t="s">
        <v>268</v>
      </c>
      <c r="F11" s="273"/>
      <c r="G11" s="186">
        <f>단위당인건비!E8</f>
        <v>77077</v>
      </c>
      <c r="H11" s="228"/>
      <c r="I11" s="186"/>
      <c r="J11" s="228"/>
      <c r="K11" s="280"/>
      <c r="L11" s="22"/>
    </row>
    <row r="12" spans="1:12" ht="19.5" customHeight="1">
      <c r="A12" s="634"/>
      <c r="B12" s="635"/>
      <c r="C12" s="641"/>
      <c r="D12" s="23"/>
      <c r="E12" s="25" t="s">
        <v>16</v>
      </c>
      <c r="F12" s="273"/>
      <c r="G12" s="186">
        <f>단위당인건비!E9</f>
        <v>64230</v>
      </c>
      <c r="H12" s="228"/>
      <c r="I12" s="186"/>
      <c r="J12" s="228"/>
      <c r="K12" s="280"/>
      <c r="L12" s="22"/>
    </row>
    <row r="13" spans="1:12" ht="19.5" customHeight="1">
      <c r="A13" s="634"/>
      <c r="B13" s="635"/>
      <c r="C13" s="641"/>
      <c r="D13" s="23"/>
      <c r="E13" s="25" t="s">
        <v>358</v>
      </c>
      <c r="F13" s="273"/>
      <c r="G13" s="186">
        <f>단위당인건비!E10</f>
        <v>0</v>
      </c>
      <c r="H13" s="228"/>
      <c r="I13" s="186"/>
      <c r="J13" s="228"/>
      <c r="K13" s="280"/>
      <c r="L13" s="22"/>
    </row>
    <row r="14" spans="1:12" ht="19.5" customHeight="1">
      <c r="A14" s="634"/>
      <c r="B14" s="635"/>
      <c r="C14" s="639"/>
      <c r="D14" s="23"/>
      <c r="E14" s="274" t="s">
        <v>35</v>
      </c>
      <c r="F14" s="274"/>
      <c r="G14" s="186">
        <f>단위당인건비!E11</f>
        <v>148276</v>
      </c>
      <c r="H14" s="228"/>
      <c r="I14" s="248"/>
      <c r="J14" s="228"/>
      <c r="K14" s="280"/>
      <c r="L14" s="179"/>
    </row>
    <row r="15" spans="1:12" ht="19.5" customHeight="1">
      <c r="A15" s="634"/>
      <c r="B15" s="635"/>
      <c r="C15" s="628" t="s">
        <v>36</v>
      </c>
      <c r="D15" s="629"/>
      <c r="E15" s="629"/>
      <c r="F15" s="630"/>
      <c r="G15" s="186">
        <f>단위당인건비!E12</f>
        <v>447475</v>
      </c>
      <c r="H15" s="228"/>
      <c r="I15" s="248"/>
      <c r="J15" s="228"/>
      <c r="K15" s="280"/>
      <c r="L15" s="179"/>
    </row>
    <row r="16" spans="1:12" ht="19.5" customHeight="1">
      <c r="A16" s="634"/>
      <c r="B16" s="635"/>
      <c r="C16" s="628" t="s">
        <v>37</v>
      </c>
      <c r="D16" s="629"/>
      <c r="E16" s="629"/>
      <c r="F16" s="630"/>
      <c r="G16" s="186">
        <f>단위당인건비!E13</f>
        <v>0</v>
      </c>
      <c r="H16" s="228"/>
      <c r="I16" s="248"/>
      <c r="J16" s="228"/>
      <c r="K16" s="280"/>
      <c r="L16" s="179"/>
    </row>
    <row r="17" spans="1:12" ht="19.5" customHeight="1">
      <c r="A17" s="636"/>
      <c r="B17" s="637"/>
      <c r="C17" s="628" t="s">
        <v>38</v>
      </c>
      <c r="D17" s="629"/>
      <c r="E17" s="629"/>
      <c r="F17" s="630"/>
      <c r="G17" s="186">
        <f>단위당인건비!E14</f>
        <v>1938176</v>
      </c>
      <c r="H17" s="228"/>
      <c r="I17" s="276">
        <f>TRUNC(G17/$G$33*100,2)</f>
        <v>75.82</v>
      </c>
      <c r="J17" s="228"/>
      <c r="K17" s="280"/>
      <c r="L17" s="179" t="str">
        <f>단위당인건비!$A$1&amp;"참조"</f>
        <v>&lt; 표 : 5 &gt; 참조</v>
      </c>
    </row>
    <row r="18" spans="1:14" ht="19.5" customHeight="1">
      <c r="A18" s="632" t="s">
        <v>274</v>
      </c>
      <c r="B18" s="633"/>
      <c r="C18" s="638" t="s">
        <v>15</v>
      </c>
      <c r="D18" s="23"/>
      <c r="E18" s="25" t="s">
        <v>39</v>
      </c>
      <c r="F18" s="25"/>
      <c r="G18" s="186">
        <f>경비집계표!E7</f>
        <v>40701</v>
      </c>
      <c r="H18" s="228"/>
      <c r="I18" s="186"/>
      <c r="J18" s="228"/>
      <c r="K18" s="280"/>
      <c r="L18" s="179"/>
      <c r="M18" s="467">
        <f>TRUNC(SUM(G9+G14+G15)*2.1%)</f>
        <v>40701</v>
      </c>
      <c r="N18" s="467">
        <f aca="true" t="shared" si="0" ref="N18:N23">G18-M18</f>
        <v>0</v>
      </c>
    </row>
    <row r="19" spans="1:14" ht="19.5" customHeight="1">
      <c r="A19" s="634"/>
      <c r="B19" s="635"/>
      <c r="C19" s="641"/>
      <c r="D19" s="23"/>
      <c r="E19" s="25" t="s">
        <v>40</v>
      </c>
      <c r="F19" s="25"/>
      <c r="G19" s="186">
        <f>경비집계표!E8</f>
        <v>87217</v>
      </c>
      <c r="H19" s="228"/>
      <c r="I19" s="186"/>
      <c r="J19" s="228"/>
      <c r="K19" s="280"/>
      <c r="L19" s="179"/>
      <c r="M19" s="467">
        <f>TRUNC(SUM(G9+G14+G15)*4.5%)</f>
        <v>87217</v>
      </c>
      <c r="N19" s="467">
        <f t="shared" si="0"/>
        <v>0</v>
      </c>
    </row>
    <row r="20" spans="1:14" ht="19.5" customHeight="1">
      <c r="A20" s="634"/>
      <c r="B20" s="635"/>
      <c r="C20" s="641"/>
      <c r="D20" s="23"/>
      <c r="E20" s="25" t="s">
        <v>41</v>
      </c>
      <c r="F20" s="25"/>
      <c r="G20" s="186">
        <f>경비집계표!E9</f>
        <v>13567</v>
      </c>
      <c r="H20" s="228"/>
      <c r="I20" s="186"/>
      <c r="J20" s="228"/>
      <c r="K20" s="280"/>
      <c r="L20" s="179"/>
      <c r="M20" s="467">
        <f>TRUNC(SUM(G9+G14+G15)*1.15%)</f>
        <v>22289</v>
      </c>
      <c r="N20" s="467">
        <f t="shared" si="0"/>
        <v>-8722</v>
      </c>
    </row>
    <row r="21" spans="1:14" ht="19.5" customHeight="1">
      <c r="A21" s="634"/>
      <c r="B21" s="635"/>
      <c r="C21" s="641"/>
      <c r="D21" s="23"/>
      <c r="E21" s="25" t="s">
        <v>42</v>
      </c>
      <c r="F21" s="25"/>
      <c r="G21" s="186">
        <f>경비집계표!E10</f>
        <v>49229</v>
      </c>
      <c r="H21" s="228"/>
      <c r="I21" s="186"/>
      <c r="J21" s="228"/>
      <c r="K21" s="280"/>
      <c r="L21" s="179"/>
      <c r="M21" s="467">
        <f>TRUNC(SUM(G9+G14+G15)*2.54%)</f>
        <v>49229</v>
      </c>
      <c r="N21" s="467">
        <f t="shared" si="0"/>
        <v>0</v>
      </c>
    </row>
    <row r="22" spans="1:14" ht="19.5" customHeight="1">
      <c r="A22" s="634"/>
      <c r="B22" s="635"/>
      <c r="C22" s="641"/>
      <c r="D22" s="23"/>
      <c r="E22" s="319" t="s">
        <v>355</v>
      </c>
      <c r="F22" s="25"/>
      <c r="G22" s="186">
        <f>경비집계표!E11</f>
        <v>2353</v>
      </c>
      <c r="H22" s="228"/>
      <c r="I22" s="186"/>
      <c r="J22" s="228"/>
      <c r="K22" s="280"/>
      <c r="L22" s="179"/>
      <c r="M22" s="467">
        <f>TRUNC(M21*4.78%)</f>
        <v>2353</v>
      </c>
      <c r="N22" s="467">
        <f t="shared" si="0"/>
        <v>0</v>
      </c>
    </row>
    <row r="23" spans="1:14" ht="19.5" customHeight="1">
      <c r="A23" s="634"/>
      <c r="B23" s="635"/>
      <c r="C23" s="641"/>
      <c r="D23" s="23"/>
      <c r="E23" s="25" t="s">
        <v>43</v>
      </c>
      <c r="F23" s="25"/>
      <c r="G23" s="186">
        <f>경비집계표!E12</f>
        <v>775</v>
      </c>
      <c r="H23" s="228"/>
      <c r="I23" s="186"/>
      <c r="J23" s="228"/>
      <c r="K23" s="280"/>
      <c r="L23" s="179"/>
      <c r="M23" s="467">
        <f>TRUNC(SUM(G9+G14+G15)*0.04%)</f>
        <v>775</v>
      </c>
      <c r="N23" s="467">
        <f t="shared" si="0"/>
        <v>0</v>
      </c>
    </row>
    <row r="24" spans="1:14" ht="19.5" customHeight="1">
      <c r="A24" s="634"/>
      <c r="B24" s="635"/>
      <c r="C24" s="639"/>
      <c r="D24" s="23"/>
      <c r="E24" s="274" t="s">
        <v>35</v>
      </c>
      <c r="F24" s="25"/>
      <c r="G24" s="186">
        <f>경비집계표!E13</f>
        <v>193842</v>
      </c>
      <c r="H24" s="228"/>
      <c r="I24" s="186"/>
      <c r="J24" s="228"/>
      <c r="K24" s="280"/>
      <c r="L24" s="179"/>
      <c r="M24" s="468">
        <f>SUM(M18:M23)</f>
        <v>202564</v>
      </c>
      <c r="N24" s="467">
        <f>G24-M24</f>
        <v>-8722</v>
      </c>
    </row>
    <row r="25" spans="1:12" ht="19.5" customHeight="1">
      <c r="A25" s="634"/>
      <c r="B25" s="635"/>
      <c r="C25" s="642" t="s">
        <v>440</v>
      </c>
      <c r="D25" s="23"/>
      <c r="E25" s="25" t="s">
        <v>44</v>
      </c>
      <c r="F25" s="25"/>
      <c r="G25" s="186">
        <f>경비집계표!E14</f>
        <v>63000</v>
      </c>
      <c r="H25" s="228"/>
      <c r="I25" s="186"/>
      <c r="J25" s="228"/>
      <c r="K25" s="280"/>
      <c r="L25" s="179"/>
    </row>
    <row r="26" spans="1:12" ht="19.5" customHeight="1">
      <c r="A26" s="634"/>
      <c r="B26" s="635"/>
      <c r="C26" s="643"/>
      <c r="D26" s="23"/>
      <c r="E26" s="274" t="s">
        <v>35</v>
      </c>
      <c r="F26" s="25"/>
      <c r="G26" s="186">
        <f>경비집계표!E15</f>
        <v>63000</v>
      </c>
      <c r="H26" s="228"/>
      <c r="I26" s="186"/>
      <c r="J26" s="228"/>
      <c r="K26" s="280"/>
      <c r="L26" s="179"/>
    </row>
    <row r="27" spans="1:12" ht="19.5" customHeight="1">
      <c r="A27" s="634"/>
      <c r="B27" s="635"/>
      <c r="C27" s="638" t="s">
        <v>361</v>
      </c>
      <c r="D27" s="23"/>
      <c r="E27" s="25" t="s">
        <v>363</v>
      </c>
      <c r="F27" s="25"/>
      <c r="G27" s="186">
        <f>경비집계표!E16</f>
        <v>9690</v>
      </c>
      <c r="H27" s="228"/>
      <c r="I27" s="186"/>
      <c r="J27" s="228"/>
      <c r="K27" s="280"/>
      <c r="L27" s="179"/>
    </row>
    <row r="28" spans="1:12" ht="19.5" customHeight="1">
      <c r="A28" s="634"/>
      <c r="B28" s="635"/>
      <c r="C28" s="639"/>
      <c r="D28" s="23"/>
      <c r="E28" s="25" t="s">
        <v>362</v>
      </c>
      <c r="F28" s="25"/>
      <c r="G28" s="186">
        <f>경비집계표!E17</f>
        <v>8333</v>
      </c>
      <c r="H28" s="228"/>
      <c r="I28" s="186"/>
      <c r="J28" s="228"/>
      <c r="K28" s="280"/>
      <c r="L28" s="179"/>
    </row>
    <row r="29" spans="1:12" ht="19.5" customHeight="1">
      <c r="A29" s="636"/>
      <c r="B29" s="637"/>
      <c r="C29" s="628" t="s">
        <v>38</v>
      </c>
      <c r="D29" s="629"/>
      <c r="E29" s="629"/>
      <c r="F29" s="630"/>
      <c r="G29" s="186">
        <f>경비집계표!E18</f>
        <v>274865</v>
      </c>
      <c r="H29" s="228"/>
      <c r="I29" s="276">
        <f>ROUNDUP(G29/$G$33*100,1)</f>
        <v>10.799999999999999</v>
      </c>
      <c r="J29" s="228"/>
      <c r="K29" s="280"/>
      <c r="L29" s="179" t="str">
        <f>경비집계표!$A$1&amp;"참조"</f>
        <v>&lt; 표 : 11 &gt; 참조</v>
      </c>
    </row>
    <row r="30" spans="1:12" ht="19.5" customHeight="1">
      <c r="A30" s="178"/>
      <c r="B30" s="631" t="s">
        <v>222</v>
      </c>
      <c r="C30" s="631"/>
      <c r="D30" s="631"/>
      <c r="E30" s="631"/>
      <c r="F30" s="278"/>
      <c r="G30" s="186">
        <f>SUM(G17,G29)</f>
        <v>2213041</v>
      </c>
      <c r="H30" s="228"/>
      <c r="I30" s="276">
        <f>TRUNC(G30/$G$33*100,2)</f>
        <v>86.58</v>
      </c>
      <c r="J30" s="228"/>
      <c r="K30" s="280"/>
      <c r="L30" s="179" t="s">
        <v>387</v>
      </c>
    </row>
    <row r="31" spans="1:12" ht="19.5" customHeight="1">
      <c r="A31" s="275"/>
      <c r="B31" s="631" t="s">
        <v>223</v>
      </c>
      <c r="C31" s="631"/>
      <c r="D31" s="631"/>
      <c r="E31" s="631"/>
      <c r="F31" s="279"/>
      <c r="G31" s="186">
        <f>TRUNC(G30*5%,0)</f>
        <v>110652</v>
      </c>
      <c r="H31" s="228"/>
      <c r="I31" s="276">
        <f>TRUNC(G31/$G$33*100,2)</f>
        <v>4.32</v>
      </c>
      <c r="J31" s="228"/>
      <c r="K31" s="280"/>
      <c r="L31" s="179" t="s">
        <v>239</v>
      </c>
    </row>
    <row r="32" spans="1:12" ht="19.5" customHeight="1">
      <c r="A32" s="275"/>
      <c r="B32" s="631" t="s">
        <v>265</v>
      </c>
      <c r="C32" s="631"/>
      <c r="D32" s="631"/>
      <c r="E32" s="631"/>
      <c r="F32" s="279"/>
      <c r="G32" s="186">
        <f>TRUNC(SUM(G17,G29,G31)*10%,0)</f>
        <v>232369</v>
      </c>
      <c r="H32" s="228"/>
      <c r="I32" s="276">
        <f>TRUNC(G32/$G$33*100,2)</f>
        <v>9.09</v>
      </c>
      <c r="J32" s="228"/>
      <c r="K32" s="280"/>
      <c r="L32" s="179" t="s">
        <v>377</v>
      </c>
    </row>
    <row r="33" spans="1:12" ht="19.5" customHeight="1">
      <c r="A33" s="275"/>
      <c r="B33" s="631" t="s">
        <v>427</v>
      </c>
      <c r="C33" s="631"/>
      <c r="D33" s="631"/>
      <c r="E33" s="631"/>
      <c r="F33" s="279"/>
      <c r="G33" s="186">
        <f>SUM(G30:G32)</f>
        <v>2556062</v>
      </c>
      <c r="H33" s="228"/>
      <c r="I33" s="276">
        <f>TRUNC(G33/$G$33*100,2)</f>
        <v>100</v>
      </c>
      <c r="J33" s="228"/>
      <c r="K33" s="280"/>
      <c r="L33" s="179" t="s">
        <v>376</v>
      </c>
    </row>
    <row r="34" spans="1:12" ht="19.5" customHeight="1">
      <c r="A34" s="275"/>
      <c r="B34" s="640" t="s">
        <v>431</v>
      </c>
      <c r="C34" s="640"/>
      <c r="D34" s="640"/>
      <c r="E34" s="640"/>
      <c r="F34" s="279"/>
      <c r="G34" s="462">
        <f>TRUNC(G33*10%)</f>
        <v>255606</v>
      </c>
      <c r="H34" s="504"/>
      <c r="I34" s="506"/>
      <c r="J34" s="504"/>
      <c r="K34" s="505"/>
      <c r="L34" s="435" t="s">
        <v>433</v>
      </c>
    </row>
    <row r="35" spans="1:12" ht="19.5" customHeight="1">
      <c r="A35" s="275"/>
      <c r="B35" s="640" t="s">
        <v>432</v>
      </c>
      <c r="C35" s="640"/>
      <c r="D35" s="640"/>
      <c r="E35" s="640"/>
      <c r="F35" s="279"/>
      <c r="G35" s="462">
        <f>SUM(G33:G34)</f>
        <v>2811668</v>
      </c>
      <c r="H35" s="504"/>
      <c r="I35" s="506"/>
      <c r="J35" s="504"/>
      <c r="K35" s="505"/>
      <c r="L35" s="435" t="s">
        <v>434</v>
      </c>
    </row>
    <row r="36" spans="1:15" ht="19.5" customHeight="1">
      <c r="A36" s="220"/>
      <c r="B36" s="220"/>
      <c r="C36" s="220"/>
      <c r="D36" s="220"/>
      <c r="E36" s="152"/>
      <c r="F36" s="152"/>
      <c r="G36" s="152"/>
      <c r="I36" s="32"/>
      <c r="L36" s="32"/>
      <c r="M36" s="32"/>
      <c r="N36" s="32"/>
      <c r="O36" s="32"/>
    </row>
    <row r="37" spans="1:12" s="168" customFormat="1" ht="39.75" customHeight="1">
      <c r="A37" s="165" t="s">
        <v>447</v>
      </c>
      <c r="B37" s="166"/>
      <c r="C37" s="221"/>
      <c r="D37" s="221"/>
      <c r="E37" s="222"/>
      <c r="F37" s="222"/>
      <c r="G37" s="167"/>
      <c r="H37" s="153"/>
      <c r="I37" s="28"/>
      <c r="J37" s="29"/>
      <c r="K37" s="28"/>
      <c r="L37" s="165"/>
    </row>
    <row r="38" spans="1:15" ht="19.5" customHeight="1">
      <c r="A38" s="264"/>
      <c r="B38" s="265"/>
      <c r="C38" s="264"/>
      <c r="D38" s="264"/>
      <c r="E38" s="265"/>
      <c r="F38" s="265"/>
      <c r="G38" s="154"/>
      <c r="H38" s="266"/>
      <c r="I38" s="30"/>
      <c r="J38" s="31"/>
      <c r="K38" s="30"/>
      <c r="L38" s="184"/>
      <c r="O38" s="168"/>
    </row>
    <row r="39" spans="1:15" ht="19.5" customHeight="1">
      <c r="A39" s="169" t="str">
        <f>"구 분 : "&amp;월기본급!B10&amp;"                       직종명 : "&amp;월기본급!F10&amp;""</f>
        <v>구 분 : 미화원                       직종명 : 보통인부</v>
      </c>
      <c r="B39" s="170"/>
      <c r="C39" s="169"/>
      <c r="D39" s="169"/>
      <c r="G39" s="171"/>
      <c r="H39" s="171"/>
      <c r="I39" s="171"/>
      <c r="L39" s="267" t="s">
        <v>27</v>
      </c>
      <c r="O39" s="168"/>
    </row>
    <row r="40" spans="1:15" ht="19.5" customHeight="1">
      <c r="A40" s="268"/>
      <c r="B40" s="269"/>
      <c r="C40" s="269"/>
      <c r="D40" s="269"/>
      <c r="E40" s="270" t="s">
        <v>28</v>
      </c>
      <c r="F40" s="270"/>
      <c r="G40" s="646" t="s">
        <v>29</v>
      </c>
      <c r="H40" s="644"/>
      <c r="I40" s="646" t="s">
        <v>30</v>
      </c>
      <c r="J40" s="644"/>
      <c r="K40" s="281"/>
      <c r="L40" s="644" t="s">
        <v>31</v>
      </c>
      <c r="O40" s="168"/>
    </row>
    <row r="41" spans="1:12" ht="19.5" customHeight="1">
      <c r="A41" s="271" t="s">
        <v>32</v>
      </c>
      <c r="B41" s="277"/>
      <c r="C41" s="272"/>
      <c r="D41" s="272"/>
      <c r="E41" s="272"/>
      <c r="F41" s="272"/>
      <c r="G41" s="647"/>
      <c r="H41" s="645"/>
      <c r="I41" s="647"/>
      <c r="J41" s="645"/>
      <c r="K41" s="282"/>
      <c r="L41" s="645"/>
    </row>
    <row r="42" spans="1:12" ht="19.5" customHeight="1">
      <c r="A42" s="632" t="s">
        <v>259</v>
      </c>
      <c r="B42" s="633"/>
      <c r="C42" s="628" t="s">
        <v>33</v>
      </c>
      <c r="D42" s="629"/>
      <c r="E42" s="629"/>
      <c r="F42" s="630"/>
      <c r="G42" s="186">
        <f>단위당인건비!E27</f>
        <v>982569</v>
      </c>
      <c r="H42" s="228"/>
      <c r="I42" s="186"/>
      <c r="J42" s="228"/>
      <c r="K42" s="280"/>
      <c r="L42" s="22"/>
    </row>
    <row r="43" spans="1:12" ht="19.5" customHeight="1">
      <c r="A43" s="634"/>
      <c r="B43" s="635"/>
      <c r="C43" s="638" t="s">
        <v>356</v>
      </c>
      <c r="D43" s="23"/>
      <c r="E43" s="25" t="s">
        <v>2</v>
      </c>
      <c r="F43" s="23"/>
      <c r="G43" s="186">
        <f>단위당인건비!E28</f>
        <v>5100</v>
      </c>
      <c r="H43" s="228"/>
      <c r="I43" s="186"/>
      <c r="J43" s="228"/>
      <c r="K43" s="280"/>
      <c r="L43" s="22"/>
    </row>
    <row r="44" spans="1:12" ht="19.5" customHeight="1">
      <c r="A44" s="634"/>
      <c r="B44" s="635"/>
      <c r="C44" s="641"/>
      <c r="D44" s="23"/>
      <c r="E44" s="25" t="s">
        <v>311</v>
      </c>
      <c r="F44" s="273"/>
      <c r="G44" s="186">
        <f>단위당인건비!E29</f>
        <v>56415</v>
      </c>
      <c r="H44" s="228"/>
      <c r="I44" s="186"/>
      <c r="J44" s="228"/>
      <c r="K44" s="280"/>
      <c r="L44" s="22"/>
    </row>
    <row r="45" spans="1:12" ht="19.5" customHeight="1">
      <c r="A45" s="634"/>
      <c r="B45" s="635"/>
      <c r="C45" s="641"/>
      <c r="D45" s="23"/>
      <c r="E45" s="25" t="s">
        <v>16</v>
      </c>
      <c r="F45" s="273"/>
      <c r="G45" s="186">
        <f>단위당인건비!E30</f>
        <v>47012</v>
      </c>
      <c r="H45" s="228"/>
      <c r="I45" s="186"/>
      <c r="J45" s="228"/>
      <c r="K45" s="280"/>
      <c r="L45" s="22"/>
    </row>
    <row r="46" spans="1:12" ht="19.5" customHeight="1">
      <c r="A46" s="634"/>
      <c r="B46" s="635"/>
      <c r="C46" s="641"/>
      <c r="D46" s="23"/>
      <c r="E46" s="25" t="s">
        <v>358</v>
      </c>
      <c r="F46" s="273"/>
      <c r="G46" s="186">
        <f>단위당인건비!E31</f>
        <v>0</v>
      </c>
      <c r="H46" s="228"/>
      <c r="I46" s="186"/>
      <c r="J46" s="228"/>
      <c r="K46" s="280"/>
      <c r="L46" s="22"/>
    </row>
    <row r="47" spans="1:12" ht="19.5" customHeight="1">
      <c r="A47" s="634"/>
      <c r="B47" s="635"/>
      <c r="C47" s="639"/>
      <c r="D47" s="23"/>
      <c r="E47" s="274" t="s">
        <v>35</v>
      </c>
      <c r="F47" s="274"/>
      <c r="G47" s="186">
        <f>단위당인건비!E32</f>
        <v>108527</v>
      </c>
      <c r="H47" s="228"/>
      <c r="I47" s="248"/>
      <c r="J47" s="228"/>
      <c r="K47" s="280"/>
      <c r="L47" s="179"/>
    </row>
    <row r="48" spans="1:12" ht="19.5" customHeight="1">
      <c r="A48" s="634"/>
      <c r="B48" s="635"/>
      <c r="C48" s="628" t="s">
        <v>36</v>
      </c>
      <c r="D48" s="629"/>
      <c r="E48" s="629"/>
      <c r="F48" s="630"/>
      <c r="G48" s="186">
        <f>단위당인건비!E33</f>
        <v>327523</v>
      </c>
      <c r="H48" s="228"/>
      <c r="I48" s="248"/>
      <c r="J48" s="228"/>
      <c r="K48" s="280"/>
      <c r="L48" s="179"/>
    </row>
    <row r="49" spans="1:12" ht="19.5" customHeight="1">
      <c r="A49" s="634"/>
      <c r="B49" s="635"/>
      <c r="C49" s="628" t="s">
        <v>37</v>
      </c>
      <c r="D49" s="629"/>
      <c r="E49" s="629"/>
      <c r="F49" s="630"/>
      <c r="G49" s="186">
        <f>단위당인건비!E34</f>
        <v>0</v>
      </c>
      <c r="H49" s="228"/>
      <c r="I49" s="248"/>
      <c r="J49" s="228"/>
      <c r="K49" s="280"/>
      <c r="L49" s="179"/>
    </row>
    <row r="50" spans="1:12" ht="19.5" customHeight="1">
      <c r="A50" s="636"/>
      <c r="B50" s="637"/>
      <c r="C50" s="628" t="s">
        <v>38</v>
      </c>
      <c r="D50" s="629"/>
      <c r="E50" s="629"/>
      <c r="F50" s="630"/>
      <c r="G50" s="186">
        <f>단위당인건비!E35</f>
        <v>1418619</v>
      </c>
      <c r="H50" s="228"/>
      <c r="I50" s="276">
        <f>TRUNC(G50/$G$66*100,2)</f>
        <v>75.32</v>
      </c>
      <c r="J50" s="228"/>
      <c r="K50" s="280"/>
      <c r="L50" s="179" t="str">
        <f>단위당인건비!$A$1&amp;"참조"</f>
        <v>&lt; 표 : 5 &gt; 참조</v>
      </c>
    </row>
    <row r="51" spans="1:14" ht="19.5" customHeight="1">
      <c r="A51" s="632" t="s">
        <v>274</v>
      </c>
      <c r="B51" s="633"/>
      <c r="C51" s="638" t="s">
        <v>15</v>
      </c>
      <c r="D51" s="23"/>
      <c r="E51" s="25" t="s">
        <v>39</v>
      </c>
      <c r="F51" s="25"/>
      <c r="G51" s="186">
        <f>경비집계표!F7</f>
        <v>29790</v>
      </c>
      <c r="H51" s="228"/>
      <c r="I51" s="186"/>
      <c r="J51" s="228"/>
      <c r="K51" s="280"/>
      <c r="L51" s="179"/>
      <c r="M51" s="467">
        <f>TRUNC(SUM(G42+G47+G48)*2.1%)</f>
        <v>29790</v>
      </c>
      <c r="N51" s="467">
        <f aca="true" t="shared" si="1" ref="N51:N56">G51-M51</f>
        <v>0</v>
      </c>
    </row>
    <row r="52" spans="1:14" ht="19.5" customHeight="1">
      <c r="A52" s="634"/>
      <c r="B52" s="635"/>
      <c r="C52" s="641"/>
      <c r="D52" s="23"/>
      <c r="E52" s="25" t="s">
        <v>40</v>
      </c>
      <c r="F52" s="25"/>
      <c r="G52" s="186">
        <f>경비집계표!F8</f>
        <v>63837</v>
      </c>
      <c r="H52" s="228"/>
      <c r="I52" s="186"/>
      <c r="J52" s="228"/>
      <c r="K52" s="280"/>
      <c r="L52" s="179"/>
      <c r="M52" s="467">
        <f>TRUNC(SUM(G42+G47+G48)*4.5%)</f>
        <v>63837</v>
      </c>
      <c r="N52" s="467">
        <f t="shared" si="1"/>
        <v>0</v>
      </c>
    </row>
    <row r="53" spans="1:14" ht="19.5" customHeight="1">
      <c r="A53" s="634"/>
      <c r="B53" s="635"/>
      <c r="C53" s="641"/>
      <c r="D53" s="23"/>
      <c r="E53" s="25" t="s">
        <v>41</v>
      </c>
      <c r="F53" s="25"/>
      <c r="G53" s="186">
        <f>경비집계표!F9</f>
        <v>9930</v>
      </c>
      <c r="H53" s="228"/>
      <c r="I53" s="186"/>
      <c r="J53" s="228"/>
      <c r="K53" s="280"/>
      <c r="L53" s="179"/>
      <c r="M53" s="467">
        <f>TRUNC(SUM(G42+G47+G48)*1.15%)</f>
        <v>16314</v>
      </c>
      <c r="N53" s="467">
        <f t="shared" si="1"/>
        <v>-6384</v>
      </c>
    </row>
    <row r="54" spans="1:14" ht="19.5" customHeight="1">
      <c r="A54" s="634"/>
      <c r="B54" s="635"/>
      <c r="C54" s="641"/>
      <c r="D54" s="23"/>
      <c r="E54" s="25" t="s">
        <v>42</v>
      </c>
      <c r="F54" s="25"/>
      <c r="G54" s="186">
        <f>경비집계표!F10</f>
        <v>36032</v>
      </c>
      <c r="H54" s="228"/>
      <c r="I54" s="186"/>
      <c r="J54" s="228"/>
      <c r="K54" s="280"/>
      <c r="L54" s="179"/>
      <c r="M54" s="467">
        <f>TRUNC(SUM(G42+G47+G48)*2.54%)</f>
        <v>36032</v>
      </c>
      <c r="N54" s="467">
        <f t="shared" si="1"/>
        <v>0</v>
      </c>
    </row>
    <row r="55" spans="1:14" ht="19.5" customHeight="1">
      <c r="A55" s="634"/>
      <c r="B55" s="635"/>
      <c r="C55" s="641"/>
      <c r="D55" s="23"/>
      <c r="E55" s="319" t="s">
        <v>355</v>
      </c>
      <c r="F55" s="25"/>
      <c r="G55" s="186">
        <f>경비집계표!F11</f>
        <v>1722</v>
      </c>
      <c r="H55" s="228"/>
      <c r="I55" s="186"/>
      <c r="J55" s="228"/>
      <c r="K55" s="280"/>
      <c r="L55" s="179"/>
      <c r="M55" s="467">
        <f>TRUNC(M54*4.78%)</f>
        <v>1722</v>
      </c>
      <c r="N55" s="467">
        <f t="shared" si="1"/>
        <v>0</v>
      </c>
    </row>
    <row r="56" spans="1:14" ht="19.5" customHeight="1">
      <c r="A56" s="634"/>
      <c r="B56" s="635"/>
      <c r="C56" s="641"/>
      <c r="D56" s="23"/>
      <c r="E56" s="25" t="s">
        <v>43</v>
      </c>
      <c r="F56" s="25"/>
      <c r="G56" s="186">
        <f>경비집계표!F12</f>
        <v>567</v>
      </c>
      <c r="H56" s="228"/>
      <c r="I56" s="186"/>
      <c r="J56" s="228"/>
      <c r="K56" s="280"/>
      <c r="L56" s="179"/>
      <c r="M56" s="467">
        <f>TRUNC(SUM(G42+G47+G48)*0.04%)</f>
        <v>567</v>
      </c>
      <c r="N56" s="467">
        <f t="shared" si="1"/>
        <v>0</v>
      </c>
    </row>
    <row r="57" spans="1:14" ht="19.5" customHeight="1">
      <c r="A57" s="634"/>
      <c r="B57" s="635"/>
      <c r="C57" s="639"/>
      <c r="D57" s="23"/>
      <c r="E57" s="274" t="s">
        <v>35</v>
      </c>
      <c r="F57" s="25"/>
      <c r="G57" s="186">
        <f>경비집계표!F13</f>
        <v>141878</v>
      </c>
      <c r="H57" s="228"/>
      <c r="I57" s="186"/>
      <c r="J57" s="228"/>
      <c r="K57" s="280"/>
      <c r="L57" s="179"/>
      <c r="M57" s="468">
        <f>SUM(M51:M56)</f>
        <v>148262</v>
      </c>
      <c r="N57" s="467">
        <f>G57-M57</f>
        <v>-6384</v>
      </c>
    </row>
    <row r="58" spans="1:12" ht="19.5" customHeight="1">
      <c r="A58" s="634"/>
      <c r="B58" s="635"/>
      <c r="C58" s="642" t="s">
        <v>440</v>
      </c>
      <c r="D58" s="23"/>
      <c r="E58" s="25" t="s">
        <v>44</v>
      </c>
      <c r="F58" s="25"/>
      <c r="G58" s="186">
        <f>경비집계표!F14</f>
        <v>63000</v>
      </c>
      <c r="H58" s="228"/>
      <c r="I58" s="186"/>
      <c r="J58" s="228"/>
      <c r="K58" s="280"/>
      <c r="L58" s="179"/>
    </row>
    <row r="59" spans="1:12" ht="19.5" customHeight="1">
      <c r="A59" s="634"/>
      <c r="B59" s="635"/>
      <c r="C59" s="643"/>
      <c r="D59" s="23"/>
      <c r="E59" s="274" t="s">
        <v>35</v>
      </c>
      <c r="F59" s="25"/>
      <c r="G59" s="186">
        <f>경비집계표!F15</f>
        <v>63000</v>
      </c>
      <c r="H59" s="228"/>
      <c r="I59" s="186"/>
      <c r="J59" s="228"/>
      <c r="K59" s="280"/>
      <c r="L59" s="179"/>
    </row>
    <row r="60" spans="1:12" ht="19.5" customHeight="1">
      <c r="A60" s="634"/>
      <c r="B60" s="635"/>
      <c r="C60" s="638" t="s">
        <v>361</v>
      </c>
      <c r="D60" s="23"/>
      <c r="E60" s="25" t="s">
        <v>363</v>
      </c>
      <c r="F60" s="25"/>
      <c r="G60" s="186">
        <f>경비집계표!F16</f>
        <v>7093</v>
      </c>
      <c r="H60" s="228"/>
      <c r="I60" s="186"/>
      <c r="J60" s="228"/>
      <c r="K60" s="280"/>
      <c r="L60" s="179"/>
    </row>
    <row r="61" spans="1:12" ht="19.5" customHeight="1">
      <c r="A61" s="634"/>
      <c r="B61" s="635"/>
      <c r="C61" s="639"/>
      <c r="D61" s="23"/>
      <c r="E61" s="25" t="s">
        <v>362</v>
      </c>
      <c r="F61" s="25"/>
      <c r="G61" s="186">
        <f>경비집계표!F17</f>
        <v>0</v>
      </c>
      <c r="H61" s="228"/>
      <c r="I61" s="186"/>
      <c r="J61" s="228"/>
      <c r="K61" s="280"/>
      <c r="L61" s="179"/>
    </row>
    <row r="62" spans="1:12" ht="19.5" customHeight="1">
      <c r="A62" s="636"/>
      <c r="B62" s="637"/>
      <c r="C62" s="628" t="s">
        <v>38</v>
      </c>
      <c r="D62" s="629"/>
      <c r="E62" s="629"/>
      <c r="F62" s="630"/>
      <c r="G62" s="186">
        <f>경비집계표!F18</f>
        <v>211971</v>
      </c>
      <c r="H62" s="228"/>
      <c r="I62" s="276">
        <f>TRUNC(G62/$G$66*100,2)</f>
        <v>11.25</v>
      </c>
      <c r="J62" s="228"/>
      <c r="K62" s="280"/>
      <c r="L62" s="179" t="str">
        <f>경비집계표!$A$1&amp;"참조"</f>
        <v>&lt; 표 : 11 &gt; 참조</v>
      </c>
    </row>
    <row r="63" spans="1:12" ht="19.5" customHeight="1">
      <c r="A63" s="178"/>
      <c r="B63" s="631" t="s">
        <v>222</v>
      </c>
      <c r="C63" s="631"/>
      <c r="D63" s="631"/>
      <c r="E63" s="631"/>
      <c r="F63" s="278"/>
      <c r="G63" s="186">
        <f>SUM(G50,G62)</f>
        <v>1630590</v>
      </c>
      <c r="H63" s="228"/>
      <c r="I63" s="276">
        <f>TRUNC(G63/$G$66*100,2)</f>
        <v>86.58</v>
      </c>
      <c r="J63" s="228"/>
      <c r="K63" s="280"/>
      <c r="L63" s="179" t="s">
        <v>387</v>
      </c>
    </row>
    <row r="64" spans="1:12" ht="19.5" customHeight="1">
      <c r="A64" s="275"/>
      <c r="B64" s="631" t="s">
        <v>223</v>
      </c>
      <c r="C64" s="631"/>
      <c r="D64" s="631"/>
      <c r="E64" s="631"/>
      <c r="F64" s="279"/>
      <c r="G64" s="186">
        <f>TRUNC(G63*5%,0)</f>
        <v>81529</v>
      </c>
      <c r="H64" s="228"/>
      <c r="I64" s="276">
        <f>TRUNC(G64/$G$66*100,2)</f>
        <v>4.32</v>
      </c>
      <c r="J64" s="228"/>
      <c r="K64" s="280"/>
      <c r="L64" s="179" t="s">
        <v>239</v>
      </c>
    </row>
    <row r="65" spans="1:12" ht="19.5" customHeight="1">
      <c r="A65" s="275"/>
      <c r="B65" s="631" t="s">
        <v>265</v>
      </c>
      <c r="C65" s="631"/>
      <c r="D65" s="631"/>
      <c r="E65" s="631"/>
      <c r="F65" s="279"/>
      <c r="G65" s="186">
        <f>TRUNC(SUM(G50,G62,G64)*10%,0)</f>
        <v>171211</v>
      </c>
      <c r="H65" s="228"/>
      <c r="I65" s="276">
        <f>TRUNC(G65/$G$66*100,2)</f>
        <v>9.09</v>
      </c>
      <c r="J65" s="228"/>
      <c r="K65" s="280"/>
      <c r="L65" s="179" t="s">
        <v>377</v>
      </c>
    </row>
    <row r="66" spans="1:12" ht="19.5" customHeight="1">
      <c r="A66" s="275"/>
      <c r="B66" s="631" t="s">
        <v>427</v>
      </c>
      <c r="C66" s="631"/>
      <c r="D66" s="631"/>
      <c r="E66" s="631"/>
      <c r="F66" s="279"/>
      <c r="G66" s="186">
        <f>SUM(G63:G65)</f>
        <v>1883330</v>
      </c>
      <c r="H66" s="228"/>
      <c r="I66" s="276">
        <f>TRUNC(G66/$G$66*100,2)</f>
        <v>100</v>
      </c>
      <c r="J66" s="228"/>
      <c r="K66" s="280"/>
      <c r="L66" s="179" t="s">
        <v>376</v>
      </c>
    </row>
    <row r="67" spans="1:12" ht="19.5" customHeight="1">
      <c r="A67" s="275"/>
      <c r="B67" s="640" t="s">
        <v>431</v>
      </c>
      <c r="C67" s="640"/>
      <c r="D67" s="640"/>
      <c r="E67" s="640"/>
      <c r="F67" s="279"/>
      <c r="G67" s="462">
        <f>TRUNC(G66*10%)</f>
        <v>188333</v>
      </c>
      <c r="H67" s="504"/>
      <c r="I67" s="506"/>
      <c r="J67" s="504"/>
      <c r="K67" s="505"/>
      <c r="L67" s="435" t="s">
        <v>433</v>
      </c>
    </row>
    <row r="68" spans="1:12" ht="19.5" customHeight="1">
      <c r="A68" s="275"/>
      <c r="B68" s="640" t="s">
        <v>432</v>
      </c>
      <c r="C68" s="640"/>
      <c r="D68" s="640"/>
      <c r="E68" s="640"/>
      <c r="F68" s="279"/>
      <c r="G68" s="462">
        <f>SUM(G66:G67)</f>
        <v>2071663</v>
      </c>
      <c r="H68" s="504"/>
      <c r="I68" s="506"/>
      <c r="J68" s="504"/>
      <c r="K68" s="505"/>
      <c r="L68" s="435" t="s">
        <v>434</v>
      </c>
    </row>
    <row r="69" spans="1:15" ht="19.5" customHeight="1">
      <c r="A69" s="220"/>
      <c r="B69" s="220"/>
      <c r="C69" s="220"/>
      <c r="D69" s="220"/>
      <c r="E69" s="152"/>
      <c r="F69" s="152"/>
      <c r="G69" s="152"/>
      <c r="I69" s="32"/>
      <c r="L69" s="32"/>
      <c r="M69" s="32"/>
      <c r="N69" s="32"/>
      <c r="O69" s="32"/>
    </row>
    <row r="70" spans="1:12" s="168" customFormat="1" ht="39.75" customHeight="1">
      <c r="A70" s="165" t="s">
        <v>446</v>
      </c>
      <c r="B70" s="166"/>
      <c r="C70" s="221"/>
      <c r="D70" s="221"/>
      <c r="E70" s="222"/>
      <c r="F70" s="222"/>
      <c r="G70" s="167"/>
      <c r="H70" s="153"/>
      <c r="I70" s="28"/>
      <c r="J70" s="29"/>
      <c r="K70" s="28"/>
      <c r="L70" s="165"/>
    </row>
    <row r="71" spans="1:15" ht="19.5" customHeight="1">
      <c r="A71" s="264"/>
      <c r="B71" s="265"/>
      <c r="C71" s="264"/>
      <c r="D71" s="264"/>
      <c r="E71" s="265"/>
      <c r="F71" s="265"/>
      <c r="G71" s="154"/>
      <c r="H71" s="266"/>
      <c r="I71" s="30"/>
      <c r="J71" s="31"/>
      <c r="K71" s="30"/>
      <c r="L71" s="184"/>
      <c r="O71" s="168"/>
    </row>
    <row r="72" spans="1:15" ht="19.5" customHeight="1">
      <c r="A72" s="169" t="str">
        <f>"구 분 : "&amp;월기본급!B11&amp;"                       직종명 : "&amp;월기본급!F11&amp;""</f>
        <v>구 분 : 경비원                       직종명 : 보통인부</v>
      </c>
      <c r="B72" s="170"/>
      <c r="C72" s="169"/>
      <c r="D72" s="169"/>
      <c r="G72" s="171"/>
      <c r="H72" s="171"/>
      <c r="I72" s="171"/>
      <c r="L72" s="267" t="s">
        <v>27</v>
      </c>
      <c r="O72" s="168"/>
    </row>
    <row r="73" spans="1:15" ht="19.5" customHeight="1">
      <c r="A73" s="268"/>
      <c r="B73" s="269"/>
      <c r="C73" s="269"/>
      <c r="D73" s="269"/>
      <c r="E73" s="270" t="s">
        <v>28</v>
      </c>
      <c r="F73" s="270"/>
      <c r="G73" s="646" t="s">
        <v>29</v>
      </c>
      <c r="H73" s="644"/>
      <c r="I73" s="646" t="s">
        <v>30</v>
      </c>
      <c r="J73" s="644"/>
      <c r="K73" s="281"/>
      <c r="L73" s="644" t="s">
        <v>31</v>
      </c>
      <c r="O73" s="168"/>
    </row>
    <row r="74" spans="1:12" ht="19.5" customHeight="1">
      <c r="A74" s="271" t="s">
        <v>32</v>
      </c>
      <c r="B74" s="277"/>
      <c r="C74" s="272"/>
      <c r="D74" s="272"/>
      <c r="E74" s="272"/>
      <c r="F74" s="272"/>
      <c r="G74" s="647"/>
      <c r="H74" s="645"/>
      <c r="I74" s="647"/>
      <c r="J74" s="645"/>
      <c r="K74" s="282"/>
      <c r="L74" s="645"/>
    </row>
    <row r="75" spans="1:12" ht="19.5" customHeight="1">
      <c r="A75" s="632" t="s">
        <v>259</v>
      </c>
      <c r="B75" s="633"/>
      <c r="C75" s="628" t="s">
        <v>33</v>
      </c>
      <c r="D75" s="629"/>
      <c r="E75" s="629"/>
      <c r="F75" s="630"/>
      <c r="G75" s="186">
        <f>단위당인건비!E48</f>
        <v>982569</v>
      </c>
      <c r="H75" s="228"/>
      <c r="I75" s="186"/>
      <c r="J75" s="228"/>
      <c r="K75" s="280"/>
      <c r="L75" s="22"/>
    </row>
    <row r="76" spans="1:12" ht="19.5" customHeight="1">
      <c r="A76" s="634"/>
      <c r="B76" s="635"/>
      <c r="C76" s="638" t="s">
        <v>356</v>
      </c>
      <c r="D76" s="23"/>
      <c r="E76" s="25" t="s">
        <v>2</v>
      </c>
      <c r="F76" s="23"/>
      <c r="G76" s="186">
        <f>단위당인건비!E49</f>
        <v>5100</v>
      </c>
      <c r="H76" s="228"/>
      <c r="I76" s="186"/>
      <c r="J76" s="228"/>
      <c r="K76" s="280"/>
      <c r="L76" s="22"/>
    </row>
    <row r="77" spans="1:12" ht="19.5" customHeight="1">
      <c r="A77" s="634"/>
      <c r="B77" s="635"/>
      <c r="C77" s="641"/>
      <c r="D77" s="23"/>
      <c r="E77" s="25" t="s">
        <v>268</v>
      </c>
      <c r="F77" s="273"/>
      <c r="G77" s="186">
        <f>단위당인건비!E50</f>
        <v>56415</v>
      </c>
      <c r="H77" s="228"/>
      <c r="I77" s="186"/>
      <c r="J77" s="228"/>
      <c r="K77" s="280"/>
      <c r="L77" s="22"/>
    </row>
    <row r="78" spans="1:12" ht="19.5" customHeight="1">
      <c r="A78" s="634"/>
      <c r="B78" s="635"/>
      <c r="C78" s="641"/>
      <c r="D78" s="23"/>
      <c r="E78" s="25" t="s">
        <v>16</v>
      </c>
      <c r="F78" s="273"/>
      <c r="G78" s="186">
        <f>단위당인건비!E51</f>
        <v>47012</v>
      </c>
      <c r="H78" s="228"/>
      <c r="I78" s="186"/>
      <c r="J78" s="228"/>
      <c r="K78" s="280"/>
      <c r="L78" s="22"/>
    </row>
    <row r="79" spans="1:12" ht="19.5" customHeight="1">
      <c r="A79" s="634"/>
      <c r="B79" s="635"/>
      <c r="C79" s="641"/>
      <c r="D79" s="23"/>
      <c r="E79" s="25" t="s">
        <v>358</v>
      </c>
      <c r="F79" s="273"/>
      <c r="G79" s="186">
        <f>단위당인건비!E52</f>
        <v>0</v>
      </c>
      <c r="H79" s="228"/>
      <c r="I79" s="186"/>
      <c r="J79" s="228"/>
      <c r="K79" s="280"/>
      <c r="L79" s="22"/>
    </row>
    <row r="80" spans="1:12" ht="19.5" customHeight="1">
      <c r="A80" s="634"/>
      <c r="B80" s="635"/>
      <c r="C80" s="639"/>
      <c r="D80" s="23"/>
      <c r="E80" s="274" t="s">
        <v>35</v>
      </c>
      <c r="F80" s="274"/>
      <c r="G80" s="186">
        <f>단위당인건비!E53</f>
        <v>108527</v>
      </c>
      <c r="H80" s="228"/>
      <c r="I80" s="248"/>
      <c r="J80" s="228"/>
      <c r="K80" s="280"/>
      <c r="L80" s="179"/>
    </row>
    <row r="81" spans="1:12" ht="19.5" customHeight="1">
      <c r="A81" s="634"/>
      <c r="B81" s="635"/>
      <c r="C81" s="628" t="s">
        <v>36</v>
      </c>
      <c r="D81" s="629"/>
      <c r="E81" s="629"/>
      <c r="F81" s="630"/>
      <c r="G81" s="186">
        <f>단위당인건비!E54</f>
        <v>327523</v>
      </c>
      <c r="H81" s="228"/>
      <c r="I81" s="248"/>
      <c r="J81" s="228"/>
      <c r="K81" s="280"/>
      <c r="L81" s="179"/>
    </row>
    <row r="82" spans="1:12" ht="19.5" customHeight="1">
      <c r="A82" s="634"/>
      <c r="B82" s="635"/>
      <c r="C82" s="628" t="s">
        <v>37</v>
      </c>
      <c r="D82" s="629"/>
      <c r="E82" s="629"/>
      <c r="F82" s="630"/>
      <c r="G82" s="186">
        <f>단위당인건비!E55</f>
        <v>0</v>
      </c>
      <c r="H82" s="228"/>
      <c r="I82" s="248"/>
      <c r="J82" s="228"/>
      <c r="K82" s="280"/>
      <c r="L82" s="179"/>
    </row>
    <row r="83" spans="1:12" ht="19.5" customHeight="1">
      <c r="A83" s="636"/>
      <c r="B83" s="637"/>
      <c r="C83" s="628" t="s">
        <v>38</v>
      </c>
      <c r="D83" s="629"/>
      <c r="E83" s="629"/>
      <c r="F83" s="630"/>
      <c r="G83" s="186">
        <f>단위당인건비!E56</f>
        <v>1418619</v>
      </c>
      <c r="H83" s="228"/>
      <c r="I83" s="276">
        <f>TRUNC(G83/$G$99*100,2)</f>
        <v>75.32</v>
      </c>
      <c r="J83" s="228"/>
      <c r="K83" s="280"/>
      <c r="L83" s="179" t="str">
        <f>단위당인건비!$A$1&amp;"참조"</f>
        <v>&lt; 표 : 5 &gt; 참조</v>
      </c>
    </row>
    <row r="84" spans="1:14" ht="19.5" customHeight="1">
      <c r="A84" s="632" t="s">
        <v>274</v>
      </c>
      <c r="B84" s="633"/>
      <c r="C84" s="638" t="s">
        <v>15</v>
      </c>
      <c r="D84" s="23"/>
      <c r="E84" s="25" t="s">
        <v>39</v>
      </c>
      <c r="F84" s="25"/>
      <c r="G84" s="186">
        <f>경비집계표!G7</f>
        <v>29790</v>
      </c>
      <c r="H84" s="228"/>
      <c r="I84" s="186"/>
      <c r="J84" s="228"/>
      <c r="K84" s="280"/>
      <c r="L84" s="179"/>
      <c r="M84" s="467">
        <f>TRUNC(SUM(G75+G80+G81)*2.1%)</f>
        <v>29790</v>
      </c>
      <c r="N84" s="467">
        <f aca="true" t="shared" si="2" ref="N84:N89">G84-M84</f>
        <v>0</v>
      </c>
    </row>
    <row r="85" spans="1:14" ht="19.5" customHeight="1">
      <c r="A85" s="634"/>
      <c r="B85" s="635"/>
      <c r="C85" s="641"/>
      <c r="D85" s="23"/>
      <c r="E85" s="25" t="s">
        <v>40</v>
      </c>
      <c r="F85" s="25"/>
      <c r="G85" s="186">
        <f>경비집계표!G8</f>
        <v>63837</v>
      </c>
      <c r="H85" s="228"/>
      <c r="I85" s="186"/>
      <c r="J85" s="228"/>
      <c r="K85" s="280"/>
      <c r="L85" s="179"/>
      <c r="M85" s="467">
        <f>TRUNC(SUM(G75+G80+G81)*4.5%)</f>
        <v>63837</v>
      </c>
      <c r="N85" s="467">
        <f t="shared" si="2"/>
        <v>0</v>
      </c>
    </row>
    <row r="86" spans="1:14" ht="19.5" customHeight="1">
      <c r="A86" s="634"/>
      <c r="B86" s="635"/>
      <c r="C86" s="641"/>
      <c r="D86" s="23"/>
      <c r="E86" s="25" t="s">
        <v>41</v>
      </c>
      <c r="F86" s="25"/>
      <c r="G86" s="186">
        <f>경비집계표!G9</f>
        <v>9930</v>
      </c>
      <c r="H86" s="228"/>
      <c r="I86" s="186"/>
      <c r="J86" s="228"/>
      <c r="K86" s="280"/>
      <c r="L86" s="179"/>
      <c r="M86" s="467">
        <f>TRUNC(SUM(G75+G80+G81)*1.15%)</f>
        <v>16314</v>
      </c>
      <c r="N86" s="467">
        <f t="shared" si="2"/>
        <v>-6384</v>
      </c>
    </row>
    <row r="87" spans="1:14" ht="19.5" customHeight="1">
      <c r="A87" s="634"/>
      <c r="B87" s="635"/>
      <c r="C87" s="641"/>
      <c r="D87" s="23"/>
      <c r="E87" s="25" t="s">
        <v>42</v>
      </c>
      <c r="F87" s="25"/>
      <c r="G87" s="186">
        <f>경비집계표!G10</f>
        <v>36032</v>
      </c>
      <c r="H87" s="228"/>
      <c r="I87" s="186"/>
      <c r="J87" s="228"/>
      <c r="K87" s="280"/>
      <c r="L87" s="179"/>
      <c r="M87" s="467">
        <f>TRUNC(SUM(G75+G80+G81)*2.54%)</f>
        <v>36032</v>
      </c>
      <c r="N87" s="467">
        <f t="shared" si="2"/>
        <v>0</v>
      </c>
    </row>
    <row r="88" spans="1:14" ht="19.5" customHeight="1">
      <c r="A88" s="634"/>
      <c r="B88" s="635"/>
      <c r="C88" s="641"/>
      <c r="D88" s="23"/>
      <c r="E88" s="319" t="s">
        <v>355</v>
      </c>
      <c r="F88" s="25"/>
      <c r="G88" s="186">
        <f>경비집계표!G11</f>
        <v>1722</v>
      </c>
      <c r="H88" s="228"/>
      <c r="I88" s="186"/>
      <c r="J88" s="228"/>
      <c r="K88" s="280"/>
      <c r="L88" s="179"/>
      <c r="M88" s="467">
        <f>TRUNC(M87*4.78%)</f>
        <v>1722</v>
      </c>
      <c r="N88" s="467">
        <f t="shared" si="2"/>
        <v>0</v>
      </c>
    </row>
    <row r="89" spans="1:14" ht="19.5" customHeight="1">
      <c r="A89" s="634"/>
      <c r="B89" s="635"/>
      <c r="C89" s="641"/>
      <c r="D89" s="23"/>
      <c r="E89" s="25" t="s">
        <v>43</v>
      </c>
      <c r="F89" s="25"/>
      <c r="G89" s="186">
        <f>경비집계표!G12</f>
        <v>567</v>
      </c>
      <c r="H89" s="228"/>
      <c r="I89" s="186"/>
      <c r="J89" s="228"/>
      <c r="K89" s="280"/>
      <c r="L89" s="179"/>
      <c r="M89" s="467">
        <f>TRUNC(SUM(G75+G80+G81)*0.04%)</f>
        <v>567</v>
      </c>
      <c r="N89" s="467">
        <f t="shared" si="2"/>
        <v>0</v>
      </c>
    </row>
    <row r="90" spans="1:14" ht="19.5" customHeight="1">
      <c r="A90" s="634"/>
      <c r="B90" s="635"/>
      <c r="C90" s="639"/>
      <c r="D90" s="23"/>
      <c r="E90" s="274" t="s">
        <v>35</v>
      </c>
      <c r="F90" s="25"/>
      <c r="G90" s="186">
        <f>경비집계표!G13</f>
        <v>141878</v>
      </c>
      <c r="H90" s="228"/>
      <c r="I90" s="186"/>
      <c r="J90" s="228"/>
      <c r="K90" s="280"/>
      <c r="L90" s="179"/>
      <c r="M90" s="468">
        <f>SUM(M84:M89)</f>
        <v>148262</v>
      </c>
      <c r="N90" s="467">
        <f>G90-M90</f>
        <v>-6384</v>
      </c>
    </row>
    <row r="91" spans="1:12" ht="19.5" customHeight="1">
      <c r="A91" s="634"/>
      <c r="B91" s="635"/>
      <c r="C91" s="642" t="s">
        <v>440</v>
      </c>
      <c r="D91" s="23"/>
      <c r="E91" s="25" t="s">
        <v>44</v>
      </c>
      <c r="F91" s="25"/>
      <c r="G91" s="186">
        <f>경비집계표!G14</f>
        <v>63000</v>
      </c>
      <c r="H91" s="228"/>
      <c r="I91" s="186"/>
      <c r="J91" s="228"/>
      <c r="K91" s="280"/>
      <c r="L91" s="179"/>
    </row>
    <row r="92" spans="1:12" ht="19.5" customHeight="1">
      <c r="A92" s="634"/>
      <c r="B92" s="635"/>
      <c r="C92" s="643"/>
      <c r="D92" s="23"/>
      <c r="E92" s="274" t="s">
        <v>35</v>
      </c>
      <c r="F92" s="25"/>
      <c r="G92" s="186">
        <f>경비집계표!G15</f>
        <v>63000</v>
      </c>
      <c r="H92" s="228"/>
      <c r="I92" s="186"/>
      <c r="J92" s="228"/>
      <c r="K92" s="280"/>
      <c r="L92" s="179"/>
    </row>
    <row r="93" spans="1:12" ht="19.5" customHeight="1">
      <c r="A93" s="634"/>
      <c r="B93" s="635"/>
      <c r="C93" s="638" t="s">
        <v>361</v>
      </c>
      <c r="D93" s="23"/>
      <c r="E93" s="25" t="s">
        <v>363</v>
      </c>
      <c r="F93" s="25"/>
      <c r="G93" s="186">
        <f>경비집계표!G16</f>
        <v>7093</v>
      </c>
      <c r="H93" s="228"/>
      <c r="I93" s="186"/>
      <c r="J93" s="228"/>
      <c r="K93" s="280"/>
      <c r="L93" s="179"/>
    </row>
    <row r="94" spans="1:12" ht="19.5" customHeight="1">
      <c r="A94" s="634"/>
      <c r="B94" s="635"/>
      <c r="C94" s="639"/>
      <c r="D94" s="23"/>
      <c r="E94" s="25" t="s">
        <v>362</v>
      </c>
      <c r="F94" s="25"/>
      <c r="G94" s="186">
        <f>경비집계표!G17</f>
        <v>0</v>
      </c>
      <c r="H94" s="228"/>
      <c r="I94" s="186"/>
      <c r="J94" s="228"/>
      <c r="K94" s="280"/>
      <c r="L94" s="179"/>
    </row>
    <row r="95" spans="1:12" ht="19.5" customHeight="1">
      <c r="A95" s="636"/>
      <c r="B95" s="637"/>
      <c r="C95" s="628" t="s">
        <v>38</v>
      </c>
      <c r="D95" s="629"/>
      <c r="E95" s="629"/>
      <c r="F95" s="630"/>
      <c r="G95" s="186">
        <f>경비집계표!G18</f>
        <v>211971</v>
      </c>
      <c r="H95" s="228"/>
      <c r="I95" s="276">
        <f>ROUNDUP(G95/$G$99*100,1)</f>
        <v>11.299999999999999</v>
      </c>
      <c r="J95" s="228"/>
      <c r="K95" s="280"/>
      <c r="L95" s="179" t="str">
        <f>경비집계표!$A$1&amp;"참조"</f>
        <v>&lt; 표 : 11 &gt; 참조</v>
      </c>
    </row>
    <row r="96" spans="1:12" ht="19.5" customHeight="1">
      <c r="A96" s="178"/>
      <c r="B96" s="631" t="s">
        <v>222</v>
      </c>
      <c r="C96" s="631"/>
      <c r="D96" s="631"/>
      <c r="E96" s="631"/>
      <c r="F96" s="278"/>
      <c r="G96" s="186">
        <f>SUM(G83,G95)</f>
        <v>1630590</v>
      </c>
      <c r="H96" s="228"/>
      <c r="I96" s="276">
        <f>TRUNC(G96/$G$99*100,2)</f>
        <v>86.58</v>
      </c>
      <c r="J96" s="228"/>
      <c r="K96" s="280"/>
      <c r="L96" s="179" t="s">
        <v>387</v>
      </c>
    </row>
    <row r="97" spans="1:12" ht="19.5" customHeight="1">
      <c r="A97" s="275"/>
      <c r="B97" s="631" t="s">
        <v>223</v>
      </c>
      <c r="C97" s="631"/>
      <c r="D97" s="631"/>
      <c r="E97" s="631"/>
      <c r="F97" s="279"/>
      <c r="G97" s="186">
        <f>TRUNC(G96*5%,0)</f>
        <v>81529</v>
      </c>
      <c r="H97" s="228"/>
      <c r="I97" s="276">
        <f>TRUNC(G97/$G$99*100,2)</f>
        <v>4.32</v>
      </c>
      <c r="J97" s="228"/>
      <c r="K97" s="280"/>
      <c r="L97" s="179" t="s">
        <v>239</v>
      </c>
    </row>
    <row r="98" spans="1:12" ht="19.5" customHeight="1">
      <c r="A98" s="275"/>
      <c r="B98" s="631" t="s">
        <v>265</v>
      </c>
      <c r="C98" s="631"/>
      <c r="D98" s="631"/>
      <c r="E98" s="631"/>
      <c r="F98" s="279"/>
      <c r="G98" s="186">
        <f>TRUNC(SUM(G83,G95,G97)*10%,0)</f>
        <v>171211</v>
      </c>
      <c r="H98" s="228"/>
      <c r="I98" s="276">
        <f>TRUNC(G98/$G$99*100,2)</f>
        <v>9.09</v>
      </c>
      <c r="J98" s="228"/>
      <c r="K98" s="280"/>
      <c r="L98" s="179" t="s">
        <v>377</v>
      </c>
    </row>
    <row r="99" spans="1:12" ht="19.5" customHeight="1">
      <c r="A99" s="275"/>
      <c r="B99" s="631" t="s">
        <v>427</v>
      </c>
      <c r="C99" s="631"/>
      <c r="D99" s="631"/>
      <c r="E99" s="631"/>
      <c r="F99" s="279"/>
      <c r="G99" s="186">
        <f>SUM(G96:G98)</f>
        <v>1883330</v>
      </c>
      <c r="H99" s="228"/>
      <c r="I99" s="276">
        <f>TRUNC(G99/$G$99*100,2)</f>
        <v>100</v>
      </c>
      <c r="J99" s="228"/>
      <c r="K99" s="280"/>
      <c r="L99" s="179" t="s">
        <v>376</v>
      </c>
    </row>
    <row r="100" spans="1:12" ht="19.5" customHeight="1">
      <c r="A100" s="275"/>
      <c r="B100" s="640" t="s">
        <v>431</v>
      </c>
      <c r="C100" s="640"/>
      <c r="D100" s="640"/>
      <c r="E100" s="640"/>
      <c r="F100" s="279"/>
      <c r="G100" s="462">
        <f>TRUNC(G99*10%)</f>
        <v>188333</v>
      </c>
      <c r="H100" s="504"/>
      <c r="I100" s="506"/>
      <c r="J100" s="504"/>
      <c r="K100" s="505"/>
      <c r="L100" s="435" t="s">
        <v>433</v>
      </c>
    </row>
    <row r="101" spans="1:12" ht="19.5" customHeight="1">
      <c r="A101" s="275"/>
      <c r="B101" s="640" t="s">
        <v>432</v>
      </c>
      <c r="C101" s="640"/>
      <c r="D101" s="640"/>
      <c r="E101" s="640"/>
      <c r="F101" s="279"/>
      <c r="G101" s="462">
        <f>SUM(G99:G100)</f>
        <v>2071663</v>
      </c>
      <c r="H101" s="504"/>
      <c r="I101" s="506"/>
      <c r="J101" s="504"/>
      <c r="K101" s="505"/>
      <c r="L101" s="435" t="s">
        <v>434</v>
      </c>
    </row>
  </sheetData>
  <sheetProtection/>
  <mergeCells count="60">
    <mergeCell ref="B66:E66"/>
    <mergeCell ref="A51:B62"/>
    <mergeCell ref="C51:C57"/>
    <mergeCell ref="C58:C59"/>
    <mergeCell ref="C62:F62"/>
    <mergeCell ref="C60:C61"/>
    <mergeCell ref="B100:E100"/>
    <mergeCell ref="B101:E101"/>
    <mergeCell ref="B96:E96"/>
    <mergeCell ref="B97:E97"/>
    <mergeCell ref="B98:E98"/>
    <mergeCell ref="B99:E99"/>
    <mergeCell ref="A84:B95"/>
    <mergeCell ref="C84:C90"/>
    <mergeCell ref="B67:E67"/>
    <mergeCell ref="B68:E68"/>
    <mergeCell ref="B63:E63"/>
    <mergeCell ref="B64:E64"/>
    <mergeCell ref="C91:C92"/>
    <mergeCell ref="C95:F95"/>
    <mergeCell ref="C93:C94"/>
    <mergeCell ref="B65:E65"/>
    <mergeCell ref="B34:E34"/>
    <mergeCell ref="B35:E35"/>
    <mergeCell ref="B30:E30"/>
    <mergeCell ref="B31:E31"/>
    <mergeCell ref="A18:B29"/>
    <mergeCell ref="C18:C24"/>
    <mergeCell ref="C25:C26"/>
    <mergeCell ref="C29:F29"/>
    <mergeCell ref="C27:C28"/>
    <mergeCell ref="B32:E32"/>
    <mergeCell ref="B33:E33"/>
    <mergeCell ref="L40:L41"/>
    <mergeCell ref="G40:H41"/>
    <mergeCell ref="I40:J41"/>
    <mergeCell ref="A42:B50"/>
    <mergeCell ref="C42:F42"/>
    <mergeCell ref="C43:C47"/>
    <mergeCell ref="C48:F48"/>
    <mergeCell ref="C49:F49"/>
    <mergeCell ref="C50:F50"/>
    <mergeCell ref="L73:L74"/>
    <mergeCell ref="G73:H74"/>
    <mergeCell ref="I73:J74"/>
    <mergeCell ref="A75:B83"/>
    <mergeCell ref="C75:F75"/>
    <mergeCell ref="C76:C80"/>
    <mergeCell ref="C81:F81"/>
    <mergeCell ref="C82:F82"/>
    <mergeCell ref="C83:F83"/>
    <mergeCell ref="L7:L8"/>
    <mergeCell ref="G7:H8"/>
    <mergeCell ref="I7:J8"/>
    <mergeCell ref="A9:B17"/>
    <mergeCell ref="C9:F9"/>
    <mergeCell ref="C10:C14"/>
    <mergeCell ref="C15:F15"/>
    <mergeCell ref="C16:F16"/>
    <mergeCell ref="C17:F17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6" r:id="rId2"/>
  <headerFooter alignWithMargins="0">
    <oddFooter>&amp;C- &amp;P -</oddFooter>
  </headerFooter>
  <rowBreaks count="1" manualBreakCount="1">
    <brk id="35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view="pageBreakPreview" zoomScaleSheetLayoutView="100" zoomScalePageLayoutView="0" workbookViewId="0" topLeftCell="A1">
      <selection activeCell="B9" sqref="B9"/>
    </sheetView>
  </sheetViews>
  <sheetFormatPr defaultColWidth="9.140625" defaultRowHeight="12"/>
  <cols>
    <col min="1" max="1" width="1.7109375" style="10" customWidth="1"/>
    <col min="2" max="2" width="13.7109375" style="10" customWidth="1"/>
    <col min="3" max="3" width="1.7109375" style="10" customWidth="1"/>
    <col min="4" max="4" width="1.7109375" style="152" customWidth="1"/>
    <col min="5" max="5" width="15.28125" style="152" customWidth="1"/>
    <col min="6" max="6" width="1.7109375" style="152" customWidth="1"/>
    <col min="7" max="10" width="11.7109375" style="32" customWidth="1"/>
    <col min="11" max="11" width="12.7109375" style="32" customWidth="1"/>
    <col min="12" max="12" width="13.00390625" style="32" bestFit="1" customWidth="1"/>
    <col min="13" max="16384" width="9.140625" style="152" customWidth="1"/>
  </cols>
  <sheetData>
    <row r="1" spans="1:3" ht="19.5" customHeight="1">
      <c r="A1" s="220" t="s">
        <v>448</v>
      </c>
      <c r="B1" s="220"/>
      <c r="C1" s="220"/>
    </row>
    <row r="2" spans="1:12" s="168" customFormat="1" ht="39.75" customHeight="1">
      <c r="A2" s="166" t="s">
        <v>47</v>
      </c>
      <c r="B2" s="166"/>
      <c r="C2" s="166"/>
      <c r="D2" s="221"/>
      <c r="E2" s="221"/>
      <c r="F2" s="221"/>
      <c r="G2" s="153"/>
      <c r="H2" s="153"/>
      <c r="I2" s="153"/>
      <c r="J2" s="153"/>
      <c r="K2" s="153"/>
      <c r="L2" s="253"/>
    </row>
    <row r="3" spans="1:12" s="168" customFormat="1" ht="19.5" customHeight="1">
      <c r="A3" s="166"/>
      <c r="B3" s="166"/>
      <c r="C3" s="166"/>
      <c r="D3" s="221"/>
      <c r="E3" s="221"/>
      <c r="F3" s="221"/>
      <c r="G3" s="153"/>
      <c r="H3" s="153"/>
      <c r="I3" s="153"/>
      <c r="J3" s="153"/>
      <c r="K3" s="153"/>
      <c r="L3" s="253"/>
    </row>
    <row r="4" spans="1:11" ht="19.5" customHeight="1">
      <c r="A4" s="170"/>
      <c r="B4" s="170"/>
      <c r="C4" s="170"/>
      <c r="D4" s="169"/>
      <c r="E4" s="169"/>
      <c r="F4" s="169"/>
      <c r="K4" s="223" t="s">
        <v>48</v>
      </c>
    </row>
    <row r="5" spans="1:12" s="190" customFormat="1" ht="49.5" customHeight="1">
      <c r="A5" s="5"/>
      <c r="B5" s="11" t="s">
        <v>49</v>
      </c>
      <c r="C5" s="4"/>
      <c r="D5" s="5"/>
      <c r="E5" s="7" t="s">
        <v>50</v>
      </c>
      <c r="F5" s="4"/>
      <c r="G5" s="27" t="s">
        <v>51</v>
      </c>
      <c r="H5" s="27" t="s">
        <v>52</v>
      </c>
      <c r="I5" s="27" t="s">
        <v>53</v>
      </c>
      <c r="J5" s="27" t="s">
        <v>54</v>
      </c>
      <c r="K5" s="27" t="s">
        <v>26</v>
      </c>
      <c r="L5" s="158"/>
    </row>
    <row r="6" spans="1:12" s="190" customFormat="1" ht="9.75" customHeight="1">
      <c r="A6" s="5"/>
      <c r="B6" s="11"/>
      <c r="C6" s="4"/>
      <c r="D6" s="5"/>
      <c r="E6" s="7"/>
      <c r="F6" s="4"/>
      <c r="G6" s="27"/>
      <c r="H6" s="27"/>
      <c r="I6" s="27"/>
      <c r="J6" s="27"/>
      <c r="K6" s="27"/>
      <c r="L6" s="158"/>
    </row>
    <row r="7" spans="1:13" ht="30" customHeight="1">
      <c r="A7" s="242"/>
      <c r="B7" s="41" t="str">
        <f>월기본급!B9</f>
        <v>기계반장</v>
      </c>
      <c r="C7" s="156"/>
      <c r="D7" s="176"/>
      <c r="E7" s="508" t="str">
        <f>월기본급!F9</f>
        <v>기계정비공</v>
      </c>
      <c r="F7" s="164"/>
      <c r="G7" s="160">
        <f>단위당인건비!E6</f>
        <v>1342425</v>
      </c>
      <c r="H7" s="160">
        <f>단위당인건비!E11</f>
        <v>148276</v>
      </c>
      <c r="I7" s="160">
        <f>단위당인건비!E12</f>
        <v>447475</v>
      </c>
      <c r="J7" s="160">
        <f>단위당인건비!E13</f>
        <v>0</v>
      </c>
      <c r="K7" s="160">
        <f>SUM(G7:J7)</f>
        <v>1938176</v>
      </c>
      <c r="L7" s="467">
        <f>단위당인건비!E14</f>
        <v>1938176</v>
      </c>
      <c r="M7" s="431">
        <f>K7-L7</f>
        <v>0</v>
      </c>
    </row>
    <row r="8" spans="1:13" ht="30" customHeight="1">
      <c r="A8" s="242"/>
      <c r="B8" s="41" t="str">
        <f>월기본급!B10</f>
        <v>미화원</v>
      </c>
      <c r="C8" s="156"/>
      <c r="D8" s="176"/>
      <c r="E8" s="191" t="str">
        <f>월기본급!F10</f>
        <v>보통인부</v>
      </c>
      <c r="F8" s="164"/>
      <c r="G8" s="160">
        <f>단위당인건비!E27</f>
        <v>982569</v>
      </c>
      <c r="H8" s="160">
        <f>단위당인건비!E32</f>
        <v>108527</v>
      </c>
      <c r="I8" s="160">
        <f>단위당인건비!E33</f>
        <v>327523</v>
      </c>
      <c r="J8" s="160">
        <f>단위당인건비!E34</f>
        <v>0</v>
      </c>
      <c r="K8" s="160">
        <f>SUM(G8:J8)</f>
        <v>1418619</v>
      </c>
      <c r="L8" s="467">
        <f>단위당인건비!E35</f>
        <v>1418619</v>
      </c>
      <c r="M8" s="431">
        <f>K8-L8</f>
        <v>0</v>
      </c>
    </row>
    <row r="9" spans="1:13" ht="30" customHeight="1">
      <c r="A9" s="242"/>
      <c r="B9" s="41" t="str">
        <f>월기본급!B11</f>
        <v>경비원</v>
      </c>
      <c r="C9" s="156"/>
      <c r="D9" s="176"/>
      <c r="E9" s="191" t="str">
        <f>월기본급!F11</f>
        <v>보통인부</v>
      </c>
      <c r="F9" s="164"/>
      <c r="G9" s="160">
        <f>단위당인건비!E48</f>
        <v>982569</v>
      </c>
      <c r="H9" s="160">
        <f>단위당인건비!E53</f>
        <v>108527</v>
      </c>
      <c r="I9" s="160">
        <f>단위당인건비!E54</f>
        <v>327523</v>
      </c>
      <c r="J9" s="160">
        <f>단위당인건비!E55</f>
        <v>0</v>
      </c>
      <c r="K9" s="160">
        <f>SUM(G9:J9)</f>
        <v>1418619</v>
      </c>
      <c r="L9" s="467">
        <f>단위당인건비!E56</f>
        <v>1418619</v>
      </c>
      <c r="M9" s="431">
        <f>K9-L9</f>
        <v>0</v>
      </c>
    </row>
    <row r="10" spans="1:11" ht="9.75" customHeight="1">
      <c r="A10" s="243"/>
      <c r="B10" s="249"/>
      <c r="C10" s="157"/>
      <c r="D10" s="3"/>
      <c r="E10" s="192"/>
      <c r="F10" s="2"/>
      <c r="G10" s="162"/>
      <c r="H10" s="162"/>
      <c r="I10" s="162"/>
      <c r="J10" s="162"/>
      <c r="K10" s="162"/>
    </row>
    <row r="11" ht="24.75" customHeight="1">
      <c r="A11" s="170" t="str">
        <f>"주) 금액 : "&amp;단위당인건비!A1&amp;단위당인건비!A2&amp;" 참조"</f>
        <v>주) 금액 : &lt; 표 : 5 &gt; 단위(1인)당인건비산출표 참조</v>
      </c>
    </row>
    <row r="12" ht="24.75" customHeight="1"/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6"/>
  <sheetViews>
    <sheetView showGridLines="0" showZeros="0" view="pageBreakPreview" zoomScale="80" zoomScaleSheetLayoutView="80" zoomScalePageLayoutView="0" workbookViewId="0" topLeftCell="A1">
      <selection activeCell="M54" sqref="M54"/>
    </sheetView>
  </sheetViews>
  <sheetFormatPr defaultColWidth="9.140625" defaultRowHeight="12"/>
  <cols>
    <col min="1" max="1" width="6.7109375" style="184" customWidth="1"/>
    <col min="2" max="2" width="1.7109375" style="151" customWidth="1"/>
    <col min="3" max="3" width="15.7109375" style="151" customWidth="1"/>
    <col min="4" max="4" width="1.7109375" style="151" customWidth="1"/>
    <col min="5" max="5" width="14.7109375" style="33" customWidth="1"/>
    <col min="6" max="6" width="2.7109375" style="33" customWidth="1"/>
    <col min="7" max="7" width="0.85546875" style="33" customWidth="1"/>
    <col min="8" max="8" width="28.7109375" style="33" customWidth="1"/>
    <col min="9" max="9" width="0.85546875" style="33" customWidth="1"/>
    <col min="10" max="10" width="21.7109375" style="32" customWidth="1"/>
    <col min="11" max="11" width="10.28125" style="152" customWidth="1"/>
    <col min="12" max="12" width="16.7109375" style="169" customWidth="1"/>
    <col min="13" max="16384" width="9.140625" style="152" customWidth="1"/>
  </cols>
  <sheetData>
    <row r="1" spans="1:4" ht="19.5" customHeight="1">
      <c r="A1" s="188" t="s">
        <v>449</v>
      </c>
      <c r="B1" s="190"/>
      <c r="C1" s="190"/>
      <c r="D1" s="190"/>
    </row>
    <row r="2" spans="1:12" s="168" customFormat="1" ht="39.75" customHeight="1">
      <c r="A2" s="165" t="s">
        <v>55</v>
      </c>
      <c r="B2" s="166"/>
      <c r="C2" s="166"/>
      <c r="D2" s="166"/>
      <c r="E2" s="167"/>
      <c r="F2" s="167"/>
      <c r="G2" s="167"/>
      <c r="H2" s="28"/>
      <c r="I2" s="28"/>
      <c r="J2" s="29"/>
      <c r="L2" s="254"/>
    </row>
    <row r="3" spans="1:12" s="168" customFormat="1" ht="19.5" customHeight="1">
      <c r="A3" s="165"/>
      <c r="B3" s="166"/>
      <c r="C3" s="166"/>
      <c r="D3" s="166"/>
      <c r="E3" s="167"/>
      <c r="F3" s="167"/>
      <c r="G3" s="167"/>
      <c r="H3" s="28"/>
      <c r="I3" s="28"/>
      <c r="J3" s="29"/>
      <c r="L3" s="254"/>
    </row>
    <row r="4" spans="1:12" ht="19.5" customHeight="1">
      <c r="A4" s="169" t="str">
        <f>"구 분 : "&amp;월기본급!B9&amp;"                       직종명 : "&amp;월기본급!F9&amp;""</f>
        <v>구 분 : 기계반장                       직종명 : 기계정비공</v>
      </c>
      <c r="B4" s="170"/>
      <c r="C4" s="170"/>
      <c r="D4" s="170"/>
      <c r="E4" s="182"/>
      <c r="F4" s="182"/>
      <c r="G4" s="182"/>
      <c r="J4" s="223" t="s">
        <v>48</v>
      </c>
      <c r="K4" s="152">
        <v>209</v>
      </c>
      <c r="L4" s="169" t="s">
        <v>56</v>
      </c>
    </row>
    <row r="5" spans="1:10" ht="49.5" customHeight="1">
      <c r="A5" s="628" t="s">
        <v>57</v>
      </c>
      <c r="B5" s="629"/>
      <c r="C5" s="629"/>
      <c r="D5" s="630"/>
      <c r="E5" s="625" t="s">
        <v>58</v>
      </c>
      <c r="F5" s="627"/>
      <c r="G5" s="245" t="s">
        <v>221</v>
      </c>
      <c r="H5" s="244"/>
      <c r="I5" s="245" t="s">
        <v>59</v>
      </c>
      <c r="J5" s="244"/>
    </row>
    <row r="6" spans="1:10" ht="34.5" customHeight="1">
      <c r="A6" s="628" t="s">
        <v>60</v>
      </c>
      <c r="B6" s="629"/>
      <c r="C6" s="629"/>
      <c r="D6" s="630"/>
      <c r="E6" s="258">
        <f>월기본급!J9</f>
        <v>1342425</v>
      </c>
      <c r="F6" s="259"/>
      <c r="G6" s="261"/>
      <c r="H6" s="240"/>
      <c r="I6" s="239"/>
      <c r="J6" s="435" t="s">
        <v>61</v>
      </c>
    </row>
    <row r="7" spans="1:13" ht="34.5" customHeight="1">
      <c r="A7" s="638" t="s">
        <v>359</v>
      </c>
      <c r="B7" s="24"/>
      <c r="C7" s="25" t="s">
        <v>2</v>
      </c>
      <c r="D7" s="22"/>
      <c r="E7" s="466">
        <f>TRUNC((E6/K4*($M$7*4.34)*1.25)+(E6/K4*($L$7)*1.5),0)</f>
        <v>6969</v>
      </c>
      <c r="F7" s="259"/>
      <c r="G7" s="261"/>
      <c r="H7" s="262" t="s">
        <v>255</v>
      </c>
      <c r="I7" s="255"/>
      <c r="J7" s="435" t="s">
        <v>22</v>
      </c>
      <c r="K7" s="152">
        <f>연장근로!$G$8</f>
        <v>0.86</v>
      </c>
      <c r="M7" s="152">
        <v>0.2</v>
      </c>
    </row>
    <row r="8" spans="1:11" ht="34.5" customHeight="1">
      <c r="A8" s="641"/>
      <c r="B8" s="24"/>
      <c r="C8" s="25" t="s">
        <v>311</v>
      </c>
      <c r="D8" s="22"/>
      <c r="E8" s="258">
        <f>TRUNC(E6/K4*K8*1.5,0)</f>
        <v>77077</v>
      </c>
      <c r="F8" s="259"/>
      <c r="G8" s="261"/>
      <c r="H8" s="262" t="s">
        <v>255</v>
      </c>
      <c r="I8" s="255"/>
      <c r="J8" s="435" t="s">
        <v>23</v>
      </c>
      <c r="K8" s="152">
        <f>휴일근로!$G$10</f>
        <v>8</v>
      </c>
    </row>
    <row r="9" spans="1:10" ht="34.5" customHeight="1">
      <c r="A9" s="641"/>
      <c r="B9" s="24"/>
      <c r="C9" s="25" t="s">
        <v>62</v>
      </c>
      <c r="D9" s="22"/>
      <c r="E9" s="258">
        <f>TRUNC(E6/K4*8*15/12,0)</f>
        <v>64230</v>
      </c>
      <c r="F9" s="259"/>
      <c r="G9" s="261"/>
      <c r="H9" s="262" t="s">
        <v>254</v>
      </c>
      <c r="I9" s="255"/>
      <c r="J9" s="435" t="s">
        <v>24</v>
      </c>
    </row>
    <row r="10" spans="1:10" ht="34.5" customHeight="1">
      <c r="A10" s="641"/>
      <c r="B10" s="24"/>
      <c r="C10" s="25" t="s">
        <v>358</v>
      </c>
      <c r="D10" s="22"/>
      <c r="E10" s="186"/>
      <c r="F10" s="259"/>
      <c r="G10" s="261"/>
      <c r="H10" s="262"/>
      <c r="I10" s="255"/>
      <c r="J10" s="435" t="s">
        <v>25</v>
      </c>
    </row>
    <row r="11" spans="1:10" ht="34.5" customHeight="1">
      <c r="A11" s="639"/>
      <c r="B11" s="24"/>
      <c r="C11" s="25" t="s">
        <v>63</v>
      </c>
      <c r="D11" s="22"/>
      <c r="E11" s="258">
        <f>SUM(E7:E10)</f>
        <v>148276</v>
      </c>
      <c r="F11" s="259"/>
      <c r="G11" s="261"/>
      <c r="H11" s="262"/>
      <c r="I11" s="255"/>
      <c r="J11" s="435"/>
    </row>
    <row r="12" spans="1:10" ht="34.5" customHeight="1">
      <c r="A12" s="628" t="s">
        <v>64</v>
      </c>
      <c r="B12" s="629"/>
      <c r="C12" s="629"/>
      <c r="D12" s="630"/>
      <c r="E12" s="258">
        <f>TRUNC(E6*4/12,0)</f>
        <v>447475</v>
      </c>
      <c r="F12" s="259"/>
      <c r="G12" s="261"/>
      <c r="H12" s="263" t="s">
        <v>312</v>
      </c>
      <c r="I12" s="256"/>
      <c r="J12" s="435" t="s">
        <v>369</v>
      </c>
    </row>
    <row r="13" spans="1:10" ht="34.5" customHeight="1">
      <c r="A13" s="628" t="s">
        <v>65</v>
      </c>
      <c r="B13" s="629"/>
      <c r="C13" s="629"/>
      <c r="D13" s="630"/>
      <c r="E13" s="258"/>
      <c r="F13" s="259"/>
      <c r="G13" s="261"/>
      <c r="H13" s="262" t="s">
        <v>66</v>
      </c>
      <c r="I13" s="255"/>
      <c r="J13" s="435" t="s">
        <v>370</v>
      </c>
    </row>
    <row r="14" spans="1:10" ht="34.5" customHeight="1">
      <c r="A14" s="628" t="s">
        <v>67</v>
      </c>
      <c r="B14" s="629"/>
      <c r="C14" s="629"/>
      <c r="D14" s="630"/>
      <c r="E14" s="258">
        <f>SUM(E6,E11,E12,E13)</f>
        <v>1938176</v>
      </c>
      <c r="F14" s="259"/>
      <c r="G14" s="261"/>
      <c r="H14" s="6"/>
      <c r="I14" s="13"/>
      <c r="J14" s="12"/>
    </row>
    <row r="15" spans="1:12" s="183" customFormat="1" ht="21.75" customHeight="1">
      <c r="A15" s="225" t="str">
        <f>"주 1) 기본급 : "&amp;월기본급!$A$1&amp;월기본급!$A$2&amp;" 참조"</f>
        <v>주 1) 기본급 : &lt; 표 : 8 &gt; M/M당기본급산출표 참조</v>
      </c>
      <c r="B15" s="225"/>
      <c r="C15" s="225"/>
      <c r="D15" s="225"/>
      <c r="E15" s="181"/>
      <c r="F15" s="181"/>
      <c r="G15" s="181"/>
      <c r="H15" s="181"/>
      <c r="I15" s="181"/>
      <c r="J15" s="181"/>
      <c r="L15" s="227"/>
    </row>
    <row r="16" spans="1:12" s="183" customFormat="1" ht="21.75" customHeight="1">
      <c r="A16" s="257" t="str">
        <f>"   2) 연장근로수당 : ["&amp;FIXED(E6,0)&amp;"(기본급)÷"&amp;K4&amp;"시간(월근로시간)×("&amp;$M$7&amp;"시간×4.34주)×1.25(할증)+"</f>
        <v>   2) 연장근로수당 : [1,342,425(기본급)÷209시간(월근로시간)×(0.2시간×4.34주)×1.25(할증)+</v>
      </c>
      <c r="B16" s="225"/>
      <c r="C16" s="225"/>
      <c r="D16" s="225"/>
      <c r="E16" s="181"/>
      <c r="F16" s="181"/>
      <c r="G16" s="181"/>
      <c r="H16" s="181"/>
      <c r="I16" s="181"/>
      <c r="J16" s="181"/>
      <c r="L16" s="227"/>
    </row>
    <row r="17" spans="1:12" s="183" customFormat="1" ht="22.5" customHeight="1">
      <c r="A17" s="257" t="str">
        <f>"                    "&amp;FIXED(E6,0)&amp;"(기본급)÷"&amp;K4&amp;"시간(월근로시간)×("&amp;(연장근로!$D$9)&amp;"시간×"&amp;(연장근로!$F$9)&amp;"주)×1.5(할증)]"</f>
        <v>                    1,342,425(기본급)÷209시간(월근로시간)×(0시간×4.34주)×1.5(할증)]</v>
      </c>
      <c r="B17" s="225"/>
      <c r="C17" s="225"/>
      <c r="D17" s="225"/>
      <c r="E17" s="181"/>
      <c r="F17" s="181"/>
      <c r="G17" s="181"/>
      <c r="H17" s="181"/>
      <c r="I17" s="181"/>
      <c r="J17" s="181"/>
      <c r="L17" s="227"/>
    </row>
    <row r="18" spans="1:12" s="183" customFormat="1" ht="21.75" customHeight="1">
      <c r="A18" s="169" t="s">
        <v>372</v>
      </c>
      <c r="B18" s="225"/>
      <c r="C18" s="225"/>
      <c r="D18" s="225"/>
      <c r="E18" s="181"/>
      <c r="F18" s="181"/>
      <c r="G18" s="181"/>
      <c r="H18" s="181"/>
      <c r="I18" s="181"/>
      <c r="J18" s="181"/>
      <c r="L18" s="227"/>
    </row>
    <row r="19" spans="1:12" s="183" customFormat="1" ht="21.75" customHeight="1">
      <c r="A19" s="257" t="str">
        <f>"   3) 휴일근로수당 : "&amp;FIXED(E6,0)&amp;"(기본급)÷"&amp;K4&amp;"(월근로시간)×"&amp;K8&amp;"시간(휴일근로시간)×1.5(할증)"</f>
        <v>   3) 휴일근로수당 : 1,342,425(기본급)÷209(월근로시간)×8시간(휴일근로시간)×1.5(할증)</v>
      </c>
      <c r="B19" s="225"/>
      <c r="C19" s="225"/>
      <c r="D19" s="225"/>
      <c r="E19" s="181"/>
      <c r="F19" s="181"/>
      <c r="G19" s="181"/>
      <c r="H19" s="181"/>
      <c r="I19" s="181"/>
      <c r="J19" s="181"/>
      <c r="L19" s="227"/>
    </row>
    <row r="20" spans="1:12" s="183" customFormat="1" ht="21.75" customHeight="1">
      <c r="A20" s="257" t="str">
        <f>"   4) 년차수당 : "&amp;FIXED(E6,0)&amp;"(기본급)÷"&amp;K4&amp;"(월근로시간)×8시간(일근로시간)×15일/년÷12개월"</f>
        <v>   4) 년차수당 : 1,342,425(기본급)÷209(월근로시간)×8시간(일근로시간)×15일/년÷12개월</v>
      </c>
      <c r="B20" s="180"/>
      <c r="C20" s="180"/>
      <c r="D20" s="180"/>
      <c r="E20" s="182"/>
      <c r="F20" s="182"/>
      <c r="G20" s="182"/>
      <c r="H20" s="182"/>
      <c r="I20" s="182"/>
      <c r="J20" s="171"/>
      <c r="L20" s="227"/>
    </row>
    <row r="21" spans="1:12" s="183" customFormat="1" ht="21.75" customHeight="1">
      <c r="A21" s="257" t="s">
        <v>371</v>
      </c>
      <c r="B21" s="180"/>
      <c r="C21" s="180"/>
      <c r="D21" s="180"/>
      <c r="E21" s="182"/>
      <c r="F21" s="182"/>
      <c r="G21" s="182"/>
      <c r="H21" s="182"/>
      <c r="I21" s="182"/>
      <c r="J21" s="171"/>
      <c r="L21" s="227"/>
    </row>
    <row r="22" spans="1:10" ht="21.75" customHeight="1">
      <c r="A22" s="463" t="str">
        <f>"   6) 상여금 : "&amp;FIXED(E6,0)&amp;"(기본급)×4개월(년 400%적용)÷12개월"</f>
        <v>   6) 상여금 : 1,342,425(기본급)×4개월(년 400%적용)÷12개월</v>
      </c>
      <c r="J22" s="33"/>
    </row>
    <row r="23" spans="1:10" ht="21.75" customHeight="1">
      <c r="A23" s="257"/>
      <c r="J23" s="33"/>
    </row>
    <row r="24" spans="1:10" ht="21.75" customHeight="1">
      <c r="A24" s="257"/>
      <c r="J24" s="33"/>
    </row>
    <row r="25" spans="1:12" ht="19.5" customHeight="1">
      <c r="A25" s="169" t="str">
        <f>"구 분 : "&amp;월기본급!B10&amp;"                       직종명 : "&amp;월기본급!F10&amp;""</f>
        <v>구 분 : 미화원                       직종명 : 보통인부</v>
      </c>
      <c r="B25" s="170"/>
      <c r="C25" s="170"/>
      <c r="D25" s="170"/>
      <c r="E25" s="182"/>
      <c r="F25" s="182"/>
      <c r="G25" s="182"/>
      <c r="J25" s="223" t="s">
        <v>48</v>
      </c>
      <c r="K25" s="152">
        <v>209</v>
      </c>
      <c r="L25" s="169" t="s">
        <v>56</v>
      </c>
    </row>
    <row r="26" spans="1:10" ht="49.5" customHeight="1">
      <c r="A26" s="628" t="s">
        <v>57</v>
      </c>
      <c r="B26" s="629"/>
      <c r="C26" s="629"/>
      <c r="D26" s="630"/>
      <c r="E26" s="625" t="s">
        <v>58</v>
      </c>
      <c r="F26" s="627"/>
      <c r="G26" s="245" t="s">
        <v>221</v>
      </c>
      <c r="H26" s="244"/>
      <c r="I26" s="245" t="s">
        <v>59</v>
      </c>
      <c r="J26" s="244"/>
    </row>
    <row r="27" spans="1:10" ht="34.5" customHeight="1">
      <c r="A27" s="628" t="s">
        <v>60</v>
      </c>
      <c r="B27" s="629"/>
      <c r="C27" s="629"/>
      <c r="D27" s="630"/>
      <c r="E27" s="258">
        <f>월기본급!J10</f>
        <v>982569</v>
      </c>
      <c r="F27" s="259"/>
      <c r="G27" s="261"/>
      <c r="H27" s="240"/>
      <c r="I27" s="239"/>
      <c r="J27" s="435" t="s">
        <v>61</v>
      </c>
    </row>
    <row r="28" spans="1:10" ht="34.5" customHeight="1">
      <c r="A28" s="638" t="s">
        <v>359</v>
      </c>
      <c r="B28" s="24"/>
      <c r="C28" s="25" t="s">
        <v>2</v>
      </c>
      <c r="D28" s="22"/>
      <c r="E28" s="466">
        <f>TRUNC((E27/K25*($M$7*4.34)*1.25)+(E27/K25*($L$7)*1.5),0)</f>
        <v>5100</v>
      </c>
      <c r="F28" s="259"/>
      <c r="G28" s="261"/>
      <c r="H28" s="262" t="s">
        <v>255</v>
      </c>
      <c r="I28" s="255"/>
      <c r="J28" s="435" t="s">
        <v>22</v>
      </c>
    </row>
    <row r="29" spans="1:11" ht="34.5" customHeight="1">
      <c r="A29" s="641"/>
      <c r="B29" s="24"/>
      <c r="C29" s="25" t="s">
        <v>268</v>
      </c>
      <c r="D29" s="22"/>
      <c r="E29" s="258">
        <f>TRUNC(E27/K25*K29*1.5,0)</f>
        <v>56415</v>
      </c>
      <c r="F29" s="259"/>
      <c r="G29" s="261"/>
      <c r="H29" s="262" t="s">
        <v>255</v>
      </c>
      <c r="I29" s="255"/>
      <c r="J29" s="435" t="s">
        <v>23</v>
      </c>
      <c r="K29" s="470">
        <v>8</v>
      </c>
    </row>
    <row r="30" spans="1:10" ht="34.5" customHeight="1">
      <c r="A30" s="641"/>
      <c r="B30" s="24"/>
      <c r="C30" s="25" t="s">
        <v>62</v>
      </c>
      <c r="D30" s="22"/>
      <c r="E30" s="258">
        <f>TRUNC(E27/K25*8*15/12,0)</f>
        <v>47012</v>
      </c>
      <c r="F30" s="259"/>
      <c r="G30" s="261"/>
      <c r="H30" s="262" t="s">
        <v>254</v>
      </c>
      <c r="I30" s="255"/>
      <c r="J30" s="435" t="s">
        <v>24</v>
      </c>
    </row>
    <row r="31" spans="1:10" ht="34.5" customHeight="1">
      <c r="A31" s="641"/>
      <c r="B31" s="24"/>
      <c r="C31" s="25" t="s">
        <v>358</v>
      </c>
      <c r="D31" s="22"/>
      <c r="E31" s="258"/>
      <c r="F31" s="259"/>
      <c r="G31" s="261"/>
      <c r="H31" s="262"/>
      <c r="I31" s="255"/>
      <c r="J31" s="435" t="s">
        <v>25</v>
      </c>
    </row>
    <row r="32" spans="1:10" ht="34.5" customHeight="1">
      <c r="A32" s="639"/>
      <c r="B32" s="24"/>
      <c r="C32" s="25" t="s">
        <v>63</v>
      </c>
      <c r="D32" s="22"/>
      <c r="E32" s="258">
        <f>SUM(E28:E31)</f>
        <v>108527</v>
      </c>
      <c r="F32" s="259"/>
      <c r="G32" s="261"/>
      <c r="H32" s="262"/>
      <c r="I32" s="255"/>
      <c r="J32" s="435"/>
    </row>
    <row r="33" spans="1:10" ht="34.5" customHeight="1">
      <c r="A33" s="628" t="s">
        <v>64</v>
      </c>
      <c r="B33" s="629"/>
      <c r="C33" s="629"/>
      <c r="D33" s="630"/>
      <c r="E33" s="258">
        <f>TRUNC(E27*4/12,0)</f>
        <v>327523</v>
      </c>
      <c r="F33" s="259"/>
      <c r="G33" s="261"/>
      <c r="H33" s="263" t="s">
        <v>312</v>
      </c>
      <c r="I33" s="256"/>
      <c r="J33" s="435" t="s">
        <v>369</v>
      </c>
    </row>
    <row r="34" spans="1:10" ht="34.5" customHeight="1">
      <c r="A34" s="628" t="s">
        <v>65</v>
      </c>
      <c r="B34" s="629"/>
      <c r="C34" s="629"/>
      <c r="D34" s="630"/>
      <c r="E34" s="258"/>
      <c r="F34" s="259"/>
      <c r="G34" s="261"/>
      <c r="H34" s="262" t="s">
        <v>66</v>
      </c>
      <c r="I34" s="255"/>
      <c r="J34" s="435" t="s">
        <v>370</v>
      </c>
    </row>
    <row r="35" spans="1:10" ht="34.5" customHeight="1">
      <c r="A35" s="628" t="s">
        <v>67</v>
      </c>
      <c r="B35" s="629"/>
      <c r="C35" s="629"/>
      <c r="D35" s="630"/>
      <c r="E35" s="258">
        <f>SUM(E27,E32,E33,E34)</f>
        <v>1418619</v>
      </c>
      <c r="F35" s="259"/>
      <c r="G35" s="261"/>
      <c r="H35" s="6"/>
      <c r="I35" s="13"/>
      <c r="J35" s="12"/>
    </row>
    <row r="36" spans="1:12" s="183" customFormat="1" ht="21.75" customHeight="1">
      <c r="A36" s="225" t="str">
        <f>"주 1) 기본급 : "&amp;월기본급!$A$1&amp;월기본급!$A$2&amp;" 참조"</f>
        <v>주 1) 기본급 : &lt; 표 : 8 &gt; M/M당기본급산출표 참조</v>
      </c>
      <c r="B36" s="225"/>
      <c r="C36" s="225"/>
      <c r="D36" s="225"/>
      <c r="E36" s="181"/>
      <c r="F36" s="181"/>
      <c r="G36" s="181"/>
      <c r="H36" s="181"/>
      <c r="I36" s="181"/>
      <c r="J36" s="181"/>
      <c r="L36" s="227"/>
    </row>
    <row r="37" spans="1:12" s="183" customFormat="1" ht="21.75" customHeight="1">
      <c r="A37" s="257" t="str">
        <f>"   2) 연장근로수당 : ["&amp;FIXED(E27,0)&amp;"(기본급)÷"&amp;K25&amp;"시간(월근로시간)×("&amp;$M$7&amp;"시간×4.34주)×1.25(할증)+"</f>
        <v>   2) 연장근로수당 : [982,569(기본급)÷209시간(월근로시간)×(0.2시간×4.34주)×1.25(할증)+</v>
      </c>
      <c r="B37" s="225"/>
      <c r="C37" s="225"/>
      <c r="D37" s="225"/>
      <c r="E37" s="181"/>
      <c r="F37" s="181"/>
      <c r="G37" s="181"/>
      <c r="H37" s="181"/>
      <c r="I37" s="181"/>
      <c r="J37" s="181"/>
      <c r="L37" s="227"/>
    </row>
    <row r="38" spans="1:12" s="183" customFormat="1" ht="22.5" customHeight="1">
      <c r="A38" s="257" t="str">
        <f>"                    "&amp;FIXED(E27,0)&amp;"(기본급)÷"&amp;K25&amp;"시간(월근로시간)×("&amp;(연장근로!$D$9)&amp;"시간×"&amp;(연장근로!$F$9)&amp;"주)×1.5(할증)]"</f>
        <v>                    982,569(기본급)÷209시간(월근로시간)×(0시간×4.34주)×1.5(할증)]</v>
      </c>
      <c r="B38" s="225"/>
      <c r="C38" s="225"/>
      <c r="D38" s="225"/>
      <c r="E38" s="181"/>
      <c r="F38" s="181"/>
      <c r="G38" s="181"/>
      <c r="H38" s="181"/>
      <c r="I38" s="181"/>
      <c r="J38" s="181"/>
      <c r="L38" s="227"/>
    </row>
    <row r="39" spans="1:12" s="183" customFormat="1" ht="21.75" customHeight="1">
      <c r="A39" s="169" t="s">
        <v>372</v>
      </c>
      <c r="B39" s="225"/>
      <c r="C39" s="225"/>
      <c r="D39" s="225"/>
      <c r="E39" s="181"/>
      <c r="F39" s="181"/>
      <c r="G39" s="181"/>
      <c r="H39" s="181"/>
      <c r="I39" s="181"/>
      <c r="J39" s="181"/>
      <c r="L39" s="227"/>
    </row>
    <row r="40" spans="1:12" s="183" customFormat="1" ht="21.75" customHeight="1">
      <c r="A40" s="257" t="str">
        <f>"   3) 휴일근로수당 : "&amp;FIXED(E27,0)&amp;"(기본급)÷"&amp;K25&amp;"(월근로시간)×"&amp;FIXED(K29,0)&amp;"시간(휴일근로시간)×1.5(할증)"</f>
        <v>   3) 휴일근로수당 : 982,569(기본급)÷209(월근로시간)×8시간(휴일근로시간)×1.5(할증)</v>
      </c>
      <c r="B40" s="225"/>
      <c r="C40" s="225"/>
      <c r="D40" s="225"/>
      <c r="E40" s="181"/>
      <c r="F40" s="181"/>
      <c r="G40" s="181"/>
      <c r="H40" s="181"/>
      <c r="I40" s="181"/>
      <c r="J40" s="181"/>
      <c r="L40" s="227"/>
    </row>
    <row r="41" spans="1:12" s="183" customFormat="1" ht="21.75" customHeight="1">
      <c r="A41" s="257" t="str">
        <f>"   4) 년차수당 : "&amp;FIXED(E27,0)&amp;"(기본급)÷"&amp;K25&amp;"(월근로시간)×8시간(일근로시간)×15일/년÷12개월"</f>
        <v>   4) 년차수당 : 982,569(기본급)÷209(월근로시간)×8시간(일근로시간)×15일/년÷12개월</v>
      </c>
      <c r="B41" s="180"/>
      <c r="C41" s="180"/>
      <c r="D41" s="180"/>
      <c r="E41" s="182"/>
      <c r="F41" s="182"/>
      <c r="G41" s="182"/>
      <c r="H41" s="182"/>
      <c r="I41" s="182"/>
      <c r="J41" s="171"/>
      <c r="L41" s="227"/>
    </row>
    <row r="42" spans="1:12" s="183" customFormat="1" ht="21.75" customHeight="1">
      <c r="A42" s="257" t="s">
        <v>371</v>
      </c>
      <c r="B42" s="180"/>
      <c r="C42" s="180"/>
      <c r="D42" s="180"/>
      <c r="E42" s="182"/>
      <c r="F42" s="182"/>
      <c r="G42" s="182"/>
      <c r="H42" s="182"/>
      <c r="I42" s="182"/>
      <c r="J42" s="171"/>
      <c r="L42" s="227"/>
    </row>
    <row r="43" spans="1:10" ht="21.75" customHeight="1">
      <c r="A43" s="463" t="str">
        <f>"   6) 상여금 : "&amp;FIXED(E27,0)&amp;"(기본급)×4개월(년 400%적용)÷12개월"</f>
        <v>   6) 상여금 : 982,569(기본급)×4개월(년 400%적용)÷12개월</v>
      </c>
      <c r="J43" s="33"/>
    </row>
    <row r="44" spans="1:10" ht="21.75" customHeight="1">
      <c r="A44" s="257"/>
      <c r="J44" s="33"/>
    </row>
    <row r="45" spans="1:10" ht="21.75" customHeight="1">
      <c r="A45" s="257"/>
      <c r="J45" s="33"/>
    </row>
    <row r="46" spans="1:12" ht="19.5" customHeight="1">
      <c r="A46" s="169" t="str">
        <f>"구 분 : "&amp;월기본급!B11&amp;"                       직종명 : "&amp;월기본급!F11&amp;""</f>
        <v>구 분 : 경비원                       직종명 : 보통인부</v>
      </c>
      <c r="B46" s="170"/>
      <c r="C46" s="170"/>
      <c r="D46" s="170"/>
      <c r="E46" s="182"/>
      <c r="F46" s="182"/>
      <c r="G46" s="182"/>
      <c r="J46" s="223" t="s">
        <v>48</v>
      </c>
      <c r="K46" s="152">
        <v>209</v>
      </c>
      <c r="L46" s="169" t="s">
        <v>56</v>
      </c>
    </row>
    <row r="47" spans="1:10" ht="49.5" customHeight="1">
      <c r="A47" s="628" t="s">
        <v>57</v>
      </c>
      <c r="B47" s="629"/>
      <c r="C47" s="629"/>
      <c r="D47" s="630"/>
      <c r="E47" s="625" t="s">
        <v>58</v>
      </c>
      <c r="F47" s="627"/>
      <c r="G47" s="245" t="s">
        <v>221</v>
      </c>
      <c r="H47" s="244"/>
      <c r="I47" s="245" t="s">
        <v>59</v>
      </c>
      <c r="J47" s="244"/>
    </row>
    <row r="48" spans="1:10" ht="34.5" customHeight="1">
      <c r="A48" s="628" t="s">
        <v>60</v>
      </c>
      <c r="B48" s="629"/>
      <c r="C48" s="629"/>
      <c r="D48" s="630"/>
      <c r="E48" s="258">
        <f>월기본급!J11</f>
        <v>982569</v>
      </c>
      <c r="F48" s="259"/>
      <c r="G48" s="261"/>
      <c r="H48" s="240"/>
      <c r="I48" s="239"/>
      <c r="J48" s="435" t="s">
        <v>61</v>
      </c>
    </row>
    <row r="49" spans="1:10" ht="34.5" customHeight="1">
      <c r="A49" s="638" t="s">
        <v>359</v>
      </c>
      <c r="B49" s="24"/>
      <c r="C49" s="25" t="s">
        <v>2</v>
      </c>
      <c r="D49" s="22"/>
      <c r="E49" s="466">
        <f>TRUNC((E48/K46*($M$7*4.34)*1.25)+(E48/K46*($L$7)*1.5),0)</f>
        <v>5100</v>
      </c>
      <c r="F49" s="259"/>
      <c r="G49" s="261"/>
      <c r="H49" s="262" t="s">
        <v>255</v>
      </c>
      <c r="I49" s="255"/>
      <c r="J49" s="435" t="s">
        <v>22</v>
      </c>
    </row>
    <row r="50" spans="1:11" ht="34.5" customHeight="1">
      <c r="A50" s="641"/>
      <c r="B50" s="24"/>
      <c r="C50" s="25" t="s">
        <v>311</v>
      </c>
      <c r="D50" s="22"/>
      <c r="E50" s="258">
        <f>TRUNC(E48/K46*K50*1.5,0)</f>
        <v>56415</v>
      </c>
      <c r="F50" s="259"/>
      <c r="G50" s="261"/>
      <c r="H50" s="262" t="s">
        <v>255</v>
      </c>
      <c r="I50" s="255"/>
      <c r="J50" s="435" t="s">
        <v>23</v>
      </c>
      <c r="K50" s="470">
        <f>K29</f>
        <v>8</v>
      </c>
    </row>
    <row r="51" spans="1:10" ht="34.5" customHeight="1">
      <c r="A51" s="641"/>
      <c r="B51" s="24"/>
      <c r="C51" s="25" t="s">
        <v>62</v>
      </c>
      <c r="D51" s="22"/>
      <c r="E51" s="258">
        <f>TRUNC(E48/K46*8*15/12,0)</f>
        <v>47012</v>
      </c>
      <c r="F51" s="259"/>
      <c r="G51" s="261"/>
      <c r="H51" s="262" t="s">
        <v>254</v>
      </c>
      <c r="I51" s="255"/>
      <c r="J51" s="435" t="s">
        <v>24</v>
      </c>
    </row>
    <row r="52" spans="1:10" ht="34.5" customHeight="1">
      <c r="A52" s="641"/>
      <c r="B52" s="24"/>
      <c r="C52" s="25" t="s">
        <v>358</v>
      </c>
      <c r="D52" s="22"/>
      <c r="E52" s="258"/>
      <c r="F52" s="259"/>
      <c r="G52" s="261"/>
      <c r="H52" s="262"/>
      <c r="I52" s="255"/>
      <c r="J52" s="435" t="s">
        <v>25</v>
      </c>
    </row>
    <row r="53" spans="1:10" ht="34.5" customHeight="1">
      <c r="A53" s="639"/>
      <c r="B53" s="24"/>
      <c r="C53" s="25" t="s">
        <v>63</v>
      </c>
      <c r="D53" s="22"/>
      <c r="E53" s="258">
        <f>SUM(E49:E52)</f>
        <v>108527</v>
      </c>
      <c r="F53" s="259"/>
      <c r="G53" s="261"/>
      <c r="H53" s="262"/>
      <c r="I53" s="255"/>
      <c r="J53" s="435"/>
    </row>
    <row r="54" spans="1:10" ht="34.5" customHeight="1">
      <c r="A54" s="628" t="s">
        <v>64</v>
      </c>
      <c r="B54" s="629"/>
      <c r="C54" s="629"/>
      <c r="D54" s="630"/>
      <c r="E54" s="258">
        <f>TRUNC(E48*4/12,0)</f>
        <v>327523</v>
      </c>
      <c r="F54" s="259"/>
      <c r="G54" s="261"/>
      <c r="H54" s="263" t="s">
        <v>312</v>
      </c>
      <c r="I54" s="256"/>
      <c r="J54" s="435" t="s">
        <v>369</v>
      </c>
    </row>
    <row r="55" spans="1:10" ht="34.5" customHeight="1">
      <c r="A55" s="628" t="s">
        <v>65</v>
      </c>
      <c r="B55" s="629"/>
      <c r="C55" s="629"/>
      <c r="D55" s="630"/>
      <c r="E55" s="258"/>
      <c r="F55" s="259"/>
      <c r="G55" s="261"/>
      <c r="H55" s="262" t="s">
        <v>66</v>
      </c>
      <c r="I55" s="255"/>
      <c r="J55" s="435" t="s">
        <v>370</v>
      </c>
    </row>
    <row r="56" spans="1:10" ht="34.5" customHeight="1">
      <c r="A56" s="628" t="s">
        <v>67</v>
      </c>
      <c r="B56" s="629"/>
      <c r="C56" s="629"/>
      <c r="D56" s="630"/>
      <c r="E56" s="258">
        <f>SUM(E48,E53,E54,E55)</f>
        <v>1418619</v>
      </c>
      <c r="F56" s="259"/>
      <c r="G56" s="261"/>
      <c r="H56" s="6"/>
      <c r="I56" s="13"/>
      <c r="J56" s="12"/>
    </row>
    <row r="57" spans="1:12" s="183" customFormat="1" ht="21.75" customHeight="1">
      <c r="A57" s="225" t="str">
        <f>"주 1) 기본급 : "&amp;월기본급!$A$1&amp;월기본급!$A$2&amp;" 참조"</f>
        <v>주 1) 기본급 : &lt; 표 : 8 &gt; M/M당기본급산출표 참조</v>
      </c>
      <c r="B57" s="225"/>
      <c r="C57" s="225"/>
      <c r="D57" s="225"/>
      <c r="E57" s="181"/>
      <c r="F57" s="181"/>
      <c r="G57" s="181"/>
      <c r="H57" s="181"/>
      <c r="I57" s="181"/>
      <c r="J57" s="181"/>
      <c r="L57" s="227"/>
    </row>
    <row r="58" spans="1:12" s="183" customFormat="1" ht="21.75" customHeight="1">
      <c r="A58" s="257" t="str">
        <f>"   2) 연장근로수당 : ["&amp;FIXED(E48,0)&amp;"(기본급)÷"&amp;K46&amp;"시간(월근로시간)×("&amp;$M$7&amp;"시간×4.34주)×1.25(할증)+"</f>
        <v>   2) 연장근로수당 : [982,569(기본급)÷209시간(월근로시간)×(0.2시간×4.34주)×1.25(할증)+</v>
      </c>
      <c r="B58" s="225"/>
      <c r="C58" s="225"/>
      <c r="D58" s="225"/>
      <c r="E58" s="181"/>
      <c r="F58" s="181"/>
      <c r="G58" s="181"/>
      <c r="H58" s="181"/>
      <c r="I58" s="181"/>
      <c r="J58" s="181"/>
      <c r="L58" s="227"/>
    </row>
    <row r="59" spans="1:12" s="183" customFormat="1" ht="22.5" customHeight="1">
      <c r="A59" s="257" t="str">
        <f>"                    "&amp;FIXED(E48,0)&amp;"(기본급)÷"&amp;K46&amp;"시간(월근로시간)×("&amp;(연장근로!$D$9)&amp;"시간×"&amp;(연장근로!$F$9)&amp;"주)×1.5(할증)]"</f>
        <v>                    982,569(기본급)÷209시간(월근로시간)×(0시간×4.34주)×1.5(할증)]</v>
      </c>
      <c r="B59" s="225"/>
      <c r="C59" s="225"/>
      <c r="D59" s="225"/>
      <c r="E59" s="181"/>
      <c r="F59" s="181"/>
      <c r="G59" s="181"/>
      <c r="H59" s="181"/>
      <c r="I59" s="181"/>
      <c r="J59" s="181"/>
      <c r="L59" s="227"/>
    </row>
    <row r="60" spans="1:12" s="183" customFormat="1" ht="21.75" customHeight="1">
      <c r="A60" s="169" t="s">
        <v>372</v>
      </c>
      <c r="B60" s="225"/>
      <c r="C60" s="225"/>
      <c r="D60" s="225"/>
      <c r="E60" s="181"/>
      <c r="F60" s="181"/>
      <c r="G60" s="181"/>
      <c r="H60" s="181"/>
      <c r="I60" s="181"/>
      <c r="J60" s="181"/>
      <c r="L60" s="227"/>
    </row>
    <row r="61" spans="1:12" s="183" customFormat="1" ht="21.75" customHeight="1">
      <c r="A61" s="257" t="str">
        <f>"   3) 휴일근로수당 : "&amp;FIXED(E48,0)&amp;"(기본급)÷"&amp;K46&amp;"(월근로시간)×"&amp;K50&amp;"시간(휴일근로시간)×1.5(할증)"</f>
        <v>   3) 휴일근로수당 : 982,569(기본급)÷209(월근로시간)×8시간(휴일근로시간)×1.5(할증)</v>
      </c>
      <c r="B61" s="225"/>
      <c r="C61" s="225"/>
      <c r="D61" s="225"/>
      <c r="E61" s="181"/>
      <c r="F61" s="181"/>
      <c r="G61" s="181"/>
      <c r="H61" s="181"/>
      <c r="I61" s="181"/>
      <c r="J61" s="181"/>
      <c r="L61" s="227"/>
    </row>
    <row r="62" spans="1:12" s="183" customFormat="1" ht="21.75" customHeight="1">
      <c r="A62" s="257" t="str">
        <f>"   4) 년차수당 : "&amp;FIXED(E48,0)&amp;"(기본급)÷"&amp;K46&amp;"(월근로시간)×8시간(일근로시간)×15일/년÷12개월"</f>
        <v>   4) 년차수당 : 982,569(기본급)÷209(월근로시간)×8시간(일근로시간)×15일/년÷12개월</v>
      </c>
      <c r="B62" s="180"/>
      <c r="C62" s="180"/>
      <c r="D62" s="180"/>
      <c r="E62" s="182"/>
      <c r="F62" s="182"/>
      <c r="G62" s="182"/>
      <c r="H62" s="182"/>
      <c r="I62" s="182"/>
      <c r="J62" s="171"/>
      <c r="L62" s="227"/>
    </row>
    <row r="63" spans="1:12" s="183" customFormat="1" ht="21.75" customHeight="1">
      <c r="A63" s="257" t="s">
        <v>371</v>
      </c>
      <c r="B63" s="180"/>
      <c r="C63" s="180"/>
      <c r="D63" s="180"/>
      <c r="E63" s="182"/>
      <c r="F63" s="182"/>
      <c r="G63" s="182"/>
      <c r="H63" s="182"/>
      <c r="I63" s="182"/>
      <c r="J63" s="171"/>
      <c r="L63" s="227"/>
    </row>
    <row r="64" spans="1:10" ht="21.75" customHeight="1">
      <c r="A64" s="463" t="str">
        <f>"   6) 상여금 : "&amp;FIXED(E48,0)&amp;"(기본급)×4개월(년 400%적용)÷12개월"</f>
        <v>   6) 상여금 : 982,569(기본급)×4개월(년 400%적용)÷12개월</v>
      </c>
      <c r="J64" s="33"/>
    </row>
    <row r="65" spans="1:10" ht="21.75" customHeight="1">
      <c r="A65" s="257"/>
      <c r="J65" s="33"/>
    </row>
    <row r="66" spans="1:10" ht="21.75" customHeight="1">
      <c r="A66" s="257"/>
      <c r="J66" s="33"/>
    </row>
  </sheetData>
  <sheetProtection/>
  <mergeCells count="21">
    <mergeCell ref="E26:F26"/>
    <mergeCell ref="A27:D27"/>
    <mergeCell ref="A28:A32"/>
    <mergeCell ref="A33:D33"/>
    <mergeCell ref="A26:D26"/>
    <mergeCell ref="A34:D34"/>
    <mergeCell ref="A35:D35"/>
    <mergeCell ref="A47:D47"/>
    <mergeCell ref="E47:F47"/>
    <mergeCell ref="A56:D56"/>
    <mergeCell ref="A48:D48"/>
    <mergeCell ref="A49:A53"/>
    <mergeCell ref="A54:D54"/>
    <mergeCell ref="A55:D55"/>
    <mergeCell ref="A12:D12"/>
    <mergeCell ref="A13:D13"/>
    <mergeCell ref="A14:D14"/>
    <mergeCell ref="A6:D6"/>
    <mergeCell ref="A5:D5"/>
    <mergeCell ref="E5:F5"/>
    <mergeCell ref="A7:A1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 -</oddFooter>
  </headerFooter>
  <rowBreaks count="1" manualBreakCount="1">
    <brk id="45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view="pageBreakPreview" zoomScaleNormal="75" zoomScaleSheetLayoutView="100" zoomScalePageLayoutView="0" workbookViewId="0" topLeftCell="A1">
      <selection activeCell="D9" sqref="D9"/>
    </sheetView>
  </sheetViews>
  <sheetFormatPr defaultColWidth="11.421875" defaultRowHeight="12"/>
  <cols>
    <col min="1" max="1" width="3.7109375" style="441" customWidth="1"/>
    <col min="2" max="2" width="20.7109375" style="442" customWidth="1"/>
    <col min="3" max="3" width="3.7109375" style="441" customWidth="1"/>
    <col min="4" max="4" width="11.7109375" style="441" customWidth="1"/>
    <col min="5" max="5" width="4.7109375" style="442" customWidth="1"/>
    <col min="6" max="6" width="14.7109375" style="442" customWidth="1"/>
    <col min="7" max="7" width="11.7109375" style="442" customWidth="1"/>
    <col min="8" max="8" width="4.7109375" style="441" customWidth="1"/>
    <col min="9" max="9" width="19.57421875" style="441" customWidth="1"/>
    <col min="10" max="10" width="14.140625" style="441" bestFit="1" customWidth="1"/>
    <col min="11" max="11" width="11.8515625" style="441" bestFit="1" customWidth="1"/>
    <col min="12" max="12" width="5.00390625" style="441" customWidth="1"/>
    <col min="13" max="13" width="9.7109375" style="441" bestFit="1" customWidth="1"/>
    <col min="14" max="14" width="14.140625" style="441" bestFit="1" customWidth="1"/>
    <col min="15" max="16384" width="11.421875" style="441" customWidth="1"/>
  </cols>
  <sheetData>
    <row r="1" ht="19.5" customHeight="1">
      <c r="A1" s="441" t="s">
        <v>450</v>
      </c>
    </row>
    <row r="2" spans="1:11" ht="39.75" customHeight="1">
      <c r="A2" s="443" t="s">
        <v>398</v>
      </c>
      <c r="B2" s="444"/>
      <c r="C2" s="445"/>
      <c r="D2" s="445"/>
      <c r="E2" s="444"/>
      <c r="F2" s="444"/>
      <c r="G2" s="444"/>
      <c r="H2" s="445"/>
      <c r="I2" s="445"/>
      <c r="J2" s="446"/>
      <c r="K2" s="447"/>
    </row>
    <row r="3" spans="1:11" ht="19.5" customHeight="1">
      <c r="A3" s="445"/>
      <c r="B3" s="444"/>
      <c r="C3" s="444"/>
      <c r="D3" s="444"/>
      <c r="E3" s="444"/>
      <c r="F3" s="448"/>
      <c r="G3" s="448"/>
      <c r="H3" s="448"/>
      <c r="I3" s="448"/>
      <c r="J3" s="448"/>
      <c r="K3" s="447"/>
    </row>
    <row r="4" spans="1:11" ht="19.5" customHeight="1">
      <c r="A4" s="449"/>
      <c r="B4" s="450"/>
      <c r="C4" s="450"/>
      <c r="D4" s="450"/>
      <c r="E4" s="450"/>
      <c r="F4" s="451"/>
      <c r="G4" s="451"/>
      <c r="H4" s="451"/>
      <c r="I4" s="452" t="s">
        <v>389</v>
      </c>
      <c r="J4" s="451"/>
      <c r="K4" s="452"/>
    </row>
    <row r="5" spans="1:9" ht="49.5" customHeight="1">
      <c r="A5" s="453"/>
      <c r="B5" s="454" t="s">
        <v>379</v>
      </c>
      <c r="C5" s="455"/>
      <c r="D5" s="476" t="s">
        <v>402</v>
      </c>
      <c r="E5" s="456"/>
      <c r="F5" s="457" t="s">
        <v>399</v>
      </c>
      <c r="G5" s="477" t="s">
        <v>400</v>
      </c>
      <c r="H5" s="456"/>
      <c r="I5" s="457" t="s">
        <v>378</v>
      </c>
    </row>
    <row r="6" spans="1:9" ht="19.5" customHeight="1">
      <c r="A6" s="478"/>
      <c r="B6" s="479"/>
      <c r="C6" s="480"/>
      <c r="D6" s="481"/>
      <c r="E6" s="482"/>
      <c r="F6" s="483"/>
      <c r="G6" s="484"/>
      <c r="H6" s="482"/>
      <c r="I6" s="483"/>
    </row>
    <row r="7" spans="1:9" ht="60" customHeight="1">
      <c r="A7" s="485"/>
      <c r="B7" s="444"/>
      <c r="C7" s="486"/>
      <c r="D7" s="512" t="s">
        <v>267</v>
      </c>
      <c r="E7" s="448"/>
      <c r="F7" s="487" t="s">
        <v>347</v>
      </c>
      <c r="G7" s="448" t="s">
        <v>344</v>
      </c>
      <c r="H7" s="448"/>
      <c r="I7" s="439"/>
    </row>
    <row r="8" spans="1:14" ht="60" customHeight="1">
      <c r="A8" s="488"/>
      <c r="B8" s="489" t="s">
        <v>401</v>
      </c>
      <c r="C8" s="489"/>
      <c r="D8" s="490">
        <v>0.2</v>
      </c>
      <c r="E8" s="491"/>
      <c r="F8" s="474">
        <v>4.34</v>
      </c>
      <c r="G8" s="492">
        <f>TRUNC(D8*F8,2)</f>
        <v>0.86</v>
      </c>
      <c r="H8" s="491"/>
      <c r="I8" s="598" t="s">
        <v>514</v>
      </c>
      <c r="J8" s="599" t="s">
        <v>516</v>
      </c>
      <c r="K8" s="599" t="s">
        <v>517</v>
      </c>
      <c r="L8" s="599"/>
      <c r="M8" s="599" t="s">
        <v>518</v>
      </c>
      <c r="N8" s="599" t="s">
        <v>519</v>
      </c>
    </row>
    <row r="9" spans="1:14" ht="60" customHeight="1">
      <c r="A9" s="488"/>
      <c r="B9" s="489" t="s">
        <v>401</v>
      </c>
      <c r="C9" s="489"/>
      <c r="D9" s="490">
        <v>0</v>
      </c>
      <c r="E9" s="491"/>
      <c r="F9" s="474">
        <v>4.34</v>
      </c>
      <c r="G9" s="492">
        <f>TRUNC(D9*F9,2)</f>
        <v>0</v>
      </c>
      <c r="H9" s="491"/>
      <c r="I9" s="598" t="s">
        <v>515</v>
      </c>
      <c r="J9" s="599">
        <v>1</v>
      </c>
      <c r="K9" s="599">
        <v>5</v>
      </c>
      <c r="L9" s="599">
        <f>SUM(J9*K9)</f>
        <v>5</v>
      </c>
      <c r="M9" s="600">
        <f>D8</f>
        <v>0.2</v>
      </c>
      <c r="N9" s="601">
        <f>L9-M9</f>
        <v>4.8</v>
      </c>
    </row>
    <row r="10" spans="1:9" ht="60" customHeight="1">
      <c r="A10" s="493"/>
      <c r="B10" s="494"/>
      <c r="C10" s="494"/>
      <c r="D10" s="495"/>
      <c r="E10" s="496"/>
      <c r="F10" s="497"/>
      <c r="G10" s="498"/>
      <c r="H10" s="496"/>
      <c r="I10" s="499"/>
    </row>
    <row r="11" spans="1:9" ht="45" customHeight="1">
      <c r="A11" s="453"/>
      <c r="B11" s="454" t="s">
        <v>380</v>
      </c>
      <c r="C11" s="459"/>
      <c r="D11" s="462"/>
      <c r="E11" s="460"/>
      <c r="F11" s="461"/>
      <c r="G11" s="472">
        <f>SUM(G8:G10)</f>
        <v>0.86</v>
      </c>
      <c r="H11" s="460"/>
      <c r="I11" s="458"/>
    </row>
    <row r="12" ht="19.5" customHeight="1">
      <c r="A12" s="441" t="s">
        <v>403</v>
      </c>
    </row>
    <row r="13" ht="19.5" customHeight="1">
      <c r="A13" s="441" t="s">
        <v>404</v>
      </c>
    </row>
    <row r="14" spans="1:11" ht="19.5" customHeight="1">
      <c r="A14" s="463" t="s">
        <v>405</v>
      </c>
      <c r="B14" s="463"/>
      <c r="C14" s="464"/>
      <c r="D14" s="464"/>
      <c r="E14" s="464"/>
      <c r="F14" s="465"/>
      <c r="G14" s="465"/>
      <c r="H14" s="465"/>
      <c r="I14" s="465"/>
      <c r="J14" s="465"/>
      <c r="K14" s="465"/>
    </row>
  </sheetData>
  <sheetProtection/>
  <printOptions/>
  <pageMargins left="0.7874015748031497" right="0.7874015748031497" top="0.984251968503937" bottom="0.7874015748031497" header="0.5118110236220472" footer="0.5118110236220472"/>
  <pageSetup blackAndWhite="1" horizontalDpi="600" verticalDpi="600" orientation="portrait" paperSize="9" r:id="rId1"/>
  <headerFooter alignWithMargins="0">
    <oddFooter>&amp;C&amp;"바탕체,보통"&amp;10-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view="pageBreakPreview" zoomScaleNormal="75" zoomScaleSheetLayoutView="100" zoomScalePageLayoutView="0" workbookViewId="0" topLeftCell="A1">
      <selection activeCell="D8" sqref="D8"/>
    </sheetView>
  </sheetViews>
  <sheetFormatPr defaultColWidth="11.421875" defaultRowHeight="12"/>
  <cols>
    <col min="1" max="1" width="3.7109375" style="441" customWidth="1"/>
    <col min="2" max="2" width="20.7109375" style="442" customWidth="1"/>
    <col min="3" max="3" width="3.7109375" style="441" customWidth="1"/>
    <col min="4" max="4" width="11.7109375" style="441" customWidth="1"/>
    <col min="5" max="5" width="4.7109375" style="442" customWidth="1"/>
    <col min="6" max="6" width="14.7109375" style="442" customWidth="1"/>
    <col min="7" max="7" width="11.7109375" style="442" customWidth="1"/>
    <col min="8" max="8" width="4.7109375" style="441" customWidth="1"/>
    <col min="9" max="9" width="19.57421875" style="441" customWidth="1"/>
    <col min="10" max="11" width="11.421875" style="441" customWidth="1"/>
    <col min="12" max="12" width="17.00390625" style="441" bestFit="1" customWidth="1"/>
    <col min="13" max="16384" width="11.421875" style="441" customWidth="1"/>
  </cols>
  <sheetData>
    <row r="1" ht="19.5" customHeight="1">
      <c r="A1" s="441" t="s">
        <v>451</v>
      </c>
    </row>
    <row r="2" spans="1:11" ht="39.75" customHeight="1">
      <c r="A2" s="443" t="s">
        <v>406</v>
      </c>
      <c r="B2" s="444"/>
      <c r="C2" s="445"/>
      <c r="D2" s="445"/>
      <c r="E2" s="444"/>
      <c r="F2" s="444"/>
      <c r="G2" s="444"/>
      <c r="H2" s="445"/>
      <c r="I2" s="445"/>
      <c r="J2" s="446"/>
      <c r="K2" s="447"/>
    </row>
    <row r="3" spans="1:11" ht="19.5" customHeight="1">
      <c r="A3" s="445"/>
      <c r="B3" s="444"/>
      <c r="C3" s="444"/>
      <c r="D3" s="444"/>
      <c r="E3" s="444"/>
      <c r="F3" s="448"/>
      <c r="G3" s="448"/>
      <c r="H3" s="448"/>
      <c r="I3" s="448"/>
      <c r="J3" s="448"/>
      <c r="K3" s="447"/>
    </row>
    <row r="4" spans="1:11" ht="19.5" customHeight="1">
      <c r="A4" s="449"/>
      <c r="B4" s="450"/>
      <c r="C4" s="450"/>
      <c r="D4" s="450"/>
      <c r="E4" s="450"/>
      <c r="F4" s="451"/>
      <c r="G4" s="451"/>
      <c r="H4" s="451"/>
      <c r="I4" s="452" t="s">
        <v>389</v>
      </c>
      <c r="J4" s="451"/>
      <c r="K4" s="452"/>
    </row>
    <row r="5" spans="1:9" ht="49.5" customHeight="1">
      <c r="A5" s="453"/>
      <c r="B5" s="454" t="s">
        <v>379</v>
      </c>
      <c r="C5" s="455"/>
      <c r="D5" s="476" t="s">
        <v>407</v>
      </c>
      <c r="E5" s="456"/>
      <c r="F5" s="457" t="s">
        <v>399</v>
      </c>
      <c r="G5" s="477" t="s">
        <v>408</v>
      </c>
      <c r="H5" s="456"/>
      <c r="I5" s="457" t="s">
        <v>378</v>
      </c>
    </row>
    <row r="6" spans="1:9" ht="19.5" customHeight="1">
      <c r="A6" s="478"/>
      <c r="B6" s="479"/>
      <c r="C6" s="480"/>
      <c r="D6" s="481"/>
      <c r="E6" s="482"/>
      <c r="F6" s="483"/>
      <c r="G6" s="484"/>
      <c r="H6" s="482"/>
      <c r="I6" s="483"/>
    </row>
    <row r="7" spans="1:9" ht="60" customHeight="1">
      <c r="A7" s="485"/>
      <c r="B7" s="444"/>
      <c r="C7" s="486"/>
      <c r="D7" s="512" t="s">
        <v>267</v>
      </c>
      <c r="E7" s="448"/>
      <c r="F7" s="487" t="s">
        <v>347</v>
      </c>
      <c r="G7" s="448" t="s">
        <v>344</v>
      </c>
      <c r="H7" s="448"/>
      <c r="I7" s="439"/>
    </row>
    <row r="8" spans="1:9" ht="60" customHeight="1">
      <c r="A8" s="488"/>
      <c r="B8" s="489" t="s">
        <v>401</v>
      </c>
      <c r="C8" s="489"/>
      <c r="D8" s="490">
        <v>8</v>
      </c>
      <c r="E8" s="491"/>
      <c r="F8" s="474">
        <v>1</v>
      </c>
      <c r="G8" s="492">
        <f>TRUNC(D8*F8,2)</f>
        <v>8</v>
      </c>
      <c r="H8" s="491"/>
      <c r="I8" s="439"/>
    </row>
    <row r="9" spans="1:9" ht="60" customHeight="1">
      <c r="A9" s="493"/>
      <c r="B9" s="494"/>
      <c r="C9" s="494"/>
      <c r="D9" s="495"/>
      <c r="E9" s="496"/>
      <c r="F9" s="497"/>
      <c r="G9" s="498"/>
      <c r="H9" s="496"/>
      <c r="I9" s="499"/>
    </row>
    <row r="10" spans="1:9" ht="45" customHeight="1">
      <c r="A10" s="453"/>
      <c r="B10" s="454" t="s">
        <v>380</v>
      </c>
      <c r="C10" s="459"/>
      <c r="D10" s="462"/>
      <c r="E10" s="460"/>
      <c r="F10" s="461"/>
      <c r="G10" s="472">
        <f>SUM(G8:G9)</f>
        <v>8</v>
      </c>
      <c r="H10" s="460"/>
      <c r="I10" s="458"/>
    </row>
    <row r="11" ht="19.5" customHeight="1">
      <c r="A11" s="441" t="s">
        <v>409</v>
      </c>
    </row>
    <row r="12" ht="19.5" customHeight="1">
      <c r="A12" s="441" t="s">
        <v>417</v>
      </c>
    </row>
    <row r="13" spans="1:11" ht="19.5" customHeight="1">
      <c r="A13" s="463" t="s">
        <v>410</v>
      </c>
      <c r="B13" s="463"/>
      <c r="C13" s="464"/>
      <c r="D13" s="464"/>
      <c r="E13" s="464"/>
      <c r="F13" s="465"/>
      <c r="G13" s="465"/>
      <c r="H13" s="465"/>
      <c r="I13" s="465"/>
      <c r="J13" s="465"/>
      <c r="K13" s="465"/>
    </row>
  </sheetData>
  <sheetProtection/>
  <printOptions/>
  <pageMargins left="0.7874015748031497" right="0.7874015748031497" top="0.984251968503937" bottom="0.7874015748031497" header="0.5118110236220472" footer="0.5118110236220472"/>
  <pageSetup blackAndWhite="1" horizontalDpi="600" verticalDpi="600" orientation="portrait" paperSize="9" r:id="rId1"/>
  <headerFooter alignWithMargins="0">
    <oddFooter>&amp;C&amp;"바탕체,보통"&amp;10-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showGridLines="0" showZeros="0" view="pageBreakPreview" zoomScale="95" zoomScaleSheetLayoutView="95" zoomScalePageLayoutView="0" workbookViewId="0" topLeftCell="A10">
      <selection activeCell="I11" sqref="I11"/>
    </sheetView>
  </sheetViews>
  <sheetFormatPr defaultColWidth="9.140625" defaultRowHeight="12"/>
  <cols>
    <col min="1" max="1" width="1.7109375" style="10" customWidth="1"/>
    <col min="2" max="2" width="13.7109375" style="10" customWidth="1"/>
    <col min="3" max="3" width="1.7109375" style="10" customWidth="1"/>
    <col min="4" max="4" width="10.7109375" style="152" customWidth="1"/>
    <col min="5" max="5" width="1.7109375" style="152" customWidth="1"/>
    <col min="6" max="6" width="15.7109375" style="152" customWidth="1"/>
    <col min="7" max="7" width="1.7109375" style="152" customWidth="1"/>
    <col min="8" max="8" width="11.7109375" style="32" customWidth="1"/>
    <col min="9" max="9" width="10.7109375" style="32" customWidth="1"/>
    <col min="10" max="10" width="13.7109375" style="32" customWidth="1"/>
    <col min="11" max="11" width="12.00390625" style="32" customWidth="1"/>
    <col min="12" max="12" width="9.140625" style="32" customWidth="1"/>
    <col min="13" max="16384" width="9.140625" style="152" customWidth="1"/>
  </cols>
  <sheetData>
    <row r="1" spans="1:4" ht="19.5" customHeight="1">
      <c r="A1" s="220" t="s">
        <v>422</v>
      </c>
      <c r="B1" s="220"/>
      <c r="C1" s="220"/>
      <c r="D1" s="219"/>
    </row>
    <row r="2" spans="1:12" s="168" customFormat="1" ht="39.75" customHeight="1">
      <c r="A2" s="166" t="s">
        <v>68</v>
      </c>
      <c r="B2" s="166"/>
      <c r="C2" s="166"/>
      <c r="D2" s="221"/>
      <c r="E2" s="221"/>
      <c r="F2" s="221"/>
      <c r="G2" s="221"/>
      <c r="H2" s="153"/>
      <c r="I2" s="153"/>
      <c r="J2" s="153"/>
      <c r="K2" s="153"/>
      <c r="L2" s="253"/>
    </row>
    <row r="3" spans="1:12" s="168" customFormat="1" ht="19.5" customHeight="1">
      <c r="A3" s="166"/>
      <c r="B3" s="166"/>
      <c r="C3" s="166"/>
      <c r="D3" s="221"/>
      <c r="E3" s="221"/>
      <c r="F3" s="221"/>
      <c r="G3" s="221"/>
      <c r="H3" s="153"/>
      <c r="I3" s="153"/>
      <c r="J3" s="153"/>
      <c r="K3" s="153"/>
      <c r="L3" s="253"/>
    </row>
    <row r="4" spans="1:11" ht="19.5" customHeight="1">
      <c r="A4" s="170"/>
      <c r="B4" s="170"/>
      <c r="C4" s="170"/>
      <c r="D4" s="169"/>
      <c r="E4" s="169"/>
      <c r="F4" s="169"/>
      <c r="G4" s="169"/>
      <c r="K4" s="223" t="s">
        <v>48</v>
      </c>
    </row>
    <row r="5" spans="1:12" s="190" customFormat="1" ht="19.5" customHeight="1">
      <c r="A5" s="5"/>
      <c r="B5" s="648" t="s">
        <v>69</v>
      </c>
      <c r="C5" s="4"/>
      <c r="D5" s="650" t="s">
        <v>70</v>
      </c>
      <c r="E5" s="5"/>
      <c r="F5" s="652" t="s">
        <v>50</v>
      </c>
      <c r="G5" s="4"/>
      <c r="H5" s="638" t="s">
        <v>319</v>
      </c>
      <c r="I5" s="638" t="s">
        <v>320</v>
      </c>
      <c r="J5" s="638" t="s">
        <v>220</v>
      </c>
      <c r="K5" s="638" t="s">
        <v>269</v>
      </c>
      <c r="L5" s="158"/>
    </row>
    <row r="6" spans="1:12" s="190" customFormat="1" ht="30" customHeight="1">
      <c r="A6" s="176"/>
      <c r="B6" s="649"/>
      <c r="C6" s="164"/>
      <c r="D6" s="651"/>
      <c r="E6" s="176"/>
      <c r="F6" s="653"/>
      <c r="G6" s="164"/>
      <c r="H6" s="641"/>
      <c r="I6" s="639"/>
      <c r="J6" s="641"/>
      <c r="K6" s="641"/>
      <c r="L6" s="158"/>
    </row>
    <row r="7" spans="1:12" s="190" customFormat="1" ht="9.75" customHeight="1">
      <c r="A7" s="5"/>
      <c r="B7" s="11"/>
      <c r="C7" s="11"/>
      <c r="D7" s="5"/>
      <c r="E7" s="5"/>
      <c r="F7" s="7"/>
      <c r="G7" s="4"/>
      <c r="H7" s="27"/>
      <c r="I7" s="27"/>
      <c r="J7" s="27"/>
      <c r="K7" s="27"/>
      <c r="L7" s="158"/>
    </row>
    <row r="8" spans="1:12" s="188" customFormat="1" ht="24.75" customHeight="1">
      <c r="A8" s="176"/>
      <c r="B8" s="10"/>
      <c r="C8" s="10"/>
      <c r="D8" s="176"/>
      <c r="E8" s="250"/>
      <c r="F8" s="190"/>
      <c r="G8" s="251"/>
      <c r="H8" s="8" t="s">
        <v>71</v>
      </c>
      <c r="I8" s="8" t="s">
        <v>22</v>
      </c>
      <c r="J8" s="8"/>
      <c r="K8" s="252"/>
      <c r="L8" s="159"/>
    </row>
    <row r="9" spans="1:11" ht="30" customHeight="1">
      <c r="A9" s="242"/>
      <c r="B9" s="41" t="s">
        <v>316</v>
      </c>
      <c r="C9" s="156"/>
      <c r="D9" s="439" t="s">
        <v>525</v>
      </c>
      <c r="E9" s="176"/>
      <c r="F9" s="508" t="s">
        <v>524</v>
      </c>
      <c r="G9" s="164"/>
      <c r="H9" s="160">
        <v>63925</v>
      </c>
      <c r="I9" s="436">
        <v>21</v>
      </c>
      <c r="J9" s="440">
        <f>TRUNC(H9*I9,0)</f>
        <v>1342425</v>
      </c>
      <c r="K9" s="34"/>
    </row>
    <row r="10" spans="1:11" ht="30" customHeight="1">
      <c r="A10" s="242"/>
      <c r="B10" s="41" t="s">
        <v>318</v>
      </c>
      <c r="C10" s="156"/>
      <c r="D10" s="34" t="s">
        <v>271</v>
      </c>
      <c r="E10" s="176"/>
      <c r="F10" s="191" t="s">
        <v>272</v>
      </c>
      <c r="G10" s="164"/>
      <c r="H10" s="160">
        <v>46789</v>
      </c>
      <c r="I10" s="436">
        <f>I9</f>
        <v>21</v>
      </c>
      <c r="J10" s="440">
        <f>TRUNC(H10*I10,0)</f>
        <v>982569</v>
      </c>
      <c r="K10" s="34"/>
    </row>
    <row r="11" spans="1:11" ht="30" customHeight="1">
      <c r="A11" s="242"/>
      <c r="B11" s="437" t="s">
        <v>411</v>
      </c>
      <c r="C11" s="438"/>
      <c r="D11" s="34" t="s">
        <v>271</v>
      </c>
      <c r="E11" s="176"/>
      <c r="F11" s="191" t="s">
        <v>272</v>
      </c>
      <c r="G11" s="164"/>
      <c r="H11" s="160">
        <v>46789</v>
      </c>
      <c r="I11" s="436">
        <f>I9</f>
        <v>21</v>
      </c>
      <c r="J11" s="440">
        <f>TRUNC(H11*I11,0)</f>
        <v>982569</v>
      </c>
      <c r="K11" s="469"/>
    </row>
    <row r="12" spans="1:11" ht="9.75" customHeight="1">
      <c r="A12" s="243"/>
      <c r="B12" s="249"/>
      <c r="C12" s="157"/>
      <c r="D12" s="35"/>
      <c r="E12" s="3"/>
      <c r="F12" s="192"/>
      <c r="G12" s="2"/>
      <c r="H12" s="161"/>
      <c r="I12" s="475"/>
      <c r="J12" s="161"/>
      <c r="K12" s="194"/>
    </row>
    <row r="13" ht="19.5" customHeight="1">
      <c r="A13" s="170" t="s">
        <v>538</v>
      </c>
    </row>
    <row r="14" ht="19.5" customHeight="1">
      <c r="A14" s="170" t="s">
        <v>416</v>
      </c>
    </row>
  </sheetData>
  <sheetProtection/>
  <mergeCells count="7">
    <mergeCell ref="J5:J6"/>
    <mergeCell ref="K5:K6"/>
    <mergeCell ref="B5:B6"/>
    <mergeCell ref="D5:D6"/>
    <mergeCell ref="F5:F6"/>
    <mergeCell ref="H5:H6"/>
    <mergeCell ref="I5:I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연구소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진한식</dc:creator>
  <cp:keywords/>
  <dc:description/>
  <cp:lastModifiedBy>xxx</cp:lastModifiedBy>
  <cp:lastPrinted>2009-12-02T05:44:03Z</cp:lastPrinted>
  <dcterms:created xsi:type="dcterms:W3CDTF">2008-01-03T00:35:12Z</dcterms:created>
  <dcterms:modified xsi:type="dcterms:W3CDTF">2010-10-07T05:12:17Z</dcterms:modified>
  <cp:category/>
  <cp:version/>
  <cp:contentType/>
  <cp:contentStatus/>
</cp:coreProperties>
</file>