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908" activeTab="0"/>
  </bookViews>
  <sheets>
    <sheet name="집계" sheetId="1" r:id="rId1"/>
    <sheet name="원가집계" sheetId="2" r:id="rId2"/>
    <sheet name="원가" sheetId="3" r:id="rId3"/>
    <sheet name="인집" sheetId="4" r:id="rId4"/>
    <sheet name="단위당인건비" sheetId="5" r:id="rId5"/>
    <sheet name="연장근로" sheetId="6" r:id="rId6"/>
    <sheet name="휴일근로" sheetId="7" r:id="rId7"/>
    <sheet name="월기본급" sheetId="8" r:id="rId8"/>
    <sheet name="산정기준" sheetId="9" r:id="rId9"/>
    <sheet name="투입인원" sheetId="10" r:id="rId10"/>
    <sheet name="경비집계표" sheetId="11" r:id="rId11"/>
    <sheet name="보험료" sheetId="12" r:id="rId12"/>
    <sheet name="보험료산출기준" sheetId="13" r:id="rId13"/>
    <sheet name="산재비율" sheetId="14" r:id="rId14"/>
    <sheet name="복리후생비" sheetId="15" r:id="rId15"/>
    <sheet name="식대" sheetId="16" r:id="rId16"/>
    <sheet name="지방소득세(종업원분)" sheetId="17" r:id="rId17"/>
    <sheet name="교육비" sheetId="18" r:id="rId18"/>
    <sheet name="일반" sheetId="19" r:id="rId19"/>
    <sheet name="일반비율" sheetId="20" r:id="rId20"/>
    <sheet name="이윤" sheetId="21" r:id="rId21"/>
    <sheet name="이윤율" sheetId="22" r:id="rId22"/>
    <sheet name="기업" sheetId="23" r:id="rId23"/>
  </sheets>
  <definedNames>
    <definedName name="_xlnm.Print_Area" localSheetId="10">'경비집계표'!$A$1:$I$66</definedName>
    <definedName name="_xlnm.Print_Area" localSheetId="22">'기업'!$A$1:$H$54</definedName>
    <definedName name="_xlnm.Print_Area" localSheetId="4">'단위당인건비'!$A$1:$J$212</definedName>
    <definedName name="_xlnm.Print_Area" localSheetId="11">'보험료'!$A$1:$J$186</definedName>
    <definedName name="_xlnm.Print_Area" localSheetId="12">'보험료산출기준'!$A$1:$H$12</definedName>
    <definedName name="_xlnm.Print_Area" localSheetId="14">'복리후생비'!$A$1:$L$17</definedName>
    <definedName name="_xlnm.Print_Area" localSheetId="8">'산정기준'!$A$1:$G$12</definedName>
    <definedName name="_xlnm.Print_Area" localSheetId="15">'식대'!$A$1:$K$19</definedName>
    <definedName name="_xlnm.Print_Area" localSheetId="5">'연장근로'!$A$1:$I$14</definedName>
    <definedName name="_xlnm.Print_Area" localSheetId="2">'원가'!$A$1:$L$297</definedName>
    <definedName name="_xlnm.Print_Area" localSheetId="1">'원가집계'!$A$1:$L$33</definedName>
    <definedName name="_xlnm.Print_Area" localSheetId="7">'월기본급'!$A$1:$K$20</definedName>
    <definedName name="_xlnm.Print_Area" localSheetId="21">'이윤율'!$A$1:$F$13</definedName>
    <definedName name="_xlnm.Print_Area" localSheetId="3">'인집'!$A$1:$K$18</definedName>
    <definedName name="_xlnm.Print_Area" localSheetId="19">'일반비율'!$A$1:$I$23</definedName>
    <definedName name="_xlnm.Print_Area" localSheetId="0">'집계'!$A$1:$N$19</definedName>
    <definedName name="_xlnm.Print_Area" localSheetId="9">'투입인원'!$A$1:$K$22</definedName>
    <definedName name="_xlnm.Print_Area" localSheetId="6">'휴일근로'!$A$1:$I$13</definedName>
    <definedName name="_xlnm.Print_Titles" localSheetId="4">'단위당인건비'!$2:$3</definedName>
    <definedName name="_xlnm.Print_Titles" localSheetId="11">'보험료'!$2:$3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<sst xmlns="http://schemas.openxmlformats.org/spreadsheetml/2006/main" count="1516" uniqueCount="574">
  <si>
    <t>(보헙료의 납부의무) 직장가입자의 보험료는 사용자가 납부한다.
 국민건강보험재정건전화특별법시행령 제3조에 의한 보험요율 : 표준보수월액의 5.08%
 (상용자부담 50%,근로자부담 50%)</t>
  </si>
  <si>
    <t>연장근로수당</t>
  </si>
  <si>
    <t>국민연금법 제88조</t>
  </si>
  <si>
    <t>주 2)</t>
  </si>
  <si>
    <t>소    계</t>
  </si>
  <si>
    <t>보
험
료</t>
  </si>
  <si>
    <t>년차수당</t>
  </si>
  <si>
    <t>소          계</t>
  </si>
  <si>
    <t>단위(1인)당
용역비</t>
  </si>
  <si>
    <t>월간용역비</t>
  </si>
  <si>
    <t>적용
개월수</t>
  </si>
  <si>
    <t>년간용역비</t>
  </si>
  <si>
    <t>주 1)</t>
  </si>
  <si>
    <t>주 2)</t>
  </si>
  <si>
    <t>주 3)</t>
  </si>
  <si>
    <t>주 4)</t>
  </si>
  <si>
    <t>주 5)</t>
  </si>
  <si>
    <t>계</t>
  </si>
  <si>
    <t>단위 : 원/월</t>
  </si>
  <si>
    <t xml:space="preserve"> 구      분</t>
  </si>
  <si>
    <t>금      액</t>
  </si>
  <si>
    <t>구성비(%)</t>
  </si>
  <si>
    <t>비        고</t>
  </si>
  <si>
    <t xml:space="preserve"> 비      목</t>
  </si>
  <si>
    <t>기    본    급</t>
  </si>
  <si>
    <t>년차수당</t>
  </si>
  <si>
    <t>소          계</t>
  </si>
  <si>
    <t>상       여       금</t>
  </si>
  <si>
    <t>퇴 직 급 여 충 당 금</t>
  </si>
  <si>
    <t>계</t>
  </si>
  <si>
    <t>산재보험료</t>
  </si>
  <si>
    <t>국민연금</t>
  </si>
  <si>
    <t>고용보험료</t>
  </si>
  <si>
    <t>국민건강보험료</t>
  </si>
  <si>
    <t>임금채권보장보험료</t>
  </si>
  <si>
    <t>식대</t>
  </si>
  <si>
    <t>단위 : 원/월</t>
  </si>
  <si>
    <t>금   액</t>
  </si>
  <si>
    <t>단위당인건비집계표</t>
  </si>
  <si>
    <t>단위 : 원/월</t>
  </si>
  <si>
    <t>구      분</t>
  </si>
  <si>
    <t>적용직종명</t>
  </si>
  <si>
    <t>기본급</t>
  </si>
  <si>
    <t>제수당</t>
  </si>
  <si>
    <t>상여금</t>
  </si>
  <si>
    <t>퇴직급여
충당금</t>
  </si>
  <si>
    <t>단위(1인)당인건비산출표</t>
  </si>
  <si>
    <t>월근로시간</t>
  </si>
  <si>
    <t>구          분</t>
  </si>
  <si>
    <t>금     액</t>
  </si>
  <si>
    <t>비   고</t>
  </si>
  <si>
    <t>기       본       급</t>
  </si>
  <si>
    <t>주 1)</t>
  </si>
  <si>
    <t>년차수당</t>
  </si>
  <si>
    <t>소계</t>
  </si>
  <si>
    <t>상       여       금</t>
  </si>
  <si>
    <t>퇴 직 급 여 충 당 금</t>
  </si>
  <si>
    <t>근로기준법 제34조</t>
  </si>
  <si>
    <t>계</t>
  </si>
  <si>
    <t>M/M당기본급산출표</t>
  </si>
  <si>
    <t>구       분</t>
  </si>
  <si>
    <t>직종번호</t>
  </si>
  <si>
    <t>주 1)</t>
  </si>
  <si>
    <t>적용직종 및 소요인원산정표</t>
  </si>
  <si>
    <t>구  분</t>
  </si>
  <si>
    <t>주     요     업     무</t>
  </si>
  <si>
    <t>경비집계표</t>
  </si>
  <si>
    <t>비          목</t>
  </si>
  <si>
    <t>보  험  료</t>
  </si>
  <si>
    <t>주 1)</t>
  </si>
  <si>
    <t>복리후생비</t>
  </si>
  <si>
    <t>식대</t>
  </si>
  <si>
    <t>주 2)</t>
  </si>
  <si>
    <t>비           목</t>
  </si>
  <si>
    <t>적 용 대 상 액  주1)</t>
  </si>
  <si>
    <t>금  액</t>
  </si>
  <si>
    <t>비 고</t>
  </si>
  <si>
    <t>기본급</t>
  </si>
  <si>
    <t>제수당</t>
  </si>
  <si>
    <t>상여금</t>
  </si>
  <si>
    <t>국민연금</t>
  </si>
  <si>
    <t>고용보험료</t>
  </si>
  <si>
    <t>국민건강보험료</t>
  </si>
  <si>
    <t>임금채권보장보험료</t>
  </si>
  <si>
    <t>1. 광  업</t>
  </si>
  <si>
    <t xml:space="preserve">   석탄광업</t>
  </si>
  <si>
    <t xml:space="preserve">   금속 및 비금속광업</t>
  </si>
  <si>
    <t xml:space="preserve">   선박건조 및 수리업</t>
  </si>
  <si>
    <t xml:space="preserve">   채석업</t>
  </si>
  <si>
    <t xml:space="preserve">   수송용기계기구 제조업(갑)</t>
  </si>
  <si>
    <t xml:space="preserve">   석회석광업</t>
  </si>
  <si>
    <t xml:space="preserve">   수송용기계기구 제조업(을)</t>
  </si>
  <si>
    <t xml:space="preserve">   제염업</t>
  </si>
  <si>
    <t xml:space="preserve">   기타광업</t>
  </si>
  <si>
    <t xml:space="preserve">   수제품 제조업</t>
  </si>
  <si>
    <t xml:space="preserve">   기타제조업</t>
  </si>
  <si>
    <t>2. 제조업</t>
  </si>
  <si>
    <t xml:space="preserve">   식료품제조업</t>
  </si>
  <si>
    <t>4. 건설업</t>
  </si>
  <si>
    <t xml:space="preserve">   담배제조업</t>
  </si>
  <si>
    <t>5. 운수창고 및 통신업</t>
  </si>
  <si>
    <t xml:space="preserve">   섬유 또는 섬유제품제조업(갑)</t>
  </si>
  <si>
    <t xml:space="preserve">   철도궤도 및 삭도운수업</t>
  </si>
  <si>
    <t xml:space="preserve">   섬유 또는 섬유제품제조업(을)</t>
  </si>
  <si>
    <t xml:space="preserve">   자동차여객운수업</t>
  </si>
  <si>
    <t xml:space="preserve">   제재 및 베니어판 제조업</t>
  </si>
  <si>
    <t xml:space="preserve">   화물자동차운수업</t>
  </si>
  <si>
    <t xml:space="preserve">   목재품 제조업</t>
  </si>
  <si>
    <t xml:space="preserve">   수상운수업, 항만하역 및 화물취급사업</t>
  </si>
  <si>
    <t xml:space="preserve">   항공운수업</t>
  </si>
  <si>
    <t xml:space="preserve">   운수관련 서비스업</t>
  </si>
  <si>
    <t xml:space="preserve">   인쇄업</t>
  </si>
  <si>
    <t xml:space="preserve">   창고업</t>
  </si>
  <si>
    <t xml:space="preserve">   화학제품 제조업</t>
  </si>
  <si>
    <t xml:space="preserve">   통신업</t>
  </si>
  <si>
    <t xml:space="preserve">   의약품 및 화장품 향료 제조업</t>
  </si>
  <si>
    <t>6. 임  업</t>
  </si>
  <si>
    <t xml:space="preserve">   코크스 및 석탄가스 제조업</t>
  </si>
  <si>
    <t xml:space="preserve">   고무제품 제조업</t>
  </si>
  <si>
    <t xml:space="preserve">   도자기제품 제조업</t>
  </si>
  <si>
    <t>7. 어  업</t>
  </si>
  <si>
    <t xml:space="preserve">   유리 제조업</t>
  </si>
  <si>
    <t>8. 농  업</t>
  </si>
  <si>
    <t xml:space="preserve">   요업 또는 토석제품 제조업</t>
  </si>
  <si>
    <t>9. 기타의사업</t>
  </si>
  <si>
    <t xml:space="preserve">   시멘트 제조업</t>
  </si>
  <si>
    <t xml:space="preserve">   농수산물위탁판매업</t>
  </si>
  <si>
    <t xml:space="preserve">   건물등의 종합관리사업</t>
  </si>
  <si>
    <t xml:space="preserve">   금속제련업</t>
  </si>
  <si>
    <t xml:space="preserve">   위생 및 유사서비스업</t>
  </si>
  <si>
    <t xml:space="preserve">   금속재료품 제조업</t>
  </si>
  <si>
    <t xml:space="preserve">   도금업</t>
  </si>
  <si>
    <t xml:space="preserve">   골프장 및 경마장운영업</t>
  </si>
  <si>
    <t xml:space="preserve">   기계기구 제조업</t>
  </si>
  <si>
    <t xml:space="preserve">   기타의 각종사업</t>
  </si>
  <si>
    <t xml:space="preserve">   전기기계기구 제조업</t>
  </si>
  <si>
    <t>10. 금융보험업</t>
  </si>
  <si>
    <t>복리후생비집계표</t>
  </si>
  <si>
    <t>수 량</t>
  </si>
  <si>
    <t>단  가</t>
  </si>
  <si>
    <t>비        고</t>
  </si>
  <si>
    <t>일반관리비산출표</t>
  </si>
  <si>
    <t>구  분</t>
  </si>
  <si>
    <t>적용직종명</t>
  </si>
  <si>
    <t>적   용   대   상   액</t>
  </si>
  <si>
    <t>금  액</t>
  </si>
  <si>
    <t>인건비</t>
  </si>
  <si>
    <t>경  비</t>
  </si>
  <si>
    <t>-</t>
  </si>
  <si>
    <t>이윤비율표</t>
  </si>
  <si>
    <t>구          분</t>
  </si>
  <si>
    <t>회계예규
기준비율(%)</t>
  </si>
  <si>
    <t>조사적용
비율(%)</t>
  </si>
  <si>
    <t>비       고</t>
  </si>
  <si>
    <t>시설공사</t>
  </si>
  <si>
    <t>제조,구매</t>
  </si>
  <si>
    <t>용역</t>
  </si>
  <si>
    <t>수입물품의구입</t>
  </si>
  <si>
    <t xml:space="preserve">    </t>
  </si>
  <si>
    <t>CODE NO.</t>
  </si>
  <si>
    <t>금     액</t>
  </si>
  <si>
    <t>"</t>
  </si>
  <si>
    <t>매출원가</t>
  </si>
  <si>
    <t>판매비와일반관리비</t>
  </si>
  <si>
    <t>이윤산출표</t>
  </si>
  <si>
    <t>구  분</t>
  </si>
  <si>
    <t>적용직종</t>
  </si>
  <si>
    <t>적   용   대   상   액</t>
  </si>
  <si>
    <t>금  액</t>
  </si>
  <si>
    <t>인건비</t>
  </si>
  <si>
    <t>경  비</t>
  </si>
  <si>
    <t>일반관리비</t>
  </si>
  <si>
    <t>계</t>
  </si>
  <si>
    <t>주 1)</t>
  </si>
  <si>
    <t>주 2)</t>
  </si>
  <si>
    <t>주 3)</t>
  </si>
  <si>
    <t>주 4)</t>
  </si>
  <si>
    <t>일반관리비율산출표</t>
  </si>
  <si>
    <t>1. 회계예규기준과 기업경영분석자료 비교</t>
  </si>
  <si>
    <t>비                  목</t>
  </si>
  <si>
    <t>회계예규기준</t>
  </si>
  <si>
    <t>비    고</t>
  </si>
  <si>
    <t>1)</t>
  </si>
  <si>
    <t xml:space="preserve"> 주 1)</t>
  </si>
  <si>
    <t>2)</t>
  </si>
  <si>
    <t>동기간의 일반관리비</t>
  </si>
  <si>
    <t>불인금액</t>
  </si>
  <si>
    <t>① 접대비</t>
  </si>
  <si>
    <t>② 광고선전비</t>
  </si>
  <si>
    <t>③ 운반비</t>
  </si>
  <si>
    <t>④ 대손상각비</t>
  </si>
  <si>
    <t>⑤ 무형자산상각비</t>
  </si>
  <si>
    <t>⑥ 기타판매비와관리비</t>
  </si>
  <si>
    <t>3)</t>
  </si>
  <si>
    <t>일반관리비율(%)</t>
  </si>
  <si>
    <t xml:space="preserve"> 주 2)</t>
  </si>
  <si>
    <t>기업경영분석
자료(백만원)</t>
  </si>
  <si>
    <t>비    목</t>
  </si>
  <si>
    <t xml:space="preserve">   2) 단가 : 시중유통거래가격 참조</t>
  </si>
  <si>
    <t>산업재해보상보험요율</t>
  </si>
  <si>
    <t>사   업   종   류</t>
  </si>
  <si>
    <t xml:space="preserve">   계량기.광학기계.기타 정밀기구 제조업</t>
  </si>
  <si>
    <t>3. 전기·가스 및 상수도업</t>
  </si>
  <si>
    <t xml:space="preserve">   어업</t>
  </si>
  <si>
    <t xml:space="preserve">   양식어업 및 어업관련서비스업</t>
  </si>
  <si>
    <t xml:space="preserve">   보건 및 사회복지사업</t>
  </si>
  <si>
    <t xml:space="preserve">   교육서비스업</t>
  </si>
  <si>
    <t xml:space="preserve">   전자제품 제조업</t>
  </si>
  <si>
    <t>계</t>
  </si>
  <si>
    <t>적용직종</t>
  </si>
  <si>
    <t>M/M당
기본급</t>
  </si>
  <si>
    <t>관  련  법  규</t>
  </si>
  <si>
    <t>순용역원가</t>
  </si>
  <si>
    <t>소요
인원</t>
  </si>
  <si>
    <t>단위 : 원</t>
  </si>
  <si>
    <t xml:space="preserve">   3) 월간용역비 : 소요인원 × 단위(1인)당용역비</t>
  </si>
  <si>
    <t>비       목</t>
  </si>
  <si>
    <t>관  련  법  규</t>
  </si>
  <si>
    <t>산     정     기     준</t>
  </si>
  <si>
    <t>적  용  방  법</t>
  </si>
  <si>
    <t>기     본     급</t>
  </si>
  <si>
    <t>월통상근로일수 기준</t>
  </si>
  <si>
    <t>상       여       금</t>
  </si>
  <si>
    <t>퇴 직 급 여 충 당 금</t>
  </si>
  <si>
    <t>(기본급+제수당+상여금)÷12개월</t>
  </si>
  <si>
    <t>인건비산정기준 및 관련법규</t>
  </si>
  <si>
    <t>고용보험료</t>
  </si>
  <si>
    <t>비       목</t>
  </si>
  <si>
    <t>관  련  법  규</t>
  </si>
  <si>
    <t>산         정         기         준</t>
  </si>
  <si>
    <t>적  용  방  법</t>
  </si>
  <si>
    <t>비 고</t>
  </si>
  <si>
    <t>보
험
료</t>
  </si>
  <si>
    <t>산재보험료</t>
  </si>
  <si>
    <t>고용보험및산업재해보상보험의
 보험료징수등에관한법률 제14조</t>
  </si>
  <si>
    <t>(기본급+제수당+상여금)×4.5%</t>
  </si>
  <si>
    <t>보험료산정기준표</t>
  </si>
  <si>
    <t>미화반장</t>
  </si>
  <si>
    <t>사용자는 1년간 8할 이상 출근한 근로자에게 15일의 유급휴가를 주어야 한다.</t>
  </si>
  <si>
    <t>퇴직금제도를 설정하고자 하는 사용자는 계속근로기간 1년에 대하여 30일분
 이상의 평균임금을 퇴직금으로 퇴직하는 근로자에게 지급할 수 있는 제도를
 설정하여야 한다.</t>
  </si>
  <si>
    <t>근로기준법 제60조</t>
  </si>
  <si>
    <t>근로기준법 제56조</t>
  </si>
  <si>
    <t>근로기준법 제60조</t>
  </si>
  <si>
    <t>근로기준법 제34조
 근로자퇴직급여 보장법 제8조</t>
  </si>
  <si>
    <t>국민건강보험법 제65조</t>
  </si>
  <si>
    <t>인
건
비</t>
  </si>
  <si>
    <t>인
건
비</t>
  </si>
  <si>
    <t>연장근로에 대하여 통상임금의 100분의 50이상을 가산하여 지급하여야 한다.</t>
  </si>
  <si>
    <t>기본급÷월근로시간×일근로시간×15일/년
 ÷12개월</t>
  </si>
  <si>
    <t>비율
(%)</t>
  </si>
  <si>
    <t>구  분</t>
  </si>
  <si>
    <t>주 1)</t>
  </si>
  <si>
    <t>휴일근로수당</t>
  </si>
  <si>
    <t>비  고</t>
  </si>
  <si>
    <t>보험료산출표</t>
  </si>
  <si>
    <t>보통인부</t>
  </si>
  <si>
    <t>경
비</t>
  </si>
  <si>
    <t>제
수
당</t>
  </si>
  <si>
    <t>휴일근로수당</t>
  </si>
  <si>
    <t>주 3)</t>
  </si>
  <si>
    <t xml:space="preserve"> 구      분</t>
  </si>
  <si>
    <t xml:space="preserve"> 비      목</t>
  </si>
  <si>
    <t>기    본    급</t>
  </si>
  <si>
    <t>상       여       금</t>
  </si>
  <si>
    <t>계</t>
  </si>
  <si>
    <t>국민연금</t>
  </si>
  <si>
    <t>고용보험료</t>
  </si>
  <si>
    <t>국민건강보험료</t>
  </si>
  <si>
    <t>임금채권보장보험료</t>
  </si>
  <si>
    <t>식대</t>
  </si>
  <si>
    <t>노인장기요양보험법 제9조</t>
  </si>
  <si>
    <t>「국민건강보험법」 제62조제4항 및 제5항에 따라 산정한 보험료액에서 같은 법 제66조
 또는 제66조의2에 따라 경감 또는 면제되는 비용을 공제한 금액에 장기요양보험료율을
 곱하여 산정한 금액으로 한다.
 * 노인장기요양보험요율 : 국민건강보험료 × 4.78%</t>
  </si>
  <si>
    <t>임금채권보장법 제9조</t>
  </si>
  <si>
    <t>임금채권보장법 제9조 및 동법 시행령 제13조의 규정에 의하여 임금채권보장기금
 사업주부담금비율은 0.4/1000(전업종공통)</t>
  </si>
  <si>
    <t>보험요율</t>
  </si>
  <si>
    <t xml:space="preserve">   자동차 및 모터사이클 수리업</t>
  </si>
  <si>
    <t xml:space="preserve">   펄프.지류제조업 및 제본 또는
   인쇄물 가공업</t>
  </si>
  <si>
    <t xml:space="preserve">   신문.화폐발행, 출판업 및 경인쇄업</t>
  </si>
  <si>
    <t xml:space="preserve">   연탄 및 응집고제 연료생산업</t>
  </si>
  <si>
    <t xml:space="preserve">   비금속광물제품 및 금속제품
   제조업 또는 금속가공업</t>
  </si>
  <si>
    <t xml:space="preserve">   전문기술서비스업</t>
  </si>
  <si>
    <t>※ 해외파견자 : 18/1000</t>
  </si>
  <si>
    <t>(기본급+제수당+상여금)×2.1%</t>
  </si>
  <si>
    <t xml:space="preserve">   3) 노인장기요양보험료 : 국민건강보험료 × 4.78%</t>
  </si>
  <si>
    <t>휴일근로에 대하여 통상임금의 100분의 50이상을 가산하여 지급하여야 한다.</t>
  </si>
  <si>
    <t>상여금은 기준단가의 년 400%를 초과하여 계상할 수 없다.</t>
  </si>
  <si>
    <t>기본급×400%</t>
  </si>
  <si>
    <t>휴일근로수당</t>
  </si>
  <si>
    <t>회계예규에 의거
기본급의 년 400%적용</t>
  </si>
  <si>
    <t xml:space="preserve">   2) 일반관리비율 = (동기간의 일반관리비 ÷ 매출원가) × 100</t>
  </si>
  <si>
    <t>2. 일반관리비 적용비율</t>
  </si>
  <si>
    <t>경
비</t>
  </si>
  <si>
    <t>기계반장</t>
  </si>
  <si>
    <t>기계기사</t>
  </si>
  <si>
    <t>전기반장</t>
  </si>
  <si>
    <t>미화원</t>
  </si>
  <si>
    <t>M/D당
임율</t>
  </si>
  <si>
    <t>월근무
일수</t>
  </si>
  <si>
    <t>경비반장</t>
  </si>
  <si>
    <t>경비원</t>
  </si>
  <si>
    <t>자격기준</t>
  </si>
  <si>
    <t>보통인부</t>
  </si>
  <si>
    <t>소요
인원</t>
  </si>
  <si>
    <t>＊경비원 교육, 시설물 보호</t>
  </si>
  <si>
    <t>유경험자</t>
  </si>
  <si>
    <t>경력 3년 이상자</t>
  </si>
  <si>
    <t>유경험자</t>
  </si>
  <si>
    <t>노인장기요양보험료</t>
  </si>
  <si>
    <t>적용직종명</t>
  </si>
  <si>
    <t>금  액</t>
  </si>
  <si>
    <t>주 1)</t>
  </si>
  <si>
    <t>주 3)</t>
  </si>
  <si>
    <t>적용대상액
(급여액)</t>
  </si>
  <si>
    <t>비    고</t>
  </si>
  <si>
    <t>주 2)</t>
  </si>
  <si>
    <t>비  고</t>
  </si>
  <si>
    <t>구      분</t>
  </si>
  <si>
    <t>적용직종명</t>
  </si>
  <si>
    <t>식대</t>
  </si>
  <si>
    <t>구분</t>
  </si>
  <si>
    <t>적용직종명</t>
  </si>
  <si>
    <t>담당업무</t>
  </si>
  <si>
    <t>노인장기요양보험료</t>
  </si>
  <si>
    <t>제
수
당</t>
  </si>
  <si>
    <t>주) 소요인원 : 제시된 시설종합관리 인원편성표 참조</t>
  </si>
  <si>
    <t>직책수당</t>
  </si>
  <si>
    <t>제
수
당</t>
  </si>
  <si>
    <t>기
타</t>
  </si>
  <si>
    <t>교육비</t>
  </si>
  <si>
    <t>교육비산출표</t>
  </si>
  <si>
    <t>적용
개월수</t>
  </si>
  <si>
    <t>년간비용</t>
  </si>
  <si>
    <t>월간비용</t>
  </si>
  <si>
    <t>기본급÷월근로시간×휴일근로시간×휴일할증</t>
  </si>
  <si>
    <t>주 6)</t>
  </si>
  <si>
    <t>주 7)</t>
  </si>
  <si>
    <t xml:space="preserve">   5) 직책수당 : 적용직종별 등급을 감안</t>
  </si>
  <si>
    <t xml:space="preserve">   3) 금액 : 천원미만 절사</t>
  </si>
  <si>
    <t>비    고</t>
  </si>
  <si>
    <t>구           분</t>
  </si>
  <si>
    <t>계</t>
  </si>
  <si>
    <t>순용역원가 + 일반관리비 + 이윤</t>
  </si>
  <si>
    <t>순용역원가 + 일반관리비 + 이윤</t>
  </si>
  <si>
    <t>순용역원가 + 일반관리비 + 이윤</t>
  </si>
  <si>
    <t xml:space="preserve">                    월근로시간 = {(40시간(월~금)+8시간(일요일))÷7일}×(365일/12개월) = 209시간</t>
  </si>
  <si>
    <t xml:space="preserve">                    월근로시간 = {(40시간(월~금)+8시간(일요일))÷7일}×(365일/12개월) = 209시간</t>
  </si>
  <si>
    <t>주) 년간비용 : 적용대상자별 직무교육에 필요한 교육비용 적용</t>
  </si>
  <si>
    <t>단위 : 원/월</t>
  </si>
  <si>
    <t>시
설</t>
  </si>
  <si>
    <t>미
화</t>
  </si>
  <si>
    <t xml:space="preserve">&lt; 표 : 1 &gt; </t>
  </si>
  <si>
    <t>인건비 + 경비</t>
  </si>
  <si>
    <t>단위 : 시간</t>
  </si>
  <si>
    <t>기본급÷월근로시간×연장근로시간×연장할증</t>
  </si>
  <si>
    <t>보통인부</t>
  </si>
  <si>
    <t>기본</t>
  </si>
  <si>
    <t>휴일</t>
  </si>
  <si>
    <t>주당연장
근로시간</t>
  </si>
  <si>
    <t>월간주수</t>
  </si>
  <si>
    <t>월간연장
근로시간</t>
  </si>
  <si>
    <t>근무시간</t>
  </si>
  <si>
    <t>주 1) 주당연장근로시간 : 근로기준법 제 53조에 의거</t>
  </si>
  <si>
    <t xml:space="preserve">   2) 월간주수 : 365일/년 ÷ 7일/주 ÷ 12개월</t>
  </si>
  <si>
    <t xml:space="preserve">   3) 월간연장근로시간 : 주당연장근로시간 × 월간주수</t>
  </si>
  <si>
    <t>휴일
근로시간</t>
  </si>
  <si>
    <t>월간휴일
근로시간</t>
  </si>
  <si>
    <t>주 1) 휴일근로시간 : 일 근로기본시간 8시간 적용</t>
  </si>
  <si>
    <t xml:space="preserve">   3) 월간휴일근로시간 : 휴일근로시간 × 월간주수</t>
  </si>
  <si>
    <t>연장근로시간산출표</t>
  </si>
  <si>
    <t>휴일근로시간산출표</t>
  </si>
  <si>
    <t xml:space="preserve">   2) 월근무일수 : 주5일 근무기준에 의거 21일 적용</t>
  </si>
  <si>
    <t xml:space="preserve">   2) 월간주수 : 월 1회 휴일근무 기준</t>
  </si>
  <si>
    <t xml:space="preserve">                    월근로시간 = {(40시간(월~금)+8시간(일요일))÷7일}×(365일/12개월) = 209시간</t>
  </si>
  <si>
    <t xml:space="preserve">&lt; 표 : 22 &gt; </t>
  </si>
  <si>
    <t>1개월 21일을 기준하였슴</t>
  </si>
  <si>
    <t>M/D당임율×21일/월</t>
  </si>
  <si>
    <t>주 1)</t>
  </si>
  <si>
    <t>합계</t>
  </si>
  <si>
    <t>합계</t>
  </si>
  <si>
    <t>부가가치세(10%)</t>
  </si>
  <si>
    <t>총계</t>
  </si>
  <si>
    <t>부가가치세(10%)</t>
  </si>
  <si>
    <t>합계 × 10%</t>
  </si>
  <si>
    <t>총계</t>
  </si>
  <si>
    <t>합계 + 부가가치세</t>
  </si>
  <si>
    <t>합계</t>
  </si>
  <si>
    <t>비        고</t>
  </si>
  <si>
    <t xml:space="preserve">&lt; 표 : 19 &gt; </t>
  </si>
  <si>
    <t>복리
후생비</t>
  </si>
  <si>
    <t>용역원가집계표</t>
  </si>
  <si>
    <t>용역원가계산서</t>
  </si>
  <si>
    <t>직종별원가계산서</t>
  </si>
  <si>
    <t>직종별원가계산서</t>
  </si>
  <si>
    <t>직종별원가계산서</t>
  </si>
  <si>
    <t>직종별원가계산서</t>
  </si>
  <si>
    <t>직종별원가계산서</t>
  </si>
  <si>
    <t>직종별원가계산서</t>
  </si>
  <si>
    <t>직종별원가계산서</t>
  </si>
  <si>
    <t>직종별원가계산서</t>
  </si>
  <si>
    <t>직종별원가계산서</t>
  </si>
  <si>
    <t xml:space="preserve">&lt; 표 : 2 &gt; </t>
  </si>
  <si>
    <t xml:space="preserve">&lt; 표 : 3 &gt; </t>
  </si>
  <si>
    <t xml:space="preserve">&lt; 표 : 4 &gt; </t>
  </si>
  <si>
    <t xml:space="preserve">&lt; 표 : 5 &gt; </t>
  </si>
  <si>
    <t xml:space="preserve">&lt; 표 : 6 &gt; </t>
  </si>
  <si>
    <t xml:space="preserve">&lt; 표 : 7 &gt; </t>
  </si>
  <si>
    <t xml:space="preserve">&lt; 표 : 8 &gt; </t>
  </si>
  <si>
    <t>기업경영분석자료</t>
  </si>
  <si>
    <t>(단위 : 백만원)</t>
  </si>
  <si>
    <t>내역</t>
  </si>
  <si>
    <t>구성비(%)</t>
  </si>
  <si>
    <t>매출액</t>
  </si>
  <si>
    <t>매출원가</t>
  </si>
  <si>
    <t>매출총손익</t>
  </si>
  <si>
    <t>판매비와관리비</t>
  </si>
  <si>
    <t>급여</t>
  </si>
  <si>
    <t>퇴직급여</t>
  </si>
  <si>
    <t>복리후생비</t>
  </si>
  <si>
    <t>수도광열비</t>
  </si>
  <si>
    <t>세금과공과</t>
  </si>
  <si>
    <t>임차료</t>
  </si>
  <si>
    <t>감가상각비</t>
  </si>
  <si>
    <t>접대비</t>
  </si>
  <si>
    <t>불 인 금 액</t>
  </si>
  <si>
    <t>광고선전비</t>
  </si>
  <si>
    <t>경상개발비.연구비</t>
  </si>
  <si>
    <t>보험료</t>
  </si>
  <si>
    <t>대손상각비</t>
  </si>
  <si>
    <t>"</t>
  </si>
  <si>
    <t>무형자산상각비</t>
  </si>
  <si>
    <t>(개발비상각)</t>
  </si>
  <si>
    <t>지급수수료</t>
  </si>
  <si>
    <t>기타판매비와관리비</t>
  </si>
  <si>
    <t>영업손익</t>
  </si>
  <si>
    <t>영업외수익</t>
  </si>
  <si>
    <t>이자수익</t>
  </si>
  <si>
    <t>배당금수익</t>
  </si>
  <si>
    <t>외환차익</t>
  </si>
  <si>
    <t>외화환산이익</t>
  </si>
  <si>
    <t>파생금융상품거래이익</t>
  </si>
  <si>
    <t>파생금융상품평가이익</t>
  </si>
  <si>
    <t>투자·유형자산처분이익</t>
  </si>
  <si>
    <t>지분법평가이익</t>
  </si>
  <si>
    <t>기타영업외수익</t>
  </si>
  <si>
    <t>영업외비용</t>
  </si>
  <si>
    <t>이자비용</t>
  </si>
  <si>
    <t>외환차손</t>
  </si>
  <si>
    <t>외화환산손실</t>
  </si>
  <si>
    <t>파생금융상품거래손실</t>
  </si>
  <si>
    <t>파생금융상품평가손실</t>
  </si>
  <si>
    <t>투자·유형자산처분손실</t>
  </si>
  <si>
    <t>지분법평가손실</t>
  </si>
  <si>
    <t>자산재평가손실</t>
  </si>
  <si>
    <t>기타영업외비용</t>
  </si>
  <si>
    <t>법인세차감전순손익</t>
  </si>
  <si>
    <t>법인세비용</t>
  </si>
  <si>
    <t>계속사업이익</t>
  </si>
  <si>
    <t>중단사업손익</t>
  </si>
  <si>
    <t>당기순손익</t>
  </si>
  <si>
    <t xml:space="preserve"> 시행령 제12조 법제14조1항의 규정에 의한 고용보험료율은 다음 각호와 같다.
 1. 고용안정. 직업능력개발사업의 보험료율은 다음 각 목의 구분에 따른 보험료율
   가. 상시근로자수가 150인 미만의 사업주의 사업 : 1만분의 25
   나. 상시근로자수가 150인 이상의 사업주의 사업으로서 "고용보험법시행령" 제12조에
       따른 우선지원 대상기업의 범위에 해당하는 사업 : 1만분의 45
   다. 상시근로자수가 150인 이상 1천인 미만인 사업주의 사업으로서 
       나목에 해당하지 아니하는 사업 : 1만분의 65
   라. 상시근로자수가 1천인 이상인 사업주의 사업으로서 나목에 해당하지 아니하는 
       사업 및 국가ㆍ지방자치단체가 직접 행하는 사업 : 1만분의 85
 2. 실업급여의 보험율 : 1천분의 9(사업주 부담 0.45%)
 * 산출식 : 0.25%(고용안정.직업능력개발사업요율)+0.45%(실업급여의 보험율)</t>
  </si>
  <si>
    <t>(기본급+제수당+상여금)×0.7%</t>
  </si>
  <si>
    <t>주당 최초4시간</t>
  </si>
  <si>
    <t>주당 연장근로시간</t>
  </si>
  <si>
    <t>근무시간</t>
  </si>
  <si>
    <t xml:space="preserve">&lt; 표 : 17 &gt; </t>
  </si>
  <si>
    <t xml:space="preserve">&lt; 표 : 18 &gt; </t>
  </si>
  <si>
    <t xml:space="preserve">&lt; 표 : 9 &gt; </t>
  </si>
  <si>
    <t xml:space="preserve">&lt; 표 : 10 &gt; </t>
  </si>
  <si>
    <t xml:space="preserve">&lt; 표 : 11 &gt; </t>
  </si>
  <si>
    <t xml:space="preserve">&lt; 표 : 12 &gt; </t>
  </si>
  <si>
    <t xml:space="preserve">&lt; 표 : 13 &gt; </t>
  </si>
  <si>
    <t xml:space="preserve">&lt; 표 : 14 &gt; </t>
  </si>
  <si>
    <t xml:space="preserve">&lt; 표 : 15 &gt; </t>
  </si>
  <si>
    <t xml:space="preserve">&lt; 표 : 16 &gt; </t>
  </si>
  <si>
    <t xml:space="preserve">&lt; 표 : 20 &gt; </t>
  </si>
  <si>
    <t xml:space="preserve">&lt; 표 : 21 &gt; </t>
  </si>
  <si>
    <t xml:space="preserve">&lt; 표 : 23 &gt; </t>
  </si>
  <si>
    <t>전기정비공</t>
  </si>
  <si>
    <t>전기기사</t>
  </si>
  <si>
    <t>전기기능사</t>
  </si>
  <si>
    <t>경비반장</t>
  </si>
  <si>
    <t>경비원</t>
  </si>
  <si>
    <t>전기반장</t>
  </si>
  <si>
    <t>전기기사</t>
  </si>
  <si>
    <t>기계반장</t>
  </si>
  <si>
    <t>기계정비공</t>
  </si>
  <si>
    <t>기계기사</t>
  </si>
  <si>
    <t>보일러공</t>
  </si>
  <si>
    <t>보통인부</t>
  </si>
  <si>
    <r>
      <t xml:space="preserve">   5) 년간용역비 : 월간용역비 × 적용개월수</t>
    </r>
    <r>
      <rPr>
        <sz val="10"/>
        <rFont val="바탕체"/>
        <family val="1"/>
      </rPr>
      <t xml:space="preserve"> (천단위미만 절사)</t>
    </r>
  </si>
  <si>
    <t>지방소득세(종업원분)산출표</t>
  </si>
  <si>
    <t>(단위 : 1000분율)</t>
  </si>
  <si>
    <r>
      <t>2</t>
    </r>
    <r>
      <rPr>
        <sz val="10"/>
        <rFont val="바탕체"/>
        <family val="1"/>
      </rPr>
      <t>5</t>
    </r>
  </si>
  <si>
    <r>
      <t>2</t>
    </r>
    <r>
      <rPr>
        <sz val="10"/>
        <rFont val="바탕체"/>
        <family val="1"/>
      </rPr>
      <t>36</t>
    </r>
  </si>
  <si>
    <r>
      <t>2</t>
    </r>
    <r>
      <rPr>
        <sz val="10"/>
        <rFont val="바탕체"/>
        <family val="1"/>
      </rPr>
      <t>33</t>
    </r>
  </si>
  <si>
    <r>
      <t>2</t>
    </r>
    <r>
      <rPr>
        <sz val="10"/>
        <rFont val="바탕체"/>
        <family val="1"/>
      </rPr>
      <t>2</t>
    </r>
  </si>
  <si>
    <r>
      <t>6</t>
    </r>
    <r>
      <rPr>
        <sz val="10"/>
        <rFont val="바탕체"/>
        <family val="1"/>
      </rPr>
      <t>8</t>
    </r>
  </si>
  <si>
    <r>
      <t>1</t>
    </r>
    <r>
      <rPr>
        <sz val="10"/>
        <rFont val="바탕체"/>
        <family val="1"/>
      </rPr>
      <t>1</t>
    </r>
  </si>
  <si>
    <r>
      <t>2</t>
    </r>
    <r>
      <rPr>
        <sz val="10"/>
        <rFont val="바탕체"/>
        <family val="1"/>
      </rPr>
      <t>9</t>
    </r>
  </si>
  <si>
    <r>
      <t>7</t>
    </r>
    <r>
      <rPr>
        <sz val="10"/>
        <rFont val="바탕체"/>
        <family val="1"/>
      </rPr>
      <t>2</t>
    </r>
  </si>
  <si>
    <r>
      <t>3</t>
    </r>
    <r>
      <rPr>
        <sz val="10"/>
        <rFont val="바탕체"/>
        <family val="1"/>
      </rPr>
      <t>2</t>
    </r>
  </si>
  <si>
    <r>
      <t>2</t>
    </r>
    <r>
      <rPr>
        <sz val="10"/>
        <rFont val="바탕체"/>
        <family val="1"/>
      </rPr>
      <t>3</t>
    </r>
  </si>
  <si>
    <r>
      <t>3</t>
    </r>
    <r>
      <rPr>
        <sz val="10"/>
        <rFont val="바탕체"/>
        <family val="1"/>
      </rPr>
      <t>7</t>
    </r>
  </si>
  <si>
    <t>9</t>
  </si>
  <si>
    <r>
      <t>1</t>
    </r>
    <r>
      <rPr>
        <sz val="10"/>
        <rFont val="바탕체"/>
        <family val="1"/>
      </rPr>
      <t>5</t>
    </r>
  </si>
  <si>
    <t>8</t>
  </si>
  <si>
    <r>
      <t>7</t>
    </r>
    <r>
      <rPr>
        <sz val="10"/>
        <rFont val="바탕체"/>
        <family val="1"/>
      </rPr>
      <t>6</t>
    </r>
  </si>
  <si>
    <r>
      <t>7</t>
    </r>
    <r>
      <rPr>
        <sz val="10"/>
        <rFont val="바탕체"/>
        <family val="1"/>
      </rPr>
      <t>4</t>
    </r>
  </si>
  <si>
    <r>
      <t>3</t>
    </r>
    <r>
      <rPr>
        <sz val="10"/>
        <rFont val="바탕체"/>
        <family val="1"/>
      </rPr>
      <t>4</t>
    </r>
  </si>
  <si>
    <r>
      <t>2</t>
    </r>
    <r>
      <rPr>
        <sz val="10"/>
        <rFont val="바탕체"/>
        <family val="1"/>
      </rPr>
      <t>7</t>
    </r>
  </si>
  <si>
    <t>7</t>
  </si>
  <si>
    <r>
      <t>6</t>
    </r>
    <r>
      <rPr>
        <sz val="10"/>
        <rFont val="바탕체"/>
        <family val="1"/>
      </rPr>
      <t>6</t>
    </r>
  </si>
  <si>
    <r>
      <t>8</t>
    </r>
    <r>
      <rPr>
        <sz val="10"/>
        <rFont val="바탕체"/>
        <family val="1"/>
      </rPr>
      <t>4</t>
    </r>
  </si>
  <si>
    <r>
      <t>2</t>
    </r>
    <r>
      <rPr>
        <sz val="10"/>
        <rFont val="바탕체"/>
        <family val="1"/>
      </rPr>
      <t>86</t>
    </r>
  </si>
  <si>
    <r>
      <t>2</t>
    </r>
    <r>
      <rPr>
        <sz val="10"/>
        <rFont val="바탕체"/>
        <family val="1"/>
      </rPr>
      <t>6</t>
    </r>
  </si>
  <si>
    <r>
      <t>1</t>
    </r>
    <r>
      <rPr>
        <sz val="10"/>
        <rFont val="바탕체"/>
        <family val="1"/>
      </rPr>
      <t>2</t>
    </r>
  </si>
  <si>
    <r>
      <t>2</t>
    </r>
    <r>
      <rPr>
        <sz val="10"/>
        <rFont val="바탕체"/>
        <family val="1"/>
      </rPr>
      <t>8</t>
    </r>
  </si>
  <si>
    <r>
      <t>2</t>
    </r>
    <r>
      <rPr>
        <sz val="10"/>
        <rFont val="바탕체"/>
        <family val="1"/>
      </rPr>
      <t>4</t>
    </r>
  </si>
  <si>
    <t>6</t>
  </si>
  <si>
    <r>
      <t>4</t>
    </r>
    <r>
      <rPr>
        <sz val="10"/>
        <rFont val="바탕체"/>
        <family val="1"/>
      </rPr>
      <t>2</t>
    </r>
  </si>
  <si>
    <r>
      <t>주) 노동부 고시 제200</t>
    </r>
    <r>
      <rPr>
        <sz val="10"/>
        <rFont val="바탕체"/>
        <family val="1"/>
      </rPr>
      <t>9</t>
    </r>
    <r>
      <rPr>
        <sz val="10"/>
        <rFont val="바탕체"/>
        <family val="1"/>
      </rPr>
      <t>-</t>
    </r>
    <r>
      <rPr>
        <sz val="10"/>
        <rFont val="바탕체"/>
        <family val="1"/>
      </rPr>
      <t>79</t>
    </r>
    <r>
      <rPr>
        <sz val="10"/>
        <rFont val="바탕체"/>
        <family val="1"/>
      </rPr>
      <t>호(20</t>
    </r>
    <r>
      <rPr>
        <sz val="10"/>
        <rFont val="바탕체"/>
        <family val="1"/>
      </rPr>
      <t>10</t>
    </r>
    <r>
      <rPr>
        <sz val="10"/>
        <rFont val="바탕체"/>
        <family val="1"/>
      </rPr>
      <t>년 1월 1일부터 시행)</t>
    </r>
  </si>
  <si>
    <t>노동부 고시 제2009-79호(2010년 1월 1일부터 시행)</t>
  </si>
  <si>
    <t xml:space="preserve">사업장가입자의 연금보험료중 기여금은 사업장가입자 본인이, 부담금은 사용자가
 부담하되, 그 금액은 각각 표준소득월액의 1천분의 45에 해당하는 금액으로 한다. </t>
  </si>
  <si>
    <t>고용보험및산업재해보상보험의보험료징수등
 에관한법률 제14조 1항, 시행령 제12조</t>
  </si>
  <si>
    <r>
      <t>지방자치단체 원가계산 및
 예정가격 작성요령(행정안전
 부예규 제2</t>
    </r>
    <r>
      <rPr>
        <sz val="10"/>
        <rFont val="바탕체"/>
        <family val="1"/>
      </rPr>
      <t>93</t>
    </r>
    <r>
      <rPr>
        <sz val="10"/>
        <rFont val="바탕체"/>
        <family val="1"/>
      </rPr>
      <t>호, 20</t>
    </r>
    <r>
      <rPr>
        <sz val="10"/>
        <rFont val="바탕체"/>
        <family val="1"/>
      </rPr>
      <t>10</t>
    </r>
    <r>
      <rPr>
        <sz val="10"/>
        <rFont val="바탕체"/>
        <family val="1"/>
      </rPr>
      <t>.</t>
    </r>
    <r>
      <rPr>
        <sz val="10"/>
        <rFont val="바탕체"/>
        <family val="1"/>
      </rPr>
      <t>1</t>
    </r>
    <r>
      <rPr>
        <sz val="10"/>
        <rFont val="바탕체"/>
        <family val="1"/>
      </rPr>
      <t>.</t>
    </r>
    <r>
      <rPr>
        <sz val="10"/>
        <rFont val="바탕체"/>
        <family val="1"/>
      </rPr>
      <t>8</t>
    </r>
    <r>
      <rPr>
        <sz val="10"/>
        <rFont val="바탕체"/>
        <family val="1"/>
      </rPr>
      <t>)</t>
    </r>
  </si>
  <si>
    <r>
      <t xml:space="preserve">   2) 비율(%) : 지방세법 제101</t>
    </r>
    <r>
      <rPr>
        <sz val="10"/>
        <rFont val="바탕체"/>
        <family val="1"/>
      </rPr>
      <t>조 면세점(해당</t>
    </r>
    <r>
      <rPr>
        <sz val="10"/>
        <rFont val="바탕체"/>
        <family val="1"/>
      </rPr>
      <t xml:space="preserve"> </t>
    </r>
    <r>
      <rPr>
        <sz val="10"/>
        <rFont val="바탕체"/>
        <family val="1"/>
      </rPr>
      <t>사업소의</t>
    </r>
    <r>
      <rPr>
        <sz val="10"/>
        <rFont val="바탕체"/>
        <family val="1"/>
      </rPr>
      <t xml:space="preserve"> 종업원수가 50명 이하인 경우에는 
                종업원분을 부과하지 아니한다.</t>
    </r>
    <r>
      <rPr>
        <sz val="10"/>
        <rFont val="바탕체"/>
        <family val="1"/>
      </rPr>
      <t>)</t>
    </r>
  </si>
  <si>
    <r>
      <t>주) 20</t>
    </r>
    <r>
      <rPr>
        <sz val="10"/>
        <rFont val="바탕체"/>
        <family val="1"/>
      </rPr>
      <t>10</t>
    </r>
    <r>
      <rPr>
        <sz val="10"/>
        <rFont val="바탕체"/>
        <family val="1"/>
      </rPr>
      <t xml:space="preserve">년 한국은행발간 </t>
    </r>
    <r>
      <rPr>
        <sz val="10"/>
        <rFont val="바탕체"/>
        <family val="1"/>
      </rPr>
      <t xml:space="preserve">"2009년 </t>
    </r>
    <r>
      <rPr>
        <sz val="10"/>
        <rFont val="바탕체"/>
        <family val="1"/>
      </rPr>
      <t>기업경영분석</t>
    </r>
    <r>
      <rPr>
        <sz val="10"/>
        <rFont val="바탕체"/>
        <family val="1"/>
      </rPr>
      <t xml:space="preserve"> 결과(해설 및 통계편)"</t>
    </r>
    <r>
      <rPr>
        <sz val="10"/>
        <rFont val="바탕체"/>
        <family val="1"/>
      </rPr>
      <t xml:space="preserve"> 참조</t>
    </r>
  </si>
  <si>
    <r>
      <t xml:space="preserve">    CODE NO. N.</t>
    </r>
    <r>
      <rPr>
        <sz val="10"/>
        <rFont val="바탕체"/>
        <family val="1"/>
      </rPr>
      <t xml:space="preserve"> </t>
    </r>
    <r>
      <rPr>
        <sz val="10"/>
        <rFont val="바탕체"/>
        <family val="1"/>
      </rPr>
      <t>『사업시설관리 및 사업지원 서비스업』</t>
    </r>
  </si>
  <si>
    <r>
      <t>운반</t>
    </r>
    <r>
      <rPr>
        <sz val="10"/>
        <color indexed="8"/>
        <rFont val="굴림"/>
        <family val="3"/>
      </rPr>
      <t>·</t>
    </r>
    <r>
      <rPr>
        <sz val="10"/>
        <color indexed="8"/>
        <rFont val="바탕체"/>
        <family val="1"/>
      </rPr>
      <t>하역</t>
    </r>
    <r>
      <rPr>
        <sz val="10"/>
        <color indexed="8"/>
        <rFont val="굴림"/>
        <family val="3"/>
      </rPr>
      <t>·</t>
    </r>
    <r>
      <rPr>
        <sz val="10"/>
        <color indexed="8"/>
        <rFont val="바탕체"/>
        <family val="1"/>
      </rPr>
      <t>보관</t>
    </r>
    <r>
      <rPr>
        <sz val="10"/>
        <color indexed="8"/>
        <rFont val="굴림"/>
        <family val="3"/>
      </rPr>
      <t>·</t>
    </r>
    <r>
      <rPr>
        <sz val="10"/>
        <color indexed="8"/>
        <rFont val="바탕체"/>
        <family val="1"/>
      </rPr>
      <t>포장비</t>
    </r>
  </si>
  <si>
    <t>* 손익계산서</t>
  </si>
  <si>
    <t>주) 지방자치단체 원가계산 및 예정가격 작성요령(행정안전부예규 제293호, 2010.1.8)</t>
  </si>
  <si>
    <r>
      <t>주 1) M/D당임율 : 중소기업중앙회에서 조사·공표한 2009</t>
    </r>
    <r>
      <rPr>
        <sz val="10"/>
        <rFont val="바탕체"/>
        <family val="1"/>
      </rPr>
      <t>.9월</t>
    </r>
    <r>
      <rPr>
        <sz val="10"/>
        <rFont val="바탕체"/>
        <family val="1"/>
      </rPr>
      <t xml:space="preserve"> 조사노임단가 참조</t>
    </r>
  </si>
  <si>
    <t>전기기능사</t>
  </si>
  <si>
    <t>전기정비공</t>
  </si>
  <si>
    <t>보일러공</t>
  </si>
  <si>
    <t>기계정비공</t>
  </si>
  <si>
    <r>
      <t>제-1</t>
    </r>
    <r>
      <rPr>
        <sz val="10"/>
        <rFont val="바탕체"/>
        <family val="1"/>
      </rPr>
      <t>61</t>
    </r>
  </si>
  <si>
    <r>
      <t>제-1</t>
    </r>
    <r>
      <rPr>
        <sz val="10"/>
        <rFont val="바탕체"/>
        <family val="1"/>
      </rPr>
      <t>08</t>
    </r>
  </si>
  <si>
    <r>
      <t>제-1</t>
    </r>
    <r>
      <rPr>
        <sz val="10"/>
        <rFont val="바탕체"/>
        <family val="1"/>
      </rPr>
      <t>79</t>
    </r>
  </si>
  <si>
    <r>
      <t>제-1</t>
    </r>
    <r>
      <rPr>
        <sz val="10"/>
        <rFont val="바탕체"/>
        <family val="1"/>
      </rPr>
      <t>07</t>
    </r>
  </si>
  <si>
    <r>
      <t>제-1</t>
    </r>
    <r>
      <rPr>
        <sz val="10"/>
        <rFont val="바탕체"/>
        <family val="1"/>
      </rPr>
      <t>75</t>
    </r>
  </si>
  <si>
    <r>
      <t>제-1</t>
    </r>
    <r>
      <rPr>
        <sz val="10"/>
        <rFont val="바탕체"/>
        <family val="1"/>
      </rPr>
      <t>7</t>
    </r>
    <r>
      <rPr>
        <sz val="10"/>
        <rFont val="바탕체"/>
        <family val="1"/>
      </rPr>
      <t>5</t>
    </r>
  </si>
  <si>
    <t>연장</t>
  </si>
  <si>
    <t>소 계</t>
  </si>
  <si>
    <t>경
비</t>
  </si>
  <si>
    <t>시
설</t>
  </si>
  <si>
    <t xml:space="preserve">＊시설업무 및 용역관리 총괄  </t>
  </si>
  <si>
    <t>경력 5년 이상자</t>
  </si>
  <si>
    <t>전기, 방화관리, 
가스, 보일러관련 
자격소지자 
유경험자</t>
  </si>
  <si>
    <t xml:space="preserve">＊전기설비, 약전설비, 열원설비,
  급·배수 위생설비, 가스설비,
  소방·방화용 설비 관리 </t>
  </si>
  <si>
    <r>
      <t xml:space="preserve">＊미화원 교육, 환경조성, 비품집기
  등 </t>
    </r>
    <r>
      <rPr>
        <sz val="10"/>
        <rFont val="바탕체"/>
        <family val="1"/>
      </rPr>
      <t>관리보호</t>
    </r>
  </si>
  <si>
    <t>＊시설물 보호
  - 출입인원감시, 안내, 안전유도
  - 도난, 화재예방
  - 취약지점순찰 및 시설물보호
  - 주차유도 관리</t>
  </si>
  <si>
    <r>
      <t>＊복도, 승강기, 계단, 화장실, 내</t>
    </r>
    <r>
      <rPr>
        <sz val="10"/>
        <rFont val="굴림"/>
        <family val="3"/>
      </rPr>
      <t>·</t>
    </r>
    <r>
      <rPr>
        <sz val="10"/>
        <rFont val="바탕체"/>
        <family val="1"/>
      </rPr>
      <t xml:space="preserve">
  외부 유리, 샷시외 기타 환경유지
＊건물 내·외부 청결유지</t>
    </r>
  </si>
  <si>
    <t>지방소득세(종업원분)</t>
  </si>
  <si>
    <t>교육비</t>
  </si>
  <si>
    <t>지방소득세(종업원분)</t>
  </si>
  <si>
    <t>단위(1인)당 식비산출표</t>
  </si>
  <si>
    <t>연장근로수당</t>
  </si>
  <si>
    <t>미
화</t>
  </si>
  <si>
    <t>주차관리</t>
  </si>
  <si>
    <t>주차관리</t>
  </si>
  <si>
    <t>＊시설물 보호
  - 주차장안내 및  안전유도
  - 주차장 관리
  - 주차요금 정산</t>
  </si>
  <si>
    <t xml:space="preserve">경기문화재단
</t>
  </si>
  <si>
    <t>(보통인부)</t>
  </si>
  <si>
    <r>
      <t>일반관리비(</t>
    </r>
    <r>
      <rPr>
        <sz val="10"/>
        <rFont val="바탕체"/>
        <family val="1"/>
      </rPr>
      <t>3</t>
    </r>
    <r>
      <rPr>
        <sz val="10"/>
        <rFont val="바탕체"/>
        <family val="1"/>
      </rPr>
      <t>%)</t>
    </r>
  </si>
  <si>
    <r>
      <t>이                 윤(</t>
    </r>
    <r>
      <rPr>
        <sz val="10"/>
        <rFont val="바탕체"/>
        <family val="1"/>
      </rPr>
      <t>7</t>
    </r>
    <r>
      <rPr>
        <sz val="10"/>
        <rFont val="바탕체"/>
        <family val="1"/>
      </rPr>
      <t>%)</t>
    </r>
  </si>
  <si>
    <r>
      <t xml:space="preserve">순용역원가 × </t>
    </r>
    <r>
      <rPr>
        <sz val="10"/>
        <rFont val="바탕체"/>
        <family val="1"/>
      </rPr>
      <t>3</t>
    </r>
    <r>
      <rPr>
        <sz val="10"/>
        <rFont val="바탕체"/>
        <family val="1"/>
      </rPr>
      <t>%</t>
    </r>
  </si>
  <si>
    <r>
      <t>(인건비+경비+일반관리비)×</t>
    </r>
    <r>
      <rPr>
        <sz val="10"/>
        <rFont val="바탕체"/>
        <family val="1"/>
      </rPr>
      <t>7</t>
    </r>
    <r>
      <rPr>
        <sz val="10"/>
        <rFont val="바탕체"/>
        <family val="1"/>
      </rPr>
      <t>%</t>
    </r>
  </si>
  <si>
    <r>
      <t xml:space="preserve">   4) 적용개월수 : 2011년 1</t>
    </r>
    <r>
      <rPr>
        <sz val="10"/>
        <rFont val="바탕체"/>
        <family val="1"/>
      </rPr>
      <t xml:space="preserve">월 1일에서 </t>
    </r>
    <r>
      <rPr>
        <sz val="10"/>
        <rFont val="바탕체"/>
        <family val="1"/>
      </rPr>
      <t xml:space="preserve">2011년 </t>
    </r>
    <r>
      <rPr>
        <sz val="10"/>
        <rFont val="바탕체"/>
        <family val="1"/>
      </rPr>
      <t>12월 31까지 1</t>
    </r>
    <r>
      <rPr>
        <sz val="10"/>
        <rFont val="바탕체"/>
        <family val="1"/>
      </rPr>
      <t>2</t>
    </r>
    <r>
      <rPr>
        <sz val="10"/>
        <rFont val="바탕체"/>
        <family val="1"/>
      </rPr>
      <t>개월기준</t>
    </r>
  </si>
  <si>
    <r>
      <t>(기본급+제수당+상여금)×2.</t>
    </r>
    <r>
      <rPr>
        <sz val="10"/>
        <rFont val="바탕체"/>
        <family val="1"/>
      </rPr>
      <t>665</t>
    </r>
    <r>
      <rPr>
        <sz val="10"/>
        <rFont val="바탕체"/>
        <family val="1"/>
      </rPr>
      <t>%</t>
    </r>
  </si>
  <si>
    <r>
      <t>(기본급+제수당+상여금)×0.0</t>
    </r>
    <r>
      <rPr>
        <sz val="10"/>
        <rFont val="바탕체"/>
        <family val="1"/>
      </rPr>
      <t>8</t>
    </r>
    <r>
      <rPr>
        <sz val="10"/>
        <rFont val="바탕체"/>
        <family val="1"/>
      </rPr>
      <t>%</t>
    </r>
  </si>
  <si>
    <r>
      <t>국민건강보험료×6</t>
    </r>
    <r>
      <rPr>
        <sz val="10"/>
        <rFont val="바탕체"/>
        <family val="1"/>
      </rPr>
      <t>.55</t>
    </r>
    <r>
      <rPr>
        <sz val="10"/>
        <rFont val="바탕체"/>
        <family val="1"/>
      </rPr>
      <t>%</t>
    </r>
  </si>
  <si>
    <r>
      <t xml:space="preserve">   3) 노인장기요양보험료 : 국민건강보험료 × </t>
    </r>
    <r>
      <rPr>
        <sz val="10"/>
        <rFont val="바탕체"/>
        <family val="1"/>
      </rPr>
      <t>6.55</t>
    </r>
    <r>
      <rPr>
        <sz val="10"/>
        <rFont val="바탕체"/>
        <family val="1"/>
      </rPr>
      <t>%</t>
    </r>
  </si>
  <si>
    <t>건 명 : 2011년 경기문화재단 시설, 미화 관리용역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</si>
</sst>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0.0"/>
    <numFmt numFmtId="178" formatCode="_ * #,##0_ ;_ * \-#,##0_ ;_ * &quot;-&quot;_ ;_ @_ "/>
    <numFmt numFmtId="179" formatCode="#,##0_ "/>
    <numFmt numFmtId="180" formatCode="#,##0.000"/>
    <numFmt numFmtId="181" formatCode="0_);[Red]\(0\)"/>
    <numFmt numFmtId="182" formatCode="#,##0.0_);[Red]\(#,##0.0\)"/>
    <numFmt numFmtId="183" formatCode="#,##0_);[Red]\(#,##0\)"/>
    <numFmt numFmtId="184" formatCode="_ * #,##0.00_ ;_ * \-#,##0.00_ ;_ * &quot;-&quot;??_ ;_ @_ "/>
    <numFmt numFmtId="185" formatCode="#,##0.0_ "/>
    <numFmt numFmtId="186" formatCode="#,##0.00_ "/>
    <numFmt numFmtId="187" formatCode="#."/>
    <numFmt numFmtId="188" formatCode="#,##0.0"/>
    <numFmt numFmtId="189" formatCode="&quot;₩&quot;\!\$#\!\,##0_);[Red]&quot;₩&quot;\!\(&quot;₩&quot;\!\$#\!\,##0&quot;₩&quot;\!\)"/>
    <numFmt numFmtId="190" formatCode="_(&quot;$&quot;* #,##0_);_(&quot;$&quot;* \(#,##0\);_(&quot;$&quot;* &quot;-&quot;_);_(@_)"/>
    <numFmt numFmtId="191" formatCode="0\!.0000000000000000"/>
    <numFmt numFmtId="192" formatCode="&quot;$&quot;#\!\,##0\!.00_);[Red]&quot;₩&quot;\!\(&quot;$&quot;#\!\,##0\!.00&quot;₩&quot;\!\)"/>
    <numFmt numFmtId="193" formatCode="0.00_);[Red]\(0.00\)"/>
    <numFmt numFmtId="194" formatCode="0.00;[Red]0.00"/>
    <numFmt numFmtId="195" formatCode="_-* #,##0.0_-;&quot;₩&quot;\!\-* #,##0.0_-;_-* &quot;-&quot;_-;_-@_-"/>
    <numFmt numFmtId="196" formatCode="&quot;₩&quot;#,##0;&quot;₩&quot;&quot;₩&quot;&quot;₩&quot;&quot;₩&quot;&quot;₩&quot;&quot;₩&quot;\!\!\-#,##0"/>
    <numFmt numFmtId="197" formatCode="_ &quot;₩&quot;* #,##0.00_ ;_ &quot;₩&quot;* \-#,##0.00_ ;_ &quot;₩&quot;* &quot;-&quot;??_ ;_ @_ "/>
    <numFmt numFmtId="198" formatCode="#,##0;[Red]&quot;-&quot;#,##0"/>
    <numFmt numFmtId="199" formatCode="#\!\,##0;&quot;₩&quot;\!\-#\!\,##0\!.00"/>
    <numFmt numFmtId="200" formatCode="#,##0;\-#,##0.00"/>
    <numFmt numFmtId="201" formatCode="#,##0;&quot;-&quot;#,##0"/>
    <numFmt numFmtId="202" formatCode="&quot;₩&quot;#,##0;[Red]&quot;₩&quot;&quot;₩&quot;&quot;₩&quot;&quot;₩&quot;&quot;₩&quot;&quot;₩&quot;\!\!\-#,##0"/>
    <numFmt numFmtId="203" formatCode="&quot;₩&quot;#,##0.00;&quot;₩&quot;\-#,##0.00"/>
    <numFmt numFmtId="204" formatCode="&quot;M-S3-014-&quot;\ ###&quot;&quot;\ "/>
    <numFmt numFmtId="205" formatCode="&quot;004-30-&quot;\ ###&quot;호&quot;\ "/>
    <numFmt numFmtId="206" formatCode="&quot;M-S3-016-&quot;\ ###&quot;&quot;\ "/>
    <numFmt numFmtId="207" formatCode="&quot;M-S3-004-&quot;\ ###&quot;&quot;\ "/>
    <numFmt numFmtId="208" formatCode="_-* #,##0.00_-;&quot;₩&quot;&quot;₩&quot;&quot;₩&quot;&quot;₩&quot;\!\!\-* #,##0.00_-;_-* &quot;-&quot;??_-;_-@_-"/>
    <numFmt numFmtId="209" formatCode="_-&quot;₩&quot;* #,##0.00_-;&quot;₩&quot;&quot;₩&quot;&quot;₩&quot;&quot;₩&quot;\!\!\-&quot;₩&quot;* #,##0.00_-;_-&quot;₩&quot;* &quot;-&quot;??_-;_-@_-"/>
    <numFmt numFmtId="210" formatCode="&quot;₩&quot;#,##0.00;&quot;₩&quot;&quot;₩&quot;&quot;₩&quot;&quot;₩&quot;&quot;₩&quot;&quot;₩&quot;\!\!\-#,##0.00"/>
    <numFmt numFmtId="211" formatCode="&quot;$&quot;#,##0.00_);\(&quot;$&quot;#,##0.00\)"/>
    <numFmt numFmtId="212" formatCode="0000000000000"/>
    <numFmt numFmtId="213" formatCode="_-* #,##0.00\ _P_t_s_-;\-* #,##0.00\ _P_t_s_-;_-* &quot;-&quot;??\ _P_t_s_-;_-@_-"/>
    <numFmt numFmtId="214" formatCode="#,##0."/>
    <numFmt numFmtId="215" formatCode="\$#."/>
    <numFmt numFmtId="216" formatCode="yy/m"/>
    <numFmt numFmtId="217" formatCode="&quot;$&quot;#,##0;[Red]\-&quot;$&quot;#,##0"/>
    <numFmt numFmtId="218" formatCode="&quot;F&quot;\ #,##0_-;&quot;F&quot;\ #,##0\-"/>
    <numFmt numFmtId="219" formatCode="&quot;₩&quot;#,##0;[Red]&quot;₩&quot;&quot;₩&quot;&quot;₩&quot;&quot;₩&quot;&quot;₩&quot;&quot;₩&quot;&quot;₩&quot;&quot;₩&quot;&quot;₩&quot;\-#,##0"/>
    <numFmt numFmtId="220" formatCode="0.00000000_ "/>
    <numFmt numFmtId="221" formatCode="_-[$€-2]* #,##0.00_-;&quot;₩&quot;\!\-[$€-2]* #,##0.00_-;_-[$€-2]* &quot;-&quot;??_-"/>
    <numFmt numFmtId="222" formatCode="_-* #,##0.0_-;\-* #,##0.0_-;_-* &quot;-&quot;??_-;_-@_-"/>
    <numFmt numFmtId="223" formatCode="#,##0.0000;[Red]\-#,##0.0000"/>
    <numFmt numFmtId="224" formatCode="&quot;$&quot;#,##0.00_);[Red]\(&quot;$&quot;#,##0.00\)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mm&quot;월&quot;\ dd&quot;일&quot;"/>
    <numFmt numFmtId="229" formatCode="0.00_ "/>
    <numFmt numFmtId="230" formatCode="_ * #,##0.00_ ;_ * \-#,##0.00_ ;_ * &quot;-&quot;_ ;_ @_ "/>
    <numFmt numFmtId="231" formatCode="#,##0_ ;[Red]\-#,##0\ "/>
  </numFmts>
  <fonts count="117">
    <font>
      <sz val="10"/>
      <name val="바탕체"/>
      <family val="1"/>
    </font>
    <font>
      <sz val="20"/>
      <name val="바탕체"/>
      <family val="1"/>
    </font>
    <font>
      <sz val="10"/>
      <name val="Arial"/>
      <family val="2"/>
    </font>
    <font>
      <sz val="8"/>
      <name val="바탕체"/>
      <family val="1"/>
    </font>
    <font>
      <sz val="8"/>
      <name val="바탕"/>
      <family val="1"/>
    </font>
    <font>
      <sz val="8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2"/>
      <name val="명조"/>
      <family val="3"/>
    </font>
    <font>
      <sz val="20"/>
      <name val="돋움체"/>
      <family val="3"/>
    </font>
    <font>
      <u val="single"/>
      <sz val="20"/>
      <name val="돋움체"/>
      <family val="3"/>
    </font>
    <font>
      <sz val="20"/>
      <name val="굴림체"/>
      <family val="3"/>
    </font>
    <font>
      <sz val="11"/>
      <name val="돋움"/>
      <family val="3"/>
    </font>
    <font>
      <sz val="11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sz val="9"/>
      <name val="돋움체"/>
      <family val="3"/>
    </font>
    <font>
      <sz val="14"/>
      <name val="뼻뮝"/>
      <family val="3"/>
    </font>
    <font>
      <sz val="11"/>
      <name val="돋움체"/>
      <family val="3"/>
    </font>
    <font>
      <sz val="10"/>
      <name val="굴림체"/>
      <family val="3"/>
    </font>
    <font>
      <sz val="10"/>
      <color indexed="8"/>
      <name val="바탕체"/>
      <family val="1"/>
    </font>
    <font>
      <sz val="20"/>
      <color indexed="8"/>
      <name val="바탕체"/>
      <family val="1"/>
    </font>
    <font>
      <u val="single"/>
      <sz val="10"/>
      <color indexed="8"/>
      <name val="바탕체"/>
      <family val="1"/>
    </font>
    <font>
      <sz val="11"/>
      <name val="바탕체"/>
      <family val="1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¹UAAA¼"/>
      <family val="3"/>
    </font>
    <font>
      <sz val="12"/>
      <name val="¹????¼"/>
      <family val="1"/>
    </font>
    <font>
      <sz val="10"/>
      <name val="Helv"/>
      <family val="2"/>
    </font>
    <font>
      <sz val="12"/>
      <name val="Times New Roman"/>
      <family val="1"/>
    </font>
    <font>
      <sz val="7"/>
      <name val="바탕체"/>
      <family val="1"/>
    </font>
    <font>
      <b/>
      <sz val="1"/>
      <color indexed="8"/>
      <name val="Courier"/>
      <family val="3"/>
    </font>
    <font>
      <sz val="9"/>
      <color indexed="8"/>
      <name val="굴림체"/>
      <family val="3"/>
    </font>
    <font>
      <u val="single"/>
      <sz val="11"/>
      <color indexed="36"/>
      <name val="돋움"/>
      <family val="3"/>
    </font>
    <font>
      <sz val="10"/>
      <name val="돋움체"/>
      <family val="3"/>
    </font>
    <font>
      <sz val="11"/>
      <name val="뼻뮝"/>
      <family val="3"/>
    </font>
    <font>
      <sz val="10"/>
      <name val="바탕"/>
      <family val="1"/>
    </font>
    <font>
      <b/>
      <sz val="10"/>
      <name val="바탕체"/>
      <family val="1"/>
    </font>
    <font>
      <b/>
      <sz val="18"/>
      <name val="바탕체"/>
      <family val="1"/>
    </font>
    <font>
      <b/>
      <sz val="12"/>
      <name val="바탕체"/>
      <family val="1"/>
    </font>
    <font>
      <sz val="8"/>
      <name val="#중고딕"/>
      <family val="3"/>
    </font>
    <font>
      <b/>
      <sz val="12"/>
      <color indexed="16"/>
      <name val="굴림체"/>
      <family val="3"/>
    </font>
    <font>
      <sz val="10"/>
      <name val="명조"/>
      <family val="3"/>
    </font>
    <font>
      <sz val="10"/>
      <name val="궁서(English)"/>
      <family val="3"/>
    </font>
    <font>
      <sz val="12"/>
      <name val="견고딕"/>
      <family val="1"/>
    </font>
    <font>
      <b/>
      <sz val="16"/>
      <name val="돋움체"/>
      <family val="3"/>
    </font>
    <font>
      <sz val="10"/>
      <name val="Arial Narrow"/>
      <family val="2"/>
    </font>
    <font>
      <u val="single"/>
      <sz val="11"/>
      <color indexed="12"/>
      <name val="돋움"/>
      <family val="3"/>
    </font>
    <font>
      <sz val="12"/>
      <name val="¹ÙÅÁÃ¼"/>
      <family val="1"/>
    </font>
    <font>
      <sz val="12"/>
      <name val="System"/>
      <family val="2"/>
    </font>
    <font>
      <sz val="9"/>
      <name val="Arial"/>
      <family val="2"/>
    </font>
    <font>
      <sz val="11"/>
      <name val="￥i￠￢￠?o"/>
      <family val="3"/>
    </font>
    <font>
      <sz val="8"/>
      <name val="¹UAAA¼"/>
      <family val="1"/>
    </font>
    <font>
      <b/>
      <sz val="10"/>
      <name val="Helv"/>
      <family val="2"/>
    </font>
    <font>
      <u val="single"/>
      <sz val="10"/>
      <color indexed="12"/>
      <name val="Arial"/>
      <family val="2"/>
    </font>
    <font>
      <i/>
      <sz val="11"/>
      <name val="돋움"/>
      <family val="3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12"/>
      <color indexed="24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i/>
      <sz val="10"/>
      <name val="MS Sans Serif"/>
      <family val="2"/>
    </font>
    <font>
      <b/>
      <sz val="8"/>
      <name val="Times New Roman"/>
      <family val="1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 val="single"/>
      <sz val="13"/>
      <name val="굴림체"/>
      <family val="3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바탕체"/>
      <family val="1"/>
    </font>
    <font>
      <sz val="10"/>
      <color indexed="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105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4" fillId="0" borderId="0">
      <alignment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25" fillId="0" borderId="1">
      <alignment horizontal="center"/>
      <protection/>
    </xf>
    <xf numFmtId="0" fontId="0" fillId="0" borderId="2">
      <alignment horizontal="centerContinuous" vertical="center"/>
      <protection/>
    </xf>
    <xf numFmtId="3" fontId="6" fillId="0" borderId="0">
      <alignment vertical="center"/>
      <protection/>
    </xf>
    <xf numFmtId="188" fontId="6" fillId="0" borderId="0">
      <alignment vertical="center"/>
      <protection/>
    </xf>
    <xf numFmtId="4" fontId="6" fillId="0" borderId="0">
      <alignment vertical="center"/>
      <protection/>
    </xf>
    <xf numFmtId="180" fontId="6" fillId="0" borderId="0">
      <alignment vertical="center"/>
      <protection/>
    </xf>
    <xf numFmtId="3" fontId="7" fillId="0" borderId="3">
      <alignment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0" fontId="0" fillId="0" borderId="2">
      <alignment horizontal="centerContinuous" vertical="center"/>
      <protection/>
    </xf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NumberFormat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2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2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24" fontId="25" fillId="0" borderId="0" applyFont="0" applyFill="0" applyBorder="0" applyAlignment="0" applyProtection="0"/>
    <xf numFmtId="192" fontId="12" fillId="0" borderId="0" applyNumberFormat="0" applyFont="0" applyFill="0" applyBorder="0" applyAlignment="0" applyProtection="0"/>
    <xf numFmtId="24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>
      <alignment/>
      <protection/>
    </xf>
    <xf numFmtId="0" fontId="13" fillId="0" borderId="4">
      <alignment vertical="center"/>
      <protection/>
    </xf>
    <xf numFmtId="0" fontId="13" fillId="0" borderId="4">
      <alignment vertical="center"/>
      <protection/>
    </xf>
    <xf numFmtId="0" fontId="12" fillId="0" borderId="4">
      <alignment vertical="center"/>
      <protection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" fillId="0" borderId="0">
      <alignment/>
      <protection/>
    </xf>
    <xf numFmtId="187" fontId="24" fillId="0" borderId="0">
      <alignment/>
      <protection locked="0"/>
    </xf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>
      <alignment/>
      <protection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6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6" fillId="0" borderId="0">
      <alignment/>
      <protection/>
    </xf>
    <xf numFmtId="193" fontId="12" fillId="0" borderId="0">
      <alignment/>
      <protection locked="0"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24" fillId="0" borderId="0">
      <alignment/>
      <protection locked="0"/>
    </xf>
    <xf numFmtId="193" fontId="12" fillId="0" borderId="0">
      <alignment/>
      <protection locked="0"/>
    </xf>
    <xf numFmtId="0" fontId="24" fillId="0" borderId="0">
      <alignment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>
      <alignment/>
      <protection/>
    </xf>
    <xf numFmtId="194" fontId="12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9" fontId="0" fillId="0" borderId="0">
      <alignment vertical="center"/>
      <protection/>
    </xf>
    <xf numFmtId="190" fontId="2" fillId="0" borderId="0" applyFont="0" applyFill="0" applyBorder="0" applyAlignment="0" applyProtection="0"/>
    <xf numFmtId="3" fontId="7" fillId="0" borderId="3">
      <alignment/>
      <protection/>
    </xf>
    <xf numFmtId="0" fontId="0" fillId="0" borderId="0">
      <alignment vertical="center"/>
      <protection/>
    </xf>
    <xf numFmtId="3" fontId="7" fillId="0" borderId="3">
      <alignment/>
      <protection/>
    </xf>
    <xf numFmtId="10" fontId="0" fillId="0" borderId="0">
      <alignment vertical="center"/>
      <protection/>
    </xf>
    <xf numFmtId="0" fontId="0" fillId="0" borderId="0">
      <alignment vertical="center"/>
      <protection/>
    </xf>
    <xf numFmtId="195" fontId="12" fillId="0" borderId="0">
      <alignment vertical="center"/>
      <protection/>
    </xf>
    <xf numFmtId="0" fontId="13" fillId="0" borderId="0">
      <alignment horizontal="center" vertical="center"/>
      <protection/>
    </xf>
    <xf numFmtId="0" fontId="25" fillId="0" borderId="5">
      <alignment/>
      <protection/>
    </xf>
    <xf numFmtId="4" fontId="30" fillId="0" borderId="6">
      <alignment vertical="center"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  <xf numFmtId="193" fontId="12" fillId="0" borderId="0">
      <alignment/>
      <protection locked="0"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24" fillId="0" borderId="0">
      <alignment/>
      <protection locked="0"/>
    </xf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9" fontId="6" fillId="0" borderId="0">
      <alignment/>
      <protection locked="0"/>
    </xf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6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26" borderId="7" applyNumberFormat="0" applyAlignment="0" applyProtection="0"/>
    <xf numFmtId="196" fontId="6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197" fontId="12" fillId="0" borderId="0">
      <alignment/>
      <protection/>
    </xf>
    <xf numFmtId="0" fontId="13" fillId="0" borderId="0">
      <alignment/>
      <protection/>
    </xf>
    <xf numFmtId="0" fontId="12" fillId="0" borderId="3">
      <alignment horizontal="right" vertical="center"/>
      <protection/>
    </xf>
    <xf numFmtId="0" fontId="32" fillId="0" borderId="0" applyFont="0" applyBorder="0" applyAlignment="0">
      <protection/>
    </xf>
    <xf numFmtId="0" fontId="104" fillId="27" borderId="0" applyNumberFormat="0" applyBorder="0" applyAlignment="0" applyProtection="0"/>
    <xf numFmtId="0" fontId="24" fillId="0" borderId="0">
      <alignment/>
      <protection locked="0"/>
    </xf>
    <xf numFmtId="3" fontId="25" fillId="0" borderId="8">
      <alignment horizontal="center"/>
      <protection/>
    </xf>
    <xf numFmtId="0" fontId="6" fillId="28" borderId="0">
      <alignment horizontal="left"/>
      <protection/>
    </xf>
    <xf numFmtId="0" fontId="24" fillId="0" borderId="0">
      <alignment/>
      <protection locked="0"/>
    </xf>
    <xf numFmtId="0" fontId="3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29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34" fillId="0" borderId="3" applyNumberFormat="0" applyFont="0" applyFill="0" applyBorder="0" applyProtection="0">
      <alignment horizontal="distributed"/>
    </xf>
    <xf numFmtId="9" fontId="0" fillId="0" borderId="0" applyFont="0" applyFill="0" applyBorder="0" applyAlignment="0" applyProtection="0"/>
    <xf numFmtId="9" fontId="13" fillId="30" borderId="0" applyFill="0" applyBorder="0" applyProtection="0">
      <alignment horizontal="right"/>
    </xf>
    <xf numFmtId="10" fontId="13" fillId="0" borderId="0" applyFill="0" applyBorder="0" applyProtection="0">
      <alignment horizontal="right"/>
    </xf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05" fillId="31" borderId="0" applyNumberFormat="0" applyBorder="0" applyAlignment="0" applyProtection="0"/>
    <xf numFmtId="0" fontId="35" fillId="0" borderId="0">
      <alignment/>
      <protection/>
    </xf>
    <xf numFmtId="179" fontId="12" fillId="0" borderId="0" applyNumberFormat="0" applyFont="0" applyFill="0" applyBorder="0" applyProtection="0">
      <alignment horizontal="centerContinuous"/>
    </xf>
    <xf numFmtId="179" fontId="36" fillId="0" borderId="10">
      <alignment vertical="center"/>
      <protection/>
    </xf>
    <xf numFmtId="3" fontId="34" fillId="0" borderId="3">
      <alignment/>
      <protection/>
    </xf>
    <xf numFmtId="0" fontId="34" fillId="0" borderId="3">
      <alignment/>
      <protection/>
    </xf>
    <xf numFmtId="3" fontId="34" fillId="0" borderId="11">
      <alignment/>
      <protection/>
    </xf>
    <xf numFmtId="3" fontId="34" fillId="0" borderId="12">
      <alignment/>
      <protection/>
    </xf>
    <xf numFmtId="0" fontId="37" fillId="0" borderId="3">
      <alignment/>
      <protection/>
    </xf>
    <xf numFmtId="0" fontId="38" fillId="0" borderId="0">
      <alignment horizontal="center"/>
      <protection/>
    </xf>
    <xf numFmtId="0" fontId="39" fillId="0" borderId="13">
      <alignment horizontal="center"/>
      <protection/>
    </xf>
    <xf numFmtId="0" fontId="106" fillId="0" borderId="0" applyNumberFormat="0" applyFill="0" applyBorder="0" applyAlignment="0" applyProtection="0"/>
    <xf numFmtId="0" fontId="107" fillId="32" borderId="14" applyNumberFormat="0" applyAlignment="0" applyProtection="0"/>
    <xf numFmtId="4" fontId="40" fillId="0" borderId="0" applyNumberFormat="0" applyFill="0" applyBorder="0" applyAlignment="0">
      <protection/>
    </xf>
    <xf numFmtId="198" fontId="4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5">
      <alignment/>
      <protection/>
    </xf>
    <xf numFmtId="0" fontId="108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09" fillId="0" borderId="17" applyNumberFormat="0" applyFill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43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43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44" fillId="0" borderId="0">
      <alignment horizontal="center" vertical="center"/>
      <protection/>
    </xf>
    <xf numFmtId="0" fontId="19" fillId="0" borderId="0" applyNumberFormat="0" applyAlignment="0">
      <protection/>
    </xf>
    <xf numFmtId="0" fontId="110" fillId="33" borderId="7" applyNumberFormat="0" applyAlignment="0" applyProtection="0"/>
    <xf numFmtId="4" fontId="24" fillId="0" borderId="0">
      <alignment/>
      <protection locked="0"/>
    </xf>
    <xf numFmtId="202" fontId="6" fillId="0" borderId="0">
      <alignment/>
      <protection locked="0"/>
    </xf>
    <xf numFmtId="0" fontId="6" fillId="0" borderId="18" applyNumberFormat="0">
      <alignment/>
      <protection/>
    </xf>
    <xf numFmtId="0" fontId="111" fillId="0" borderId="0" applyNumberFormat="0" applyFill="0" applyBorder="0" applyAlignment="0" applyProtection="0"/>
    <xf numFmtId="0" fontId="112" fillId="0" borderId="19" applyNumberFormat="0" applyFill="0" applyAlignment="0" applyProtection="0"/>
    <xf numFmtId="0" fontId="113" fillId="0" borderId="20" applyNumberFormat="0" applyFill="0" applyAlignment="0" applyProtection="0"/>
    <xf numFmtId="0" fontId="114" fillId="0" borderId="21" applyNumberFormat="0" applyFill="0" applyAlignment="0" applyProtection="0"/>
    <xf numFmtId="0" fontId="114" fillId="0" borderId="0" applyNumberFormat="0" applyFill="0" applyBorder="0" applyAlignment="0" applyProtection="0"/>
    <xf numFmtId="0" fontId="6" fillId="0" borderId="3">
      <alignment horizontal="distributed" vertical="center"/>
      <protection/>
    </xf>
    <xf numFmtId="0" fontId="6" fillId="0" borderId="22">
      <alignment horizontal="distributed" vertical="top"/>
      <protection/>
    </xf>
    <xf numFmtId="0" fontId="6" fillId="0" borderId="23">
      <alignment horizontal="distributed"/>
      <protection/>
    </xf>
    <xf numFmtId="178" fontId="45" fillId="0" borderId="0">
      <alignment vertical="center"/>
      <protection/>
    </xf>
    <xf numFmtId="0" fontId="115" fillId="34" borderId="0" applyNumberFormat="0" applyBorder="0" applyAlignment="0" applyProtection="0"/>
    <xf numFmtId="0" fontId="6" fillId="0" borderId="0">
      <alignment/>
      <protection/>
    </xf>
    <xf numFmtId="0" fontId="116" fillId="26" borderId="24" applyNumberFormat="0" applyAlignment="0" applyProtection="0"/>
    <xf numFmtId="197" fontId="12" fillId="0" borderId="0" applyFont="0" applyFill="0" applyBorder="0" applyProtection="0">
      <alignment vertical="center"/>
    </xf>
    <xf numFmtId="38" fontId="34" fillId="0" borderId="0" applyFont="0" applyFill="0" applyBorder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6" fillId="0" borderId="0" applyNumberFormat="0" applyFont="0" applyFill="0" applyBorder="0" applyProtection="0">
      <alignment vertical="center"/>
    </xf>
    <xf numFmtId="186" fontId="13" fillId="30" borderId="0" applyFill="0" applyBorder="0" applyProtection="0">
      <alignment horizontal="right"/>
    </xf>
    <xf numFmtId="38" fontId="34" fillId="0" borderId="0" applyFont="0" applyFill="0" applyBorder="0" applyAlignment="0" applyProtection="0"/>
    <xf numFmtId="18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6" fillId="0" borderId="0">
      <alignment/>
      <protection locked="0"/>
    </xf>
    <xf numFmtId="0" fontId="2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" fillId="0" borderId="10">
      <alignment vertical="center" wrapText="1"/>
      <protection/>
    </xf>
    <xf numFmtId="14" fontId="4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25">
      <alignment/>
      <protection locked="0"/>
    </xf>
    <xf numFmtId="209" fontId="6" fillId="0" borderId="0">
      <alignment/>
      <protection locked="0"/>
    </xf>
    <xf numFmtId="210" fontId="6" fillId="0" borderId="0">
      <alignment/>
      <protection locked="0"/>
    </xf>
    <xf numFmtId="3" fontId="0" fillId="0" borderId="0">
      <alignment/>
      <protection/>
    </xf>
    <xf numFmtId="211" fontId="15" fillId="35" borderId="26">
      <alignment horizontal="center" vertical="center"/>
      <protection/>
    </xf>
    <xf numFmtId="193" fontId="12" fillId="0" borderId="0">
      <alignment/>
      <protection locked="0"/>
    </xf>
    <xf numFmtId="0" fontId="12" fillId="0" borderId="0">
      <alignment/>
      <protection locked="0"/>
    </xf>
    <xf numFmtId="193" fontId="12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12" fillId="0" borderId="0">
      <alignment/>
      <protection locked="0"/>
    </xf>
    <xf numFmtId="0" fontId="25" fillId="0" borderId="0">
      <alignment/>
      <protection/>
    </xf>
    <xf numFmtId="193" fontId="12" fillId="0" borderId="0">
      <alignment/>
      <protection locked="0"/>
    </xf>
    <xf numFmtId="193" fontId="12" fillId="0" borderId="0">
      <alignment/>
      <protection locked="0"/>
    </xf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8" fillId="0" borderId="0" applyFont="0" applyFill="0" applyBorder="0" applyAlignment="0" applyProtection="0"/>
    <xf numFmtId="4" fontId="24" fillId="0" borderId="0">
      <alignment/>
      <protection locked="0"/>
    </xf>
    <xf numFmtId="186" fontId="12" fillId="0" borderId="0">
      <alignment/>
      <protection locked="0"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93" fontId="12" fillId="0" borderId="0">
      <alignment/>
      <protection locked="0"/>
    </xf>
    <xf numFmtId="0" fontId="52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12" fillId="0" borderId="0" applyFill="0" applyBorder="0" applyAlignment="0"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25">
      <alignment/>
      <protection locked="0"/>
    </xf>
    <xf numFmtId="4" fontId="24" fillId="0" borderId="0">
      <alignment/>
      <protection locked="0"/>
    </xf>
    <xf numFmtId="0" fontId="2" fillId="0" borderId="0" applyFont="0" applyFill="0" applyBorder="0" applyAlignment="0" applyProtection="0"/>
    <xf numFmtId="213" fontId="23" fillId="0" borderId="0">
      <alignment/>
      <protection/>
    </xf>
    <xf numFmtId="0" fontId="2" fillId="0" borderId="0" applyFont="0" applyFill="0" applyBorder="0" applyAlignment="0" applyProtection="0"/>
    <xf numFmtId="214" fontId="24" fillId="0" borderId="0">
      <alignment/>
      <protection locked="0"/>
    </xf>
    <xf numFmtId="0" fontId="56" fillId="0" borderId="0" applyNumberFormat="0" applyAlignment="0">
      <protection/>
    </xf>
    <xf numFmtId="0" fontId="19" fillId="0" borderId="0" applyFont="0" applyFill="0" applyBorder="0" applyAlignment="0" applyProtection="0"/>
    <xf numFmtId="0" fontId="6" fillId="0" borderId="0">
      <alignment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4" fillId="0" borderId="0">
      <alignment/>
      <protection locked="0"/>
    </xf>
    <xf numFmtId="216" fontId="23" fillId="0" borderId="0">
      <alignment/>
      <protection/>
    </xf>
    <xf numFmtId="217" fontId="57" fillId="0" borderId="0">
      <alignment/>
      <protection locked="0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218" fontId="23" fillId="0" borderId="0">
      <alignment/>
      <protection/>
    </xf>
    <xf numFmtId="219" fontId="12" fillId="0" borderId="0">
      <alignment/>
      <protection locked="0"/>
    </xf>
    <xf numFmtId="220" fontId="12" fillId="0" borderId="0">
      <alignment/>
      <protection locked="0"/>
    </xf>
    <xf numFmtId="0" fontId="58" fillId="0" borderId="0" applyNumberFormat="0" applyAlignment="0">
      <protection/>
    </xf>
    <xf numFmtId="221" fontId="13" fillId="0" borderId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222" fontId="2" fillId="0" borderId="0">
      <alignment/>
      <protection locked="0"/>
    </xf>
    <xf numFmtId="0" fontId="6" fillId="0" borderId="0">
      <alignment/>
      <protection/>
    </xf>
    <xf numFmtId="38" fontId="60" fillId="36" borderId="0" applyNumberFormat="0" applyBorder="0" applyAlignment="0" applyProtection="0"/>
    <xf numFmtId="0" fontId="61" fillId="0" borderId="0" applyAlignment="0"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27" applyNumberFormat="0" applyAlignment="0" applyProtection="0"/>
    <xf numFmtId="0" fontId="65" fillId="0" borderId="28">
      <alignment horizontal="left" vertical="center"/>
      <protection/>
    </xf>
    <xf numFmtId="0" fontId="31" fillId="0" borderId="0">
      <alignment/>
      <protection locked="0"/>
    </xf>
    <xf numFmtId="0" fontId="31" fillId="0" borderId="0">
      <alignment/>
      <protection locked="0"/>
    </xf>
    <xf numFmtId="223" fontId="15" fillId="0" borderId="0">
      <alignment/>
      <protection locked="0"/>
    </xf>
    <xf numFmtId="223" fontId="15" fillId="0" borderId="0">
      <alignment/>
      <protection locked="0"/>
    </xf>
    <xf numFmtId="0" fontId="66" fillId="0" borderId="0" applyNumberFormat="0" applyFill="0" applyBorder="0" applyAlignment="0" applyProtection="0"/>
    <xf numFmtId="0" fontId="67" fillId="0" borderId="29" applyNumberFormat="0" applyFill="0" applyAlignment="0" applyProtection="0"/>
    <xf numFmtId="0" fontId="68" fillId="0" borderId="0" applyNumberFormat="0" applyFill="0" applyBorder="0" applyAlignment="0" applyProtection="0"/>
    <xf numFmtId="10" fontId="60" fillId="37" borderId="3" applyNumberFormat="0" applyBorder="0" applyAlignment="0" applyProtection="0"/>
    <xf numFmtId="17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9" fillId="0" borderId="3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70" fillId="0" borderId="0">
      <alignment/>
      <protection/>
    </xf>
    <xf numFmtId="0" fontId="6" fillId="0" borderId="0">
      <alignment/>
      <protection/>
    </xf>
    <xf numFmtId="224" fontId="1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 locked="0"/>
    </xf>
    <xf numFmtId="10" fontId="2" fillId="0" borderId="0" applyFont="0" applyFill="0" applyBorder="0" applyAlignment="0" applyProtection="0"/>
    <xf numFmtId="225" fontId="6" fillId="0" borderId="0">
      <alignment/>
      <protection locked="0"/>
    </xf>
    <xf numFmtId="30" fontId="72" fillId="0" borderId="0" applyNumberFormat="0" applyFill="0" applyBorder="0" applyAlignment="0" applyProtection="0"/>
    <xf numFmtId="0" fontId="25" fillId="0" borderId="0">
      <alignment/>
      <protection/>
    </xf>
    <xf numFmtId="0" fontId="74" fillId="0" borderId="0">
      <alignment horizontal="center" vertical="center"/>
      <protection/>
    </xf>
    <xf numFmtId="0" fontId="69" fillId="0" borderId="0">
      <alignment/>
      <protection/>
    </xf>
    <xf numFmtId="40" fontId="75" fillId="0" borderId="0" applyBorder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36" borderId="0">
      <alignment horizontal="centerContinuous"/>
      <protection/>
    </xf>
    <xf numFmtId="0" fontId="77" fillId="0" borderId="0" applyFill="0" applyBorder="0" applyProtection="0">
      <alignment horizontal="centerContinuous" vertical="center"/>
    </xf>
    <xf numFmtId="0" fontId="15" fillId="30" borderId="0" applyFill="0" applyBorder="0" applyProtection="0">
      <alignment horizontal="center" vertical="center"/>
    </xf>
    <xf numFmtId="223" fontId="15" fillId="0" borderId="31">
      <alignment/>
      <protection locked="0"/>
    </xf>
    <xf numFmtId="0" fontId="3" fillId="0" borderId="32">
      <alignment horizontal="left"/>
      <protection/>
    </xf>
    <xf numFmtId="37" fontId="60" fillId="38" borderId="0" applyNumberFormat="0" applyBorder="0" applyAlignment="0" applyProtection="0"/>
    <xf numFmtId="37" fontId="60" fillId="0" borderId="0">
      <alignment/>
      <protection/>
    </xf>
    <xf numFmtId="3" fontId="78" fillId="0" borderId="29" applyProtection="0">
      <alignment/>
    </xf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810">
    <xf numFmtId="0" fontId="0" fillId="0" borderId="0" xfId="0" applyAlignment="1">
      <alignment vertical="center"/>
    </xf>
    <xf numFmtId="0" fontId="0" fillId="30" borderId="33" xfId="897" applyNumberFormat="1" applyFont="1" applyFill="1" applyBorder="1" applyAlignment="1">
      <alignment horizontal="center" vertical="center"/>
    </xf>
    <xf numFmtId="0" fontId="0" fillId="30" borderId="34" xfId="0" applyNumberFormat="1" applyFont="1" applyFill="1" applyBorder="1" applyAlignment="1">
      <alignment horizontal="center" vertical="center"/>
    </xf>
    <xf numFmtId="0" fontId="0" fillId="30" borderId="5" xfId="0" applyNumberFormat="1" applyFont="1" applyFill="1" applyBorder="1" applyAlignment="1">
      <alignment horizontal="center" vertical="center"/>
    </xf>
    <xf numFmtId="0" fontId="0" fillId="30" borderId="35" xfId="0" applyNumberFormat="1" applyFont="1" applyFill="1" applyBorder="1" applyAlignment="1">
      <alignment horizontal="center" vertical="center"/>
    </xf>
    <xf numFmtId="0" fontId="0" fillId="30" borderId="36" xfId="0" applyNumberFormat="1" applyFont="1" applyFill="1" applyBorder="1" applyAlignment="1">
      <alignment horizontal="center" vertical="center"/>
    </xf>
    <xf numFmtId="0" fontId="0" fillId="30" borderId="28" xfId="51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 wrapText="1"/>
    </xf>
    <xf numFmtId="0" fontId="0" fillId="30" borderId="38" xfId="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/>
    </xf>
    <xf numFmtId="0" fontId="0" fillId="30" borderId="33" xfId="510" applyNumberFormat="1" applyFont="1" applyFill="1" applyBorder="1" applyAlignment="1">
      <alignment horizontal="center" vertical="center"/>
    </xf>
    <xf numFmtId="0" fontId="0" fillId="30" borderId="2" xfId="510" applyNumberFormat="1" applyFont="1" applyFill="1" applyBorder="1" applyAlignment="1">
      <alignment horizontal="center" vertical="center"/>
    </xf>
    <xf numFmtId="0" fontId="0" fillId="30" borderId="34" xfId="510" applyNumberFormat="1" applyFont="1" applyFill="1" applyBorder="1" applyAlignment="1">
      <alignment horizontal="center" vertical="center"/>
    </xf>
    <xf numFmtId="0" fontId="0" fillId="30" borderId="35" xfId="51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 wrapText="1"/>
    </xf>
    <xf numFmtId="0" fontId="0" fillId="30" borderId="34" xfId="0" applyNumberFormat="1" applyFont="1" applyFill="1" applyBorder="1" applyAlignment="1">
      <alignment horizontal="center" vertical="center" wrapText="1"/>
    </xf>
    <xf numFmtId="0" fontId="0" fillId="30" borderId="5" xfId="0" applyNumberFormat="1" applyFont="1" applyFill="1" applyBorder="1" applyAlignment="1">
      <alignment horizontal="center" vertical="center" wrapText="1"/>
    </xf>
    <xf numFmtId="0" fontId="0" fillId="30" borderId="39" xfId="0" applyNumberFormat="1" applyFont="1" applyFill="1" applyBorder="1" applyAlignment="1">
      <alignment horizontal="center" vertical="center" wrapText="1"/>
    </xf>
    <xf numFmtId="0" fontId="0" fillId="30" borderId="4" xfId="0" applyNumberFormat="1" applyFont="1" applyFill="1" applyBorder="1" applyAlignment="1">
      <alignment horizontal="center" vertical="center" wrapText="1"/>
    </xf>
    <xf numFmtId="0" fontId="0" fillId="30" borderId="33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center" vertical="center"/>
    </xf>
    <xf numFmtId="0" fontId="0" fillId="30" borderId="2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distributed" vertical="center"/>
    </xf>
    <xf numFmtId="0" fontId="0" fillId="0" borderId="28" xfId="510" applyNumberFormat="1" applyFont="1" applyBorder="1" applyAlignment="1">
      <alignment horizontal="distributed" vertical="center"/>
    </xf>
    <xf numFmtId="0" fontId="0" fillId="0" borderId="33" xfId="510" applyNumberFormat="1" applyFont="1" applyBorder="1" applyAlignment="1">
      <alignment horizontal="center" vertical="center"/>
    </xf>
    <xf numFmtId="0" fontId="0" fillId="0" borderId="0" xfId="510" applyNumberFormat="1" applyFont="1" applyBorder="1" applyAlignment="1">
      <alignment horizontal="distributed" vertical="center"/>
    </xf>
    <xf numFmtId="0" fontId="0" fillId="0" borderId="0" xfId="510" applyNumberFormat="1" applyFont="1" applyBorder="1" applyAlignment="1">
      <alignment horizontal="center" vertical="center"/>
    </xf>
    <xf numFmtId="0" fontId="1" fillId="30" borderId="0" xfId="510" applyNumberFormat="1" applyFont="1" applyFill="1" applyBorder="1" applyAlignment="1" quotePrefix="1">
      <alignment horizontal="centerContinuous" vertical="center"/>
    </xf>
    <xf numFmtId="0" fontId="1" fillId="30" borderId="0" xfId="510" applyNumberFormat="1" applyFont="1" applyFill="1" applyAlignment="1" quotePrefix="1">
      <alignment horizontal="centerContinuous" vertical="center"/>
    </xf>
    <xf numFmtId="0" fontId="0" fillId="30" borderId="0" xfId="510" applyNumberFormat="1" applyFont="1" applyFill="1" applyBorder="1" applyAlignment="1" quotePrefix="1">
      <alignment horizontal="centerContinuous" vertical="center"/>
    </xf>
    <xf numFmtId="0" fontId="0" fillId="30" borderId="0" xfId="510" applyNumberFormat="1" applyFont="1" applyFill="1" applyAlignment="1" quotePrefix="1">
      <alignment horizontal="centerContinuous" vertical="center"/>
    </xf>
    <xf numFmtId="0" fontId="0" fillId="30" borderId="0" xfId="510" applyNumberFormat="1" applyFont="1" applyFill="1" applyAlignment="1">
      <alignment horizontal="center" vertical="center"/>
    </xf>
    <xf numFmtId="0" fontId="0" fillId="30" borderId="0" xfId="510" applyNumberFormat="1" applyFont="1" applyFill="1" applyBorder="1" applyAlignment="1">
      <alignment horizontal="center" vertical="center"/>
    </xf>
    <xf numFmtId="0" fontId="0" fillId="30" borderId="38" xfId="510" applyNumberFormat="1" applyFont="1" applyFill="1" applyBorder="1" applyAlignment="1">
      <alignment horizontal="center" vertical="center"/>
    </xf>
    <xf numFmtId="0" fontId="0" fillId="30" borderId="22" xfId="510" applyNumberFormat="1" applyFont="1" applyFill="1" applyBorder="1" applyAlignment="1">
      <alignment horizontal="center" vertical="center"/>
    </xf>
    <xf numFmtId="0" fontId="0" fillId="30" borderId="28" xfId="510" applyNumberFormat="1" applyFont="1" applyFill="1" applyBorder="1" applyAlignment="1">
      <alignment horizontal="distributed" vertical="center"/>
    </xf>
    <xf numFmtId="0" fontId="0" fillId="30" borderId="2" xfId="0" applyNumberFormat="1" applyFont="1" applyFill="1" applyBorder="1" applyAlignment="1">
      <alignment horizontal="center" vertical="center" wrapText="1"/>
    </xf>
    <xf numFmtId="0" fontId="0" fillId="30" borderId="28" xfId="0" applyNumberFormat="1" applyFont="1" applyFill="1" applyBorder="1" applyAlignment="1">
      <alignment horizontal="center" vertical="center" wrapText="1"/>
    </xf>
    <xf numFmtId="0" fontId="0" fillId="30" borderId="33" xfId="0" applyNumberFormat="1" applyFont="1" applyFill="1" applyBorder="1" applyAlignment="1">
      <alignment horizontal="center" vertical="center" wrapText="1"/>
    </xf>
    <xf numFmtId="0" fontId="0" fillId="30" borderId="0" xfId="510" applyNumberFormat="1" applyFont="1" applyFill="1" applyBorder="1" applyAlignment="1">
      <alignment horizontal="distributed" vertical="center"/>
    </xf>
    <xf numFmtId="0" fontId="0" fillId="30" borderId="39" xfId="510" applyNumberFormat="1" applyFont="1" applyFill="1" applyBorder="1" applyAlignment="1">
      <alignment horizontal="center" vertical="center"/>
    </xf>
    <xf numFmtId="0" fontId="20" fillId="30" borderId="39" xfId="917" applyNumberFormat="1" applyFont="1" applyFill="1" applyBorder="1" applyAlignment="1">
      <alignment vertical="center"/>
      <protection/>
    </xf>
    <xf numFmtId="0" fontId="20" fillId="0" borderId="0" xfId="918" applyNumberFormat="1" applyFont="1" applyAlignment="1">
      <alignment horizontal="left" vertical="center"/>
      <protection/>
    </xf>
    <xf numFmtId="0" fontId="20" fillId="30" borderId="0" xfId="917" applyNumberFormat="1" applyFont="1" applyFill="1" applyAlignment="1">
      <alignment vertical="center"/>
      <protection/>
    </xf>
    <xf numFmtId="0" fontId="21" fillId="0" borderId="0" xfId="918" applyNumberFormat="1" applyFont="1" applyAlignment="1">
      <alignment horizontal="centerContinuous" vertical="center"/>
      <protection/>
    </xf>
    <xf numFmtId="0" fontId="21" fillId="30" borderId="0" xfId="917" applyNumberFormat="1" applyFont="1" applyFill="1" applyAlignment="1">
      <alignment horizontal="centerContinuous" vertical="center"/>
      <protection/>
    </xf>
    <xf numFmtId="0" fontId="21" fillId="30" borderId="0" xfId="917" applyNumberFormat="1" applyFont="1" applyFill="1" applyAlignment="1">
      <alignment vertical="center"/>
      <protection/>
    </xf>
    <xf numFmtId="0" fontId="20" fillId="30" borderId="2" xfId="917" applyNumberFormat="1" applyFont="1" applyFill="1" applyBorder="1" applyAlignment="1">
      <alignment vertical="center"/>
      <protection/>
    </xf>
    <xf numFmtId="0" fontId="20" fillId="30" borderId="28" xfId="917" applyNumberFormat="1" applyFont="1" applyFill="1" applyBorder="1" applyAlignment="1">
      <alignment horizontal="center" vertical="center"/>
      <protection/>
    </xf>
    <xf numFmtId="0" fontId="20" fillId="30" borderId="28" xfId="917" applyNumberFormat="1" applyFont="1" applyFill="1" applyBorder="1" applyAlignment="1">
      <alignment vertical="center"/>
      <protection/>
    </xf>
    <xf numFmtId="0" fontId="20" fillId="30" borderId="3" xfId="917" applyNumberFormat="1" applyFont="1" applyFill="1" applyBorder="1" applyAlignment="1">
      <alignment horizontal="center" vertical="center" wrapText="1"/>
      <protection/>
    </xf>
    <xf numFmtId="0" fontId="20" fillId="30" borderId="3" xfId="917" applyNumberFormat="1" applyFont="1" applyFill="1" applyBorder="1" applyAlignment="1">
      <alignment horizontal="center" vertical="center"/>
      <protection/>
    </xf>
    <xf numFmtId="0" fontId="20" fillId="30" borderId="36" xfId="917" applyNumberFormat="1" applyFont="1" applyFill="1" applyBorder="1" applyAlignment="1">
      <alignment vertical="center"/>
      <protection/>
    </xf>
    <xf numFmtId="0" fontId="20" fillId="30" borderId="37" xfId="917" applyNumberFormat="1" applyFont="1" applyFill="1" applyBorder="1" applyAlignment="1">
      <alignment vertical="center"/>
      <protection/>
    </xf>
    <xf numFmtId="0" fontId="20" fillId="30" borderId="35" xfId="917" applyNumberFormat="1" applyFont="1" applyFill="1" applyBorder="1" applyAlignment="1">
      <alignment vertical="center"/>
      <protection/>
    </xf>
    <xf numFmtId="0" fontId="20" fillId="30" borderId="4" xfId="917" applyNumberFormat="1" applyFont="1" applyFill="1" applyBorder="1" applyAlignment="1">
      <alignment vertical="center"/>
      <protection/>
    </xf>
    <xf numFmtId="0" fontId="20" fillId="30" borderId="0" xfId="917" applyNumberFormat="1" applyFont="1" applyFill="1" applyBorder="1" applyAlignment="1">
      <alignment horizontal="distributed" vertical="center"/>
      <protection/>
    </xf>
    <xf numFmtId="0" fontId="20" fillId="30" borderId="39" xfId="917" applyNumberFormat="1" applyFont="1" applyFill="1" applyBorder="1" applyAlignment="1">
      <alignment horizontal="center" vertical="center"/>
      <protection/>
    </xf>
    <xf numFmtId="0" fontId="20" fillId="30" borderId="5" xfId="917" applyNumberFormat="1" applyFont="1" applyFill="1" applyBorder="1" applyAlignment="1">
      <alignment vertical="center"/>
      <protection/>
    </xf>
    <xf numFmtId="0" fontId="20" fillId="30" borderId="40" xfId="917" applyNumberFormat="1" applyFont="1" applyFill="1" applyBorder="1" applyAlignment="1">
      <alignment horizontal="distributed" vertical="center"/>
      <protection/>
    </xf>
    <xf numFmtId="0" fontId="20" fillId="30" borderId="34" xfId="917" applyNumberFormat="1" applyFont="1" applyFill="1" applyBorder="1" applyAlignment="1">
      <alignment vertical="center"/>
      <protection/>
    </xf>
    <xf numFmtId="0" fontId="20" fillId="30" borderId="34" xfId="917" applyNumberFormat="1" applyFont="1" applyFill="1" applyBorder="1" applyAlignment="1">
      <alignment horizontal="center" vertical="center"/>
      <protection/>
    </xf>
    <xf numFmtId="0" fontId="21" fillId="30" borderId="0" xfId="917" applyNumberFormat="1" applyFont="1" applyFill="1" applyAlignment="1">
      <alignment horizontal="center" vertical="center"/>
      <protection/>
    </xf>
    <xf numFmtId="0" fontId="20" fillId="30" borderId="0" xfId="917" applyFont="1" applyFill="1" applyBorder="1" applyAlignment="1">
      <alignment vertical="center"/>
      <protection/>
    </xf>
    <xf numFmtId="179" fontId="20" fillId="30" borderId="39" xfId="917" applyNumberFormat="1" applyFont="1" applyFill="1" applyBorder="1" applyAlignment="1">
      <alignment horizontal="center" vertical="center"/>
      <protection/>
    </xf>
    <xf numFmtId="0" fontId="0" fillId="0" borderId="0" xfId="918" applyNumberFormat="1" applyFont="1" applyAlignment="1">
      <alignment horizontal="left" vertical="center"/>
      <protection/>
    </xf>
    <xf numFmtId="0" fontId="1" fillId="0" borderId="0" xfId="918" applyNumberFormat="1" applyFont="1" applyAlignment="1">
      <alignment horizontal="centerContinuous" vertical="center"/>
      <protection/>
    </xf>
    <xf numFmtId="0" fontId="1" fillId="0" borderId="0" xfId="918" applyNumberFormat="1" applyFont="1" applyAlignment="1">
      <alignment vertical="center"/>
      <protection/>
    </xf>
    <xf numFmtId="0" fontId="0" fillId="0" borderId="36" xfId="918" applyNumberFormat="1" applyFont="1" applyBorder="1" applyAlignment="1">
      <alignment vertical="center"/>
      <protection/>
    </xf>
    <xf numFmtId="0" fontId="0" fillId="0" borderId="37" xfId="918" applyNumberFormat="1" applyFont="1" applyBorder="1" applyAlignment="1">
      <alignment horizontal="center" vertical="center"/>
      <protection/>
    </xf>
    <xf numFmtId="0" fontId="0" fillId="0" borderId="35" xfId="918" applyNumberFormat="1" applyFont="1" applyBorder="1" applyAlignment="1">
      <alignment horizontal="center" vertical="center"/>
      <protection/>
    </xf>
    <xf numFmtId="0" fontId="0" fillId="0" borderId="23" xfId="918" applyNumberFormat="1" applyFont="1" applyBorder="1" applyAlignment="1">
      <alignment horizontal="centerContinuous" vertical="center"/>
      <protection/>
    </xf>
    <xf numFmtId="0" fontId="0" fillId="0" borderId="0" xfId="918" applyNumberFormat="1" applyFont="1" applyBorder="1" applyAlignment="1">
      <alignment vertical="center"/>
      <protection/>
    </xf>
    <xf numFmtId="0" fontId="0" fillId="0" borderId="5" xfId="918" applyNumberFormat="1" applyFont="1" applyBorder="1" applyAlignment="1">
      <alignment vertical="center"/>
      <protection/>
    </xf>
    <xf numFmtId="0" fontId="0" fillId="0" borderId="40" xfId="918" applyNumberFormat="1" applyFont="1" applyBorder="1" applyAlignment="1">
      <alignment horizontal="center" vertical="center"/>
      <protection/>
    </xf>
    <xf numFmtId="0" fontId="0" fillId="0" borderId="34" xfId="918" applyNumberFormat="1" applyFont="1" applyBorder="1" applyAlignment="1">
      <alignment horizontal="center" vertical="center"/>
      <protection/>
    </xf>
    <xf numFmtId="0" fontId="0" fillId="0" borderId="3" xfId="918" applyNumberFormat="1" applyFont="1" applyBorder="1" applyAlignment="1">
      <alignment horizontal="centerContinuous" vertical="center"/>
      <protection/>
    </xf>
    <xf numFmtId="0" fontId="0" fillId="0" borderId="4" xfId="918" applyNumberFormat="1" applyFont="1" applyBorder="1" applyAlignment="1">
      <alignment vertical="center"/>
      <protection/>
    </xf>
    <xf numFmtId="0" fontId="0" fillId="0" borderId="39" xfId="918" applyNumberFormat="1" applyFont="1" applyBorder="1" applyAlignment="1">
      <alignment vertical="center"/>
      <protection/>
    </xf>
    <xf numFmtId="0" fontId="0" fillId="0" borderId="38" xfId="918" applyNumberFormat="1" applyFont="1" applyBorder="1" applyAlignment="1">
      <alignment horizontal="center" vertical="center"/>
      <protection/>
    </xf>
    <xf numFmtId="0" fontId="0" fillId="0" borderId="38" xfId="918" applyNumberFormat="1" applyFont="1" applyBorder="1" applyAlignment="1">
      <alignment horizontal="centerContinuous" vertical="center"/>
      <protection/>
    </xf>
    <xf numFmtId="0" fontId="0" fillId="0" borderId="38" xfId="898" applyNumberFormat="1" applyFont="1" applyBorder="1" applyAlignment="1">
      <alignment horizontal="center" vertical="center"/>
    </xf>
    <xf numFmtId="0" fontId="0" fillId="0" borderId="0" xfId="918" applyNumberFormat="1" applyFont="1" applyAlignment="1">
      <alignment vertical="center"/>
      <protection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918" applyNumberFormat="1" applyFont="1" applyBorder="1" applyAlignment="1">
      <alignment horizontal="distributed" vertical="center"/>
      <protection/>
    </xf>
    <xf numFmtId="0" fontId="0" fillId="0" borderId="0" xfId="918" applyNumberFormat="1" applyFont="1" applyBorder="1" applyAlignment="1">
      <alignment horizontal="center" vertical="center"/>
      <protection/>
    </xf>
    <xf numFmtId="0" fontId="0" fillId="0" borderId="40" xfId="0" applyNumberFormat="1" applyFont="1" applyBorder="1" applyAlignment="1">
      <alignment horizontal="distributed" vertical="center"/>
    </xf>
    <xf numFmtId="0" fontId="0" fillId="0" borderId="40" xfId="918" applyNumberFormat="1" applyFont="1" applyBorder="1" applyAlignment="1">
      <alignment vertical="center"/>
      <protection/>
    </xf>
    <xf numFmtId="0" fontId="0" fillId="0" borderId="34" xfId="918" applyNumberFormat="1" applyFont="1" applyBorder="1" applyAlignment="1">
      <alignment vertical="center"/>
      <protection/>
    </xf>
    <xf numFmtId="0" fontId="0" fillId="0" borderId="22" xfId="510" applyNumberFormat="1" applyFont="1" applyBorder="1" applyAlignment="1">
      <alignment horizontal="centerContinuous" vertical="center"/>
    </xf>
    <xf numFmtId="0" fontId="0" fillId="0" borderId="22" xfId="918" applyNumberFormat="1" applyFont="1" applyBorder="1" applyAlignment="1">
      <alignment horizontal="centerContinuous" vertical="center"/>
      <protection/>
    </xf>
    <xf numFmtId="0" fontId="0" fillId="0" borderId="0" xfId="898" applyNumberFormat="1" applyFont="1" applyAlignment="1">
      <alignment vertical="center"/>
    </xf>
    <xf numFmtId="0" fontId="0" fillId="0" borderId="0" xfId="918" applyNumberFormat="1" applyFont="1" applyAlignment="1" quotePrefix="1">
      <alignment horizontal="left" vertical="center"/>
      <protection/>
    </xf>
    <xf numFmtId="179" fontId="0" fillId="0" borderId="0" xfId="918" applyNumberFormat="1" applyFont="1" applyAlignment="1">
      <alignment horizontal="center" vertical="center"/>
      <protection/>
    </xf>
    <xf numFmtId="179" fontId="0" fillId="0" borderId="0" xfId="918" applyNumberFormat="1" applyFont="1" applyBorder="1" applyAlignment="1">
      <alignment horizontal="center" vertical="center"/>
      <protection/>
    </xf>
    <xf numFmtId="179" fontId="0" fillId="0" borderId="38" xfId="510" applyNumberFormat="1" applyFont="1" applyBorder="1" applyAlignment="1">
      <alignment horizontal="right" vertical="center"/>
    </xf>
    <xf numFmtId="0" fontId="0" fillId="0" borderId="4" xfId="918" applyNumberFormat="1" applyFont="1" applyBorder="1" applyAlignment="1">
      <alignment horizontal="center" vertical="center"/>
      <protection/>
    </xf>
    <xf numFmtId="0" fontId="0" fillId="0" borderId="39" xfId="918" applyNumberFormat="1" applyFont="1" applyBorder="1" applyAlignment="1">
      <alignment horizontal="center" vertical="center"/>
      <protection/>
    </xf>
    <xf numFmtId="0" fontId="0" fillId="0" borderId="0" xfId="918" applyNumberFormat="1" applyFont="1" applyAlignment="1">
      <alignment horizontal="centerContinuous" vertical="center"/>
      <protection/>
    </xf>
    <xf numFmtId="0" fontId="20" fillId="0" borderId="0" xfId="926" applyNumberFormat="1" applyFont="1" applyBorder="1" applyAlignment="1">
      <alignment horizontal="left" vertical="center"/>
      <protection/>
    </xf>
    <xf numFmtId="0" fontId="20" fillId="0" borderId="0" xfId="926" applyNumberFormat="1" applyFont="1" applyAlignment="1" quotePrefix="1">
      <alignment horizontal="left" vertical="center"/>
      <protection/>
    </xf>
    <xf numFmtId="0" fontId="20" fillId="0" borderId="0" xfId="926" applyNumberFormat="1" applyFont="1" applyAlignment="1">
      <alignment vertical="center"/>
      <protection/>
    </xf>
    <xf numFmtId="0" fontId="20" fillId="0" borderId="0" xfId="510" applyNumberFormat="1" applyFont="1" applyBorder="1" applyAlignment="1" quotePrefix="1">
      <alignment horizontal="left" vertical="center"/>
    </xf>
    <xf numFmtId="0" fontId="21" fillId="0" borderId="0" xfId="926" applyNumberFormat="1" applyFont="1" applyBorder="1" applyAlignment="1">
      <alignment horizontal="centerContinuous" vertical="center"/>
      <protection/>
    </xf>
    <xf numFmtId="0" fontId="20" fillId="0" borderId="0" xfId="926" applyNumberFormat="1" applyFont="1" applyAlignment="1">
      <alignment horizontal="centerContinuous" vertical="center"/>
      <protection/>
    </xf>
    <xf numFmtId="0" fontId="20" fillId="0" borderId="0" xfId="510" applyNumberFormat="1" applyFont="1" applyBorder="1" applyAlignment="1">
      <alignment horizontal="centerContinuous" vertical="center"/>
    </xf>
    <xf numFmtId="0" fontId="20" fillId="0" borderId="0" xfId="919" applyNumberFormat="1" applyFont="1" applyAlignment="1">
      <alignment vertical="center"/>
      <protection/>
    </xf>
    <xf numFmtId="0" fontId="20" fillId="0" borderId="2" xfId="926" applyNumberFormat="1" applyFont="1" applyBorder="1" applyAlignment="1">
      <alignment horizontal="centerContinuous" vertical="center"/>
      <protection/>
    </xf>
    <xf numFmtId="0" fontId="20" fillId="0" borderId="33" xfId="926" applyNumberFormat="1" applyFont="1" applyBorder="1" applyAlignment="1">
      <alignment horizontal="centerContinuous" vertical="center"/>
      <protection/>
    </xf>
    <xf numFmtId="0" fontId="20" fillId="0" borderId="28" xfId="510" applyNumberFormat="1" applyFont="1" applyBorder="1" applyAlignment="1">
      <alignment horizontal="centerContinuous" vertical="center"/>
    </xf>
    <xf numFmtId="0" fontId="20" fillId="0" borderId="3" xfId="926" applyNumberFormat="1" applyFont="1" applyBorder="1" applyAlignment="1">
      <alignment horizontal="center" vertical="center" wrapText="1"/>
      <protection/>
    </xf>
    <xf numFmtId="0" fontId="20" fillId="0" borderId="4" xfId="926" applyNumberFormat="1" applyFont="1" applyBorder="1" applyAlignment="1">
      <alignment horizontal="centerContinuous" vertical="center"/>
      <protection/>
    </xf>
    <xf numFmtId="0" fontId="20" fillId="0" borderId="0" xfId="926" applyNumberFormat="1" applyFont="1" applyBorder="1" applyAlignment="1">
      <alignment horizontal="centerContinuous" vertical="center" wrapText="1"/>
      <protection/>
    </xf>
    <xf numFmtId="0" fontId="20" fillId="0" borderId="0" xfId="926" applyNumberFormat="1" applyFont="1" applyBorder="1" applyAlignment="1">
      <alignment horizontal="centerContinuous" vertical="center"/>
      <protection/>
    </xf>
    <xf numFmtId="0" fontId="20" fillId="0" borderId="39" xfId="926" applyNumberFormat="1" applyFont="1" applyBorder="1" applyAlignment="1">
      <alignment horizontal="centerContinuous" vertical="center"/>
      <protection/>
    </xf>
    <xf numFmtId="0" fontId="20" fillId="0" borderId="4" xfId="926" applyNumberFormat="1" applyFont="1" applyBorder="1" applyAlignment="1">
      <alignment horizontal="centerContinuous" vertical="center" wrapText="1"/>
      <protection/>
    </xf>
    <xf numFmtId="0" fontId="20" fillId="0" borderId="39" xfId="926" applyNumberFormat="1" applyFont="1" applyBorder="1" applyAlignment="1">
      <alignment horizontal="centerContinuous" vertical="center" wrapText="1"/>
      <protection/>
    </xf>
    <xf numFmtId="0" fontId="20" fillId="0" borderId="38" xfId="926" applyNumberFormat="1" applyFont="1" applyBorder="1" applyAlignment="1">
      <alignment horizontal="center" vertical="center" wrapText="1"/>
      <protection/>
    </xf>
    <xf numFmtId="0" fontId="20" fillId="0" borderId="4" xfId="926" applyNumberFormat="1" applyFont="1" applyBorder="1" applyAlignment="1">
      <alignment vertical="center"/>
      <protection/>
    </xf>
    <xf numFmtId="0" fontId="20" fillId="0" borderId="0" xfId="926" applyNumberFormat="1" applyFont="1" applyBorder="1" applyAlignment="1">
      <alignment horizontal="center" vertical="center"/>
      <protection/>
    </xf>
    <xf numFmtId="0" fontId="20" fillId="0" borderId="0" xfId="926" applyNumberFormat="1" applyFont="1" applyBorder="1" applyAlignment="1">
      <alignment horizontal="distributed" vertical="center"/>
      <protection/>
    </xf>
    <xf numFmtId="0" fontId="20" fillId="0" borderId="39" xfId="926" applyNumberFormat="1" applyFont="1" applyBorder="1" applyAlignment="1">
      <alignment vertical="center"/>
      <protection/>
    </xf>
    <xf numFmtId="0" fontId="20" fillId="0" borderId="0" xfId="510" applyNumberFormat="1" applyFont="1" applyBorder="1" applyAlignment="1">
      <alignment vertical="center"/>
    </xf>
    <xf numFmtId="0" fontId="20" fillId="0" borderId="39" xfId="510" applyNumberFormat="1" applyFont="1" applyBorder="1" applyAlignment="1">
      <alignment vertical="center"/>
    </xf>
    <xf numFmtId="0" fontId="20" fillId="0" borderId="38" xfId="926" applyNumberFormat="1" applyFont="1" applyBorder="1" applyAlignment="1">
      <alignment horizontal="left" vertical="center"/>
      <protection/>
    </xf>
    <xf numFmtId="0" fontId="20" fillId="0" borderId="0" xfId="926" applyNumberFormat="1" applyFont="1" applyBorder="1" applyAlignment="1" quotePrefix="1">
      <alignment horizontal="center" vertical="center"/>
      <protection/>
    </xf>
    <xf numFmtId="0" fontId="20" fillId="0" borderId="0" xfId="926" applyNumberFormat="1" applyFont="1" applyBorder="1" applyAlignment="1">
      <alignment vertical="center"/>
      <protection/>
    </xf>
    <xf numFmtId="0" fontId="20" fillId="0" borderId="2" xfId="926" applyNumberFormat="1" applyFont="1" applyBorder="1" applyAlignment="1">
      <alignment horizontal="center" vertical="center"/>
      <protection/>
    </xf>
    <xf numFmtId="0" fontId="20" fillId="0" borderId="28" xfId="926" applyNumberFormat="1" applyFont="1" applyBorder="1" applyAlignment="1">
      <alignment horizontal="left" vertical="center"/>
      <protection/>
    </xf>
    <xf numFmtId="0" fontId="20" fillId="0" borderId="28" xfId="926" applyNumberFormat="1" applyFont="1" applyBorder="1" applyAlignment="1">
      <alignment horizontal="distributed" vertical="center"/>
      <protection/>
    </xf>
    <xf numFmtId="0" fontId="20" fillId="0" borderId="33" xfId="926" applyNumberFormat="1" applyFont="1" applyBorder="1" applyAlignment="1">
      <alignment horizontal="center" vertical="center"/>
      <protection/>
    </xf>
    <xf numFmtId="0" fontId="20" fillId="0" borderId="33" xfId="510" applyNumberFormat="1" applyFont="1" applyBorder="1" applyAlignment="1">
      <alignment vertical="center"/>
    </xf>
    <xf numFmtId="0" fontId="20" fillId="0" borderId="3" xfId="926" applyNumberFormat="1" applyFont="1" applyBorder="1" applyAlignment="1">
      <alignment horizontal="left" vertical="center"/>
      <protection/>
    </xf>
    <xf numFmtId="0" fontId="20" fillId="0" borderId="0" xfId="926" applyNumberFormat="1" applyFont="1" applyBorder="1" applyAlignment="1" quotePrefix="1">
      <alignment horizontal="left" vertical="center"/>
      <protection/>
    </xf>
    <xf numFmtId="0" fontId="20" fillId="0" borderId="0" xfId="920" applyNumberFormat="1" applyFont="1" applyAlignment="1">
      <alignment vertical="center"/>
      <protection/>
    </xf>
    <xf numFmtId="0" fontId="20" fillId="0" borderId="0" xfId="920" applyNumberFormat="1" applyFont="1" applyBorder="1" applyAlignment="1">
      <alignment vertical="center"/>
      <protection/>
    </xf>
    <xf numFmtId="0" fontId="0" fillId="30" borderId="0" xfId="926" applyNumberFormat="1" applyFont="1" applyFill="1" applyAlignment="1">
      <alignment horizontal="left" vertical="center"/>
      <protection/>
    </xf>
    <xf numFmtId="0" fontId="0" fillId="30" borderId="0" xfId="926" applyNumberFormat="1" applyFont="1" applyFill="1" applyAlignment="1" quotePrefix="1">
      <alignment horizontal="left" vertical="center"/>
      <protection/>
    </xf>
    <xf numFmtId="0" fontId="0" fillId="30" borderId="0" xfId="926" applyNumberFormat="1" applyFont="1" applyFill="1" applyAlignment="1">
      <alignment vertical="center"/>
      <protection/>
    </xf>
    <xf numFmtId="0" fontId="20" fillId="0" borderId="0" xfId="920" applyNumberFormat="1" applyFont="1" applyAlignment="1">
      <alignment horizontal="left" vertical="center"/>
      <protection/>
    </xf>
    <xf numFmtId="179" fontId="20" fillId="0" borderId="0" xfId="510" applyNumberFormat="1" applyFont="1" applyBorder="1" applyAlignment="1">
      <alignment horizontal="right" vertical="center"/>
    </xf>
    <xf numFmtId="179" fontId="20" fillId="0" borderId="4" xfId="510" applyNumberFormat="1" applyFont="1" applyBorder="1" applyAlignment="1">
      <alignment horizontal="right" vertical="center"/>
    </xf>
    <xf numFmtId="179" fontId="20" fillId="0" borderId="4" xfId="926" applyNumberFormat="1" applyFont="1" applyBorder="1" applyAlignment="1">
      <alignment horizontal="right" vertical="center"/>
      <protection/>
    </xf>
    <xf numFmtId="186" fontId="20" fillId="0" borderId="2" xfId="510" applyNumberFormat="1" applyFont="1" applyBorder="1" applyAlignment="1">
      <alignment horizontal="right" vertical="center"/>
    </xf>
    <xf numFmtId="186" fontId="20" fillId="0" borderId="28" xfId="510" applyNumberFormat="1" applyFont="1" applyBorder="1" applyAlignment="1">
      <alignment horizontal="right" vertical="center"/>
    </xf>
    <xf numFmtId="0" fontId="1" fillId="0" borderId="0" xfId="918" applyNumberFormat="1" applyFont="1" applyBorder="1" applyAlignment="1">
      <alignment horizontal="centerContinuous" vertical="center"/>
      <protection/>
    </xf>
    <xf numFmtId="179" fontId="0" fillId="0" borderId="40" xfId="918" applyNumberFormat="1" applyFont="1" applyBorder="1" applyAlignment="1">
      <alignment horizontal="center" vertical="center"/>
      <protection/>
    </xf>
    <xf numFmtId="179" fontId="0" fillId="0" borderId="22" xfId="510" applyNumberFormat="1" applyFont="1" applyBorder="1" applyAlignment="1">
      <alignment horizontal="right" vertical="center"/>
    </xf>
    <xf numFmtId="179" fontId="0" fillId="0" borderId="22" xfId="918" applyNumberFormat="1" applyFont="1" applyBorder="1" applyAlignment="1">
      <alignment horizontal="right" vertical="center"/>
      <protection/>
    </xf>
    <xf numFmtId="0" fontId="0" fillId="30" borderId="0" xfId="0" applyNumberFormat="1" applyFont="1" applyFill="1" applyBorder="1" applyAlignment="1">
      <alignment horizontal="centerContinuous" vertical="center"/>
    </xf>
    <xf numFmtId="0" fontId="0" fillId="30" borderId="0" xfId="0" applyNumberFormat="1" applyFont="1" applyFill="1" applyAlignment="1">
      <alignment horizontal="center" vertical="center"/>
    </xf>
    <xf numFmtId="0" fontId="1" fillId="30" borderId="0" xfId="510" applyNumberFormat="1" applyFont="1" applyFill="1" applyAlignment="1">
      <alignment horizontal="centerContinuous" vertical="center"/>
    </xf>
    <xf numFmtId="0" fontId="0" fillId="30" borderId="0" xfId="510" applyNumberFormat="1" applyFont="1" applyFill="1" applyBorder="1" applyAlignment="1">
      <alignment horizontal="centerContinuous" vertical="center"/>
    </xf>
    <xf numFmtId="0" fontId="0" fillId="30" borderId="0" xfId="511" applyNumberFormat="1" applyFont="1" applyFill="1" applyAlignment="1">
      <alignment horizontal="right" vertical="center"/>
    </xf>
    <xf numFmtId="0" fontId="0" fillId="30" borderId="22" xfId="0" applyNumberFormat="1" applyFont="1" applyFill="1" applyBorder="1" applyAlignment="1">
      <alignment horizontal="center" vertical="center"/>
    </xf>
    <xf numFmtId="0" fontId="0" fillId="30" borderId="39" xfId="510" applyNumberFormat="1" applyFont="1" applyFill="1" applyBorder="1" applyAlignment="1">
      <alignment horizontal="left" vertical="center"/>
    </xf>
    <xf numFmtId="0" fontId="0" fillId="30" borderId="34" xfId="510" applyNumberFormat="1" applyFont="1" applyFill="1" applyBorder="1" applyAlignment="1">
      <alignment horizontal="left" vertical="center"/>
    </xf>
    <xf numFmtId="0" fontId="0" fillId="30" borderId="0" xfId="510" applyNumberFormat="1" applyFont="1" applyFill="1" applyBorder="1" applyAlignment="1">
      <alignment vertical="center"/>
    </xf>
    <xf numFmtId="0" fontId="0" fillId="30" borderId="0" xfId="510" applyNumberFormat="1" applyFont="1" applyFill="1" applyAlignment="1">
      <alignment vertical="center"/>
    </xf>
    <xf numFmtId="179" fontId="0" fillId="30" borderId="38" xfId="510" applyNumberFormat="1" applyFont="1" applyFill="1" applyBorder="1" applyAlignment="1">
      <alignment horizontal="right" vertical="center"/>
    </xf>
    <xf numFmtId="179" fontId="0" fillId="30" borderId="22" xfId="510" applyNumberFormat="1" applyFont="1" applyFill="1" applyBorder="1" applyAlignment="1">
      <alignment horizontal="center" vertical="center"/>
    </xf>
    <xf numFmtId="179" fontId="0" fillId="30" borderId="22" xfId="510" applyNumberFormat="1" applyFont="1" applyFill="1" applyBorder="1" applyAlignment="1">
      <alignment horizontal="right" vertical="center"/>
    </xf>
    <xf numFmtId="0" fontId="0" fillId="30" borderId="39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Alignment="1">
      <alignment horizontal="centerContinuous" vertical="center"/>
    </xf>
    <xf numFmtId="0" fontId="1" fillId="30" borderId="0" xfId="0" applyNumberFormat="1" applyFont="1" applyFill="1" applyBorder="1" applyAlignment="1">
      <alignment horizontal="centerContinuous" vertical="center"/>
    </xf>
    <xf numFmtId="0" fontId="1" fillId="30" borderId="0" xfId="510" applyNumberFormat="1" applyFont="1" applyFill="1" applyBorder="1" applyAlignment="1">
      <alignment horizontal="centerContinuous" vertical="center"/>
    </xf>
    <xf numFmtId="0" fontId="1" fillId="30" borderId="0" xfId="0" applyNumberFormat="1" applyFont="1" applyFill="1" applyAlignment="1">
      <alignment horizontal="center" vertical="center"/>
    </xf>
    <xf numFmtId="0" fontId="0" fillId="30" borderId="0" xfId="0" applyNumberFormat="1" applyFont="1" applyFill="1" applyAlignment="1">
      <alignment horizontal="left" vertical="center"/>
    </xf>
    <xf numFmtId="0" fontId="0" fillId="30" borderId="0" xfId="0" applyNumberFormat="1" applyFont="1" applyFill="1" applyBorder="1" applyAlignment="1">
      <alignment horizontal="left" vertical="center"/>
    </xf>
    <xf numFmtId="0" fontId="0" fillId="30" borderId="0" xfId="510" applyNumberFormat="1" applyFont="1" applyFill="1" applyAlignment="1">
      <alignment horizontal="left" vertical="center"/>
    </xf>
    <xf numFmtId="0" fontId="0" fillId="30" borderId="0" xfId="510" applyNumberFormat="1" applyFont="1" applyFill="1" applyBorder="1" applyAlignment="1">
      <alignment horizontal="right" vertical="center"/>
    </xf>
    <xf numFmtId="0" fontId="0" fillId="30" borderId="4" xfId="510" applyNumberFormat="1" applyFont="1" applyFill="1" applyBorder="1" applyAlignment="1">
      <alignment horizontal="center" vertical="center"/>
    </xf>
    <xf numFmtId="0" fontId="0" fillId="30" borderId="4" xfId="0" applyNumberFormat="1" applyFont="1" applyFill="1" applyBorder="1" applyAlignment="1">
      <alignment horizontal="center" vertical="center"/>
    </xf>
    <xf numFmtId="0" fontId="0" fillId="30" borderId="39" xfId="0" applyNumberFormat="1" applyFont="1" applyFill="1" applyBorder="1" applyAlignment="1">
      <alignment horizontal="left" vertical="center"/>
    </xf>
    <xf numFmtId="0" fontId="0" fillId="30" borderId="2" xfId="0" applyNumberFormat="1" applyFont="1" applyFill="1" applyBorder="1" applyAlignment="1">
      <alignment horizontal="centerContinuous" vertical="center"/>
    </xf>
    <xf numFmtId="0" fontId="0" fillId="30" borderId="33" xfId="510" applyNumberFormat="1" applyFont="1" applyFill="1" applyBorder="1" applyAlignment="1">
      <alignment horizontal="left" vertical="center"/>
    </xf>
    <xf numFmtId="0" fontId="0" fillId="30" borderId="0" xfId="926" applyNumberFormat="1" applyFont="1" applyFill="1" applyBorder="1" applyAlignment="1">
      <alignment vertical="center"/>
      <protection/>
    </xf>
    <xf numFmtId="0" fontId="0" fillId="30" borderId="0" xfId="510" applyNumberFormat="1" applyFont="1" applyFill="1" applyBorder="1" applyAlignment="1" quotePrefix="1">
      <alignment horizontal="left" vertical="center"/>
    </xf>
    <xf numFmtId="0" fontId="0" fillId="30" borderId="0" xfId="510" applyNumberFormat="1" applyFont="1" applyFill="1" applyBorder="1" applyAlignment="1">
      <alignment horizontal="left" vertical="center"/>
    </xf>
    <xf numFmtId="0" fontId="0" fillId="30" borderId="0" xfId="926" applyNumberFormat="1" applyFont="1" applyFill="1" applyAlignment="1">
      <alignment vertical="center"/>
      <protection/>
    </xf>
    <xf numFmtId="0" fontId="0" fillId="30" borderId="0" xfId="0" applyNumberFormat="1" applyFont="1" applyFill="1" applyAlignment="1">
      <alignment horizontal="centerContinuous" vertical="center"/>
    </xf>
    <xf numFmtId="179" fontId="0" fillId="30" borderId="4" xfId="510" applyNumberFormat="1" applyFont="1" applyFill="1" applyBorder="1" applyAlignment="1">
      <alignment horizontal="right" vertical="center"/>
    </xf>
    <xf numFmtId="179" fontId="0" fillId="30" borderId="2" xfId="510" applyNumberFormat="1" applyFont="1" applyFill="1" applyBorder="1" applyAlignment="1">
      <alignment horizontal="right" vertical="center"/>
    </xf>
    <xf numFmtId="0" fontId="0" fillId="30" borderId="23" xfId="510" applyNumberFormat="1" applyFont="1" applyFill="1" applyBorder="1" applyAlignment="1">
      <alignment horizontal="center" vertical="center"/>
    </xf>
    <xf numFmtId="0" fontId="0" fillId="30" borderId="0" xfId="0" applyNumberFormat="1" applyFont="1" applyFill="1" applyAlignment="1">
      <alignment vertical="center"/>
    </xf>
    <xf numFmtId="0" fontId="1" fillId="30" borderId="0" xfId="0" applyNumberFormat="1" applyFont="1" applyFill="1" applyAlignment="1">
      <alignment vertical="center"/>
    </xf>
    <xf numFmtId="0" fontId="0" fillId="30" borderId="0" xfId="0" applyNumberFormat="1" applyFont="1" applyFill="1" applyBorder="1" applyAlignment="1">
      <alignment vertical="center"/>
    </xf>
    <xf numFmtId="0" fontId="0" fillId="30" borderId="0" xfId="0" applyNumberFormat="1" applyFont="1" applyFill="1" applyBorder="1" applyAlignment="1">
      <alignment horizontal="distributed" vertical="center"/>
    </xf>
    <xf numFmtId="0" fontId="0" fillId="30" borderId="40" xfId="0" applyNumberFormat="1" applyFont="1" applyFill="1" applyBorder="1" applyAlignment="1">
      <alignment horizontal="distributed" vertical="center"/>
    </xf>
    <xf numFmtId="179" fontId="0" fillId="30" borderId="5" xfId="510" applyNumberFormat="1" applyFont="1" applyFill="1" applyBorder="1" applyAlignment="1">
      <alignment horizontal="right" vertical="center"/>
    </xf>
    <xf numFmtId="0" fontId="0" fillId="30" borderId="22" xfId="510" applyNumberFormat="1" applyFont="1" applyFill="1" applyBorder="1" applyAlignment="1">
      <alignment horizontal="left" vertical="center"/>
    </xf>
    <xf numFmtId="0" fontId="0" fillId="30" borderId="0" xfId="924" applyNumberFormat="1" applyFont="1" applyFill="1" applyAlignment="1">
      <alignment vertical="center"/>
      <protection/>
    </xf>
    <xf numFmtId="0" fontId="0" fillId="30" borderId="0" xfId="897" applyNumberFormat="1" applyFont="1" applyFill="1" applyAlignment="1">
      <alignment vertical="center"/>
    </xf>
    <xf numFmtId="0" fontId="1" fillId="30" borderId="0" xfId="924" applyNumberFormat="1" applyFont="1" applyFill="1" applyAlignment="1">
      <alignment horizontal="centerContinuous" vertical="center"/>
      <protection/>
    </xf>
    <xf numFmtId="0" fontId="1" fillId="30" borderId="0" xfId="897" applyNumberFormat="1" applyFont="1" applyFill="1" applyAlignment="1">
      <alignment horizontal="centerContinuous" vertical="center"/>
    </xf>
    <xf numFmtId="0" fontId="1" fillId="30" borderId="0" xfId="924" applyNumberFormat="1" applyFont="1" applyFill="1" applyAlignment="1">
      <alignment vertical="center"/>
      <protection/>
    </xf>
    <xf numFmtId="0" fontId="0" fillId="30" borderId="0" xfId="924" applyNumberFormat="1" applyFont="1" applyFill="1" applyAlignment="1">
      <alignment horizontal="centerContinuous" vertical="center"/>
      <protection/>
    </xf>
    <xf numFmtId="0" fontId="0" fillId="30" borderId="0" xfId="897" applyNumberFormat="1" applyFont="1" applyFill="1" applyAlignment="1">
      <alignment horizontal="centerContinuous" vertical="center"/>
    </xf>
    <xf numFmtId="0" fontId="0" fillId="30" borderId="0" xfId="924" applyNumberFormat="1" applyFont="1" applyFill="1" applyAlignment="1">
      <alignment horizontal="left" vertical="center"/>
      <protection/>
    </xf>
    <xf numFmtId="0" fontId="0" fillId="30" borderId="2" xfId="924" applyNumberFormat="1" applyFont="1" applyFill="1" applyBorder="1" applyAlignment="1">
      <alignment horizontal="centerContinuous" vertical="center"/>
      <protection/>
    </xf>
    <xf numFmtId="0" fontId="0" fillId="30" borderId="28" xfId="923" applyNumberFormat="1" applyFont="1" applyFill="1" applyBorder="1" applyAlignment="1">
      <alignment horizontal="distributed" vertical="center"/>
      <protection/>
    </xf>
    <xf numFmtId="0" fontId="0" fillId="30" borderId="33" xfId="924" applyNumberFormat="1" applyFont="1" applyFill="1" applyBorder="1" applyAlignment="1">
      <alignment horizontal="centerContinuous" vertical="center"/>
      <protection/>
    </xf>
    <xf numFmtId="0" fontId="0" fillId="30" borderId="0" xfId="924" applyNumberFormat="1" applyFont="1" applyFill="1" applyBorder="1" applyAlignment="1">
      <alignment horizontal="left" vertical="center"/>
      <protection/>
    </xf>
    <xf numFmtId="0" fontId="0" fillId="30" borderId="36" xfId="924" applyNumberFormat="1" applyFont="1" applyFill="1" applyBorder="1" applyAlignment="1">
      <alignment horizontal="centerContinuous" vertical="center"/>
      <protection/>
    </xf>
    <xf numFmtId="0" fontId="0" fillId="30" borderId="37" xfId="924" applyNumberFormat="1" applyFont="1" applyFill="1" applyBorder="1" applyAlignment="1">
      <alignment horizontal="centerContinuous" vertical="center"/>
      <protection/>
    </xf>
    <xf numFmtId="0" fontId="0" fillId="30" borderId="35" xfId="924" applyNumberFormat="1" applyFont="1" applyFill="1" applyBorder="1" applyAlignment="1">
      <alignment horizontal="centerContinuous" vertical="center"/>
      <protection/>
    </xf>
    <xf numFmtId="0" fontId="0" fillId="30" borderId="36" xfId="915" applyNumberFormat="1" applyFont="1" applyFill="1" applyBorder="1" applyAlignment="1">
      <alignment horizontal="centerContinuous" vertical="center"/>
      <protection/>
    </xf>
    <xf numFmtId="0" fontId="0" fillId="30" borderId="35" xfId="915" applyNumberFormat="1" applyFont="1" applyFill="1" applyBorder="1" applyAlignment="1">
      <alignment horizontal="centerContinuous" vertical="center"/>
      <protection/>
    </xf>
    <xf numFmtId="0" fontId="0" fillId="30" borderId="4" xfId="924" applyNumberFormat="1" applyFont="1" applyFill="1" applyBorder="1" applyAlignment="1">
      <alignment horizontal="centerContinuous" vertical="center"/>
      <protection/>
    </xf>
    <xf numFmtId="0" fontId="0" fillId="30" borderId="0" xfId="923" applyNumberFormat="1" applyFont="1" applyFill="1" applyBorder="1" applyAlignment="1">
      <alignment horizontal="distributed" vertical="center"/>
      <protection/>
    </xf>
    <xf numFmtId="0" fontId="0" fillId="30" borderId="39" xfId="924" applyNumberFormat="1" applyFont="1" applyFill="1" applyBorder="1" applyAlignment="1">
      <alignment horizontal="centerContinuous" vertical="center"/>
      <protection/>
    </xf>
    <xf numFmtId="179" fontId="0" fillId="30" borderId="4" xfId="897" applyNumberFormat="1" applyFont="1" applyFill="1" applyBorder="1" applyAlignment="1">
      <alignment horizontal="right" vertical="center"/>
    </xf>
    <xf numFmtId="179" fontId="0" fillId="30" borderId="39" xfId="897" applyNumberFormat="1" applyFont="1" applyFill="1" applyBorder="1" applyAlignment="1">
      <alignment horizontal="right" vertical="center"/>
    </xf>
    <xf numFmtId="0" fontId="0" fillId="30" borderId="39" xfId="897" applyNumberFormat="1" applyFont="1" applyFill="1" applyBorder="1" applyAlignment="1">
      <alignment vertical="center"/>
    </xf>
    <xf numFmtId="0" fontId="0" fillId="30" borderId="5" xfId="924" applyNumberFormat="1" applyFont="1" applyFill="1" applyBorder="1" applyAlignment="1">
      <alignment horizontal="centerContinuous" vertical="center"/>
      <protection/>
    </xf>
    <xf numFmtId="0" fontId="0" fillId="30" borderId="40" xfId="923" applyNumberFormat="1" applyFont="1" applyFill="1" applyBorder="1" applyAlignment="1">
      <alignment horizontal="distributed" vertical="center"/>
      <protection/>
    </xf>
    <xf numFmtId="0" fontId="0" fillId="30" borderId="34" xfId="924" applyNumberFormat="1" applyFont="1" applyFill="1" applyBorder="1" applyAlignment="1">
      <alignment horizontal="centerContinuous" vertical="center"/>
      <protection/>
    </xf>
    <xf numFmtId="179" fontId="0" fillId="30" borderId="5" xfId="897" applyNumberFormat="1" applyFont="1" applyFill="1" applyBorder="1" applyAlignment="1">
      <alignment horizontal="right" vertical="center"/>
    </xf>
    <xf numFmtId="179" fontId="0" fillId="30" borderId="34" xfId="897" applyNumberFormat="1" applyFont="1" applyFill="1" applyBorder="1" applyAlignment="1">
      <alignment horizontal="right" vertical="center"/>
    </xf>
    <xf numFmtId="0" fontId="0" fillId="30" borderId="34" xfId="897" applyNumberFormat="1" applyFont="1" applyFill="1" applyBorder="1" applyAlignment="1">
      <alignment vertical="center"/>
    </xf>
    <xf numFmtId="0" fontId="0" fillId="30" borderId="0" xfId="918" applyNumberFormat="1" applyFont="1" applyFill="1" applyAlignment="1">
      <alignment horizontal="left" vertical="center"/>
      <protection/>
    </xf>
    <xf numFmtId="0" fontId="0" fillId="30" borderId="0" xfId="918" applyNumberFormat="1" applyFont="1" applyFill="1" applyBorder="1" applyAlignment="1">
      <alignment horizontal="left" vertical="center"/>
      <protection/>
    </xf>
    <xf numFmtId="0" fontId="1" fillId="30" borderId="0" xfId="0" applyNumberFormat="1" applyFont="1" applyFill="1" applyAlignment="1" quotePrefix="1">
      <alignment horizontal="centerContinuous" vertical="center"/>
    </xf>
    <xf numFmtId="0" fontId="1" fillId="30" borderId="0" xfId="0" applyNumberFormat="1" applyFont="1" applyFill="1" applyBorder="1" applyAlignment="1" quotePrefix="1">
      <alignment horizontal="centerContinuous" vertical="center"/>
    </xf>
    <xf numFmtId="0" fontId="0" fillId="30" borderId="0" xfId="510" applyNumberFormat="1" applyFont="1" applyFill="1" applyAlignment="1">
      <alignment horizontal="right" vertical="center"/>
    </xf>
    <xf numFmtId="0" fontId="0" fillId="30" borderId="3" xfId="0" applyNumberFormat="1" applyFont="1" applyFill="1" applyBorder="1" applyAlignment="1">
      <alignment horizontal="left" vertical="center"/>
    </xf>
    <xf numFmtId="0" fontId="0" fillId="30" borderId="0" xfId="926" applyNumberFormat="1" applyFont="1" applyFill="1" applyBorder="1" applyAlignment="1" quotePrefix="1">
      <alignment horizontal="left" vertical="center"/>
      <protection/>
    </xf>
    <xf numFmtId="0" fontId="0" fillId="30" borderId="0" xfId="926" applyNumberFormat="1" applyFont="1" applyFill="1" applyAlignment="1" quotePrefix="1">
      <alignment horizontal="left" vertical="center"/>
      <protection/>
    </xf>
    <xf numFmtId="0" fontId="0" fillId="30" borderId="0" xfId="926" applyNumberFormat="1" applyFont="1" applyFill="1" applyAlignment="1">
      <alignment horizontal="left" vertical="center"/>
      <protection/>
    </xf>
    <xf numFmtId="179" fontId="0" fillId="30" borderId="33" xfId="510" applyNumberFormat="1" applyFont="1" applyFill="1" applyBorder="1" applyAlignment="1">
      <alignment horizontal="right" vertical="center"/>
    </xf>
    <xf numFmtId="179" fontId="0" fillId="30" borderId="3" xfId="897" applyNumberFormat="1" applyFont="1" applyFill="1" applyBorder="1" applyAlignment="1">
      <alignment horizontal="right" vertical="center"/>
    </xf>
    <xf numFmtId="0" fontId="0" fillId="30" borderId="2" xfId="897" applyNumberFormat="1" applyFont="1" applyFill="1" applyBorder="1" applyAlignment="1">
      <alignment horizontal="centerContinuous" vertical="center"/>
    </xf>
    <xf numFmtId="0" fontId="0" fillId="30" borderId="28" xfId="924" applyNumberFormat="1" applyFont="1" applyFill="1" applyBorder="1" applyAlignment="1">
      <alignment horizontal="centerContinuous" vertical="center"/>
      <protection/>
    </xf>
    <xf numFmtId="0" fontId="0" fillId="30" borderId="35" xfId="897" applyNumberFormat="1" applyFont="1" applyFill="1" applyBorder="1" applyAlignment="1">
      <alignment horizontal="center" vertical="center"/>
    </xf>
    <xf numFmtId="0" fontId="0" fillId="30" borderId="39" xfId="897" applyNumberFormat="1" applyFont="1" applyFill="1" applyBorder="1" applyAlignment="1">
      <alignment horizontal="center" vertical="center"/>
    </xf>
    <xf numFmtId="0" fontId="0" fillId="30" borderId="34" xfId="897" applyNumberFormat="1" applyFont="1" applyFill="1" applyBorder="1" applyAlignment="1">
      <alignment horizontal="center" vertical="center"/>
    </xf>
    <xf numFmtId="0" fontId="0" fillId="30" borderId="2" xfId="510" applyNumberFormat="1" applyFont="1" applyFill="1" applyBorder="1" applyAlignment="1">
      <alignment horizontal="left" vertical="center"/>
    </xf>
    <xf numFmtId="0" fontId="0" fillId="30" borderId="28" xfId="510" applyNumberFormat="1" applyFont="1" applyFill="1" applyBorder="1" applyAlignment="1">
      <alignment horizontal="left" vertical="center"/>
    </xf>
    <xf numFmtId="0" fontId="0" fillId="30" borderId="4" xfId="510" applyNumberFormat="1" applyFont="1" applyFill="1" applyBorder="1" applyAlignment="1">
      <alignment horizontal="left" vertical="center"/>
    </xf>
    <xf numFmtId="0" fontId="0" fillId="30" borderId="5" xfId="510" applyNumberFormat="1" applyFont="1" applyFill="1" applyBorder="1" applyAlignment="1">
      <alignment horizontal="left" vertical="center"/>
    </xf>
    <xf numFmtId="0" fontId="0" fillId="30" borderId="33" xfId="510" applyNumberFormat="1" applyFont="1" applyFill="1" applyBorder="1" applyAlignment="1">
      <alignment horizontal="centerContinuous" vertical="center"/>
    </xf>
    <xf numFmtId="0" fontId="0" fillId="30" borderId="2" xfId="510" applyNumberFormat="1" applyFont="1" applyFill="1" applyBorder="1" applyAlignment="1">
      <alignment horizontal="centerContinuous" vertical="center"/>
    </xf>
    <xf numFmtId="179" fontId="0" fillId="30" borderId="2" xfId="0" applyNumberFormat="1" applyFont="1" applyFill="1" applyBorder="1" applyAlignment="1">
      <alignment horizontal="right" vertical="center"/>
    </xf>
    <xf numFmtId="0" fontId="0" fillId="30" borderId="40" xfId="510" applyNumberFormat="1" applyFont="1" applyFill="1" applyBorder="1" applyAlignment="1">
      <alignment horizontal="distributed" vertical="center"/>
    </xf>
    <xf numFmtId="0" fontId="0" fillId="30" borderId="4" xfId="0" applyNumberFormat="1" applyFont="1" applyFill="1" applyBorder="1" applyAlignment="1">
      <alignment vertical="center"/>
    </xf>
    <xf numFmtId="0" fontId="0" fillId="30" borderId="39" xfId="0" applyNumberFormat="1" applyFont="1" applyFill="1" applyBorder="1" applyAlignment="1">
      <alignment vertical="center"/>
    </xf>
    <xf numFmtId="0" fontId="0" fillId="30" borderId="38" xfId="0" applyNumberFormat="1" applyFont="1" applyFill="1" applyBorder="1" applyAlignment="1">
      <alignment vertical="center"/>
    </xf>
    <xf numFmtId="0" fontId="1" fillId="30" borderId="0" xfId="510" applyNumberFormat="1" applyFont="1" applyFill="1" applyAlignment="1">
      <alignment horizontal="center" vertical="center"/>
    </xf>
    <xf numFmtId="0" fontId="1" fillId="30" borderId="0" xfId="0" applyNumberFormat="1" applyFont="1" applyFill="1" applyAlignment="1">
      <alignment horizontal="left" vertical="center"/>
    </xf>
    <xf numFmtId="0" fontId="0" fillId="30" borderId="2" xfId="510" applyNumberFormat="1" applyFont="1" applyFill="1" applyBorder="1" applyAlignment="1">
      <alignment vertical="center"/>
    </xf>
    <xf numFmtId="0" fontId="0" fillId="30" borderId="2" xfId="510" applyNumberFormat="1" applyFont="1" applyFill="1" applyBorder="1" applyAlignment="1">
      <alignment vertical="center" wrapText="1"/>
    </xf>
    <xf numFmtId="0" fontId="0" fillId="30" borderId="0" xfId="926" applyNumberFormat="1" applyFont="1" applyFill="1" applyBorder="1" applyAlignment="1">
      <alignment horizontal="left" vertical="center"/>
      <protection/>
    </xf>
    <xf numFmtId="183" fontId="0" fillId="30" borderId="2" xfId="510" applyNumberFormat="1" applyFont="1" applyFill="1" applyBorder="1" applyAlignment="1">
      <alignment horizontal="right" vertical="center"/>
    </xf>
    <xf numFmtId="183" fontId="0" fillId="30" borderId="33" xfId="510" applyNumberFormat="1" applyFont="1" applyFill="1" applyBorder="1" applyAlignment="1">
      <alignment horizontal="right" vertical="center"/>
    </xf>
    <xf numFmtId="179" fontId="0" fillId="30" borderId="28" xfId="510" applyNumberFormat="1" applyFont="1" applyFill="1" applyBorder="1" applyAlignment="1">
      <alignment horizontal="right" vertical="center"/>
    </xf>
    <xf numFmtId="183" fontId="0" fillId="30" borderId="28" xfId="510" applyNumberFormat="1" applyFont="1" applyFill="1" applyBorder="1" applyAlignment="1">
      <alignment horizontal="right" vertical="center"/>
    </xf>
    <xf numFmtId="0" fontId="0" fillId="30" borderId="28" xfId="510" applyNumberFormat="1" applyFont="1" applyFill="1" applyBorder="1" applyAlignment="1">
      <alignment vertical="center"/>
    </xf>
    <xf numFmtId="0" fontId="0" fillId="30" borderId="28" xfId="510" applyNumberFormat="1" applyFont="1" applyFill="1" applyBorder="1" applyAlignment="1">
      <alignment vertical="center" wrapText="1"/>
    </xf>
    <xf numFmtId="0" fontId="0" fillId="30" borderId="0" xfId="0" applyNumberFormat="1" applyFont="1" applyFill="1" applyAlignment="1" quotePrefix="1">
      <alignment horizontal="centerContinuous" vertical="center"/>
    </xf>
    <xf numFmtId="0" fontId="0" fillId="30" borderId="0" xfId="0" applyNumberFormat="1" applyFont="1" applyFill="1" applyBorder="1" applyAlignment="1" quotePrefix="1">
      <alignment horizontal="centerContinuous" vertical="center"/>
    </xf>
    <xf numFmtId="0" fontId="0" fillId="30" borderId="0" xfId="510" applyNumberFormat="1" applyFont="1" applyFill="1" applyAlignment="1">
      <alignment horizontal="centerContinuous" vertical="center"/>
    </xf>
    <xf numFmtId="0" fontId="0" fillId="30" borderId="0" xfId="0" applyNumberFormat="1" applyFont="1" applyFill="1" applyAlignment="1">
      <alignment horizontal="right" vertical="center"/>
    </xf>
    <xf numFmtId="0" fontId="0" fillId="30" borderId="36" xfId="925" applyNumberFormat="1" applyFont="1" applyFill="1" applyBorder="1" applyAlignment="1">
      <alignment horizontal="center" vertical="center"/>
      <protection/>
    </xf>
    <xf numFmtId="0" fontId="0" fillId="30" borderId="37" xfId="925" applyNumberFormat="1" applyFont="1" applyFill="1" applyBorder="1" applyAlignment="1">
      <alignment horizontal="center" vertical="center"/>
      <protection/>
    </xf>
    <xf numFmtId="0" fontId="0" fillId="30" borderId="37" xfId="925" applyNumberFormat="1" applyFont="1" applyFill="1" applyBorder="1" applyAlignment="1">
      <alignment horizontal="right" vertical="center"/>
      <protection/>
    </xf>
    <xf numFmtId="0" fontId="0" fillId="30" borderId="5" xfId="925" applyNumberFormat="1" applyFont="1" applyFill="1" applyBorder="1" applyAlignment="1">
      <alignment horizontal="left" vertical="center"/>
      <protection/>
    </xf>
    <xf numFmtId="0" fontId="0" fillId="30" borderId="40" xfId="925" applyNumberFormat="1" applyFont="1" applyFill="1" applyBorder="1" applyAlignment="1">
      <alignment vertical="center"/>
      <protection/>
    </xf>
    <xf numFmtId="0" fontId="0" fillId="30" borderId="28" xfId="0" applyNumberFormat="1" applyFont="1" applyFill="1" applyBorder="1" applyAlignment="1" quotePrefix="1">
      <alignment horizontal="distributed" vertical="center"/>
    </xf>
    <xf numFmtId="0" fontId="0" fillId="30" borderId="28" xfId="0" applyNumberFormat="1" applyFont="1" applyFill="1" applyBorder="1" applyAlignment="1" quotePrefix="1">
      <alignment horizontal="center" vertical="center"/>
    </xf>
    <xf numFmtId="0" fontId="0" fillId="30" borderId="5" xfId="0" applyNumberFormat="1" applyFont="1" applyFill="1" applyBorder="1" applyAlignment="1">
      <alignment horizontal="centerContinuous" vertical="center"/>
    </xf>
    <xf numFmtId="185" fontId="0" fillId="30" borderId="2" xfId="0" applyNumberFormat="1" applyFont="1" applyFill="1" applyBorder="1" applyAlignment="1">
      <alignment horizontal="right" vertical="center"/>
    </xf>
    <xf numFmtId="0" fontId="0" fillId="30" borderId="40" xfId="925" applyNumberFormat="1" applyFont="1" applyFill="1" applyBorder="1" applyAlignment="1">
      <alignment horizontal="left" vertical="center"/>
      <protection/>
    </xf>
    <xf numFmtId="0" fontId="0" fillId="30" borderId="40" xfId="0" applyNumberFormat="1" applyFont="1" applyFill="1" applyBorder="1" applyAlignment="1" quotePrefix="1">
      <alignment vertical="center"/>
    </xf>
    <xf numFmtId="0" fontId="0" fillId="30" borderId="28" xfId="0" applyNumberFormat="1" applyFont="1" applyFill="1" applyBorder="1" applyAlignment="1" quotePrefix="1">
      <alignment vertical="center"/>
    </xf>
    <xf numFmtId="0" fontId="0" fillId="30" borderId="28" xfId="510" applyNumberFormat="1" applyFont="1" applyFill="1" applyBorder="1" applyAlignment="1">
      <alignment horizontal="right" vertical="center"/>
    </xf>
    <xf numFmtId="0" fontId="0" fillId="30" borderId="37" xfId="510" applyNumberFormat="1" applyFont="1" applyFill="1" applyBorder="1" applyAlignment="1">
      <alignment horizontal="center" vertical="center"/>
    </xf>
    <xf numFmtId="0" fontId="0" fillId="30" borderId="40" xfId="510" applyNumberFormat="1" applyFont="1" applyFill="1" applyBorder="1" applyAlignment="1">
      <alignment horizontal="center" vertical="center"/>
    </xf>
    <xf numFmtId="0" fontId="0" fillId="0" borderId="40" xfId="51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10" applyNumberFormat="1" applyFont="1" applyAlignment="1">
      <alignment vertical="center"/>
    </xf>
    <xf numFmtId="0" fontId="1" fillId="30" borderId="0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9" xfId="510" applyNumberFormat="1" applyFont="1" applyBorder="1" applyAlignment="1">
      <alignment vertical="center"/>
    </xf>
    <xf numFmtId="0" fontId="0" fillId="0" borderId="34" xfId="510" applyNumberFormat="1" applyFont="1" applyBorder="1" applyAlignment="1">
      <alignment vertical="center"/>
    </xf>
    <xf numFmtId="0" fontId="0" fillId="0" borderId="28" xfId="510" applyNumberFormat="1" applyFont="1" applyBorder="1" applyAlignment="1">
      <alignment horizontal="centerContinuous" vertical="center"/>
    </xf>
    <xf numFmtId="0" fontId="0" fillId="0" borderId="2" xfId="510" applyNumberFormat="1" applyFont="1" applyBorder="1" applyAlignment="1">
      <alignment horizontal="center" vertical="center"/>
    </xf>
    <xf numFmtId="0" fontId="0" fillId="0" borderId="0" xfId="510" applyNumberFormat="1" applyFont="1" applyBorder="1" applyAlignment="1">
      <alignment vertical="center"/>
    </xf>
    <xf numFmtId="179" fontId="0" fillId="0" borderId="39" xfId="510" applyNumberFormat="1" applyFont="1" applyBorder="1" applyAlignment="1">
      <alignment horizontal="right" vertical="center"/>
    </xf>
    <xf numFmtId="179" fontId="0" fillId="0" borderId="34" xfId="510" applyNumberFormat="1" applyFont="1" applyBorder="1" applyAlignment="1">
      <alignment horizontal="right" vertical="center"/>
    </xf>
    <xf numFmtId="179" fontId="0" fillId="0" borderId="33" xfId="510" applyNumberFormat="1" applyFont="1" applyBorder="1" applyAlignment="1">
      <alignment horizontal="right" vertical="center"/>
    </xf>
    <xf numFmtId="179" fontId="0" fillId="0" borderId="3" xfId="510" applyNumberFormat="1" applyFont="1" applyBorder="1" applyAlignment="1">
      <alignment horizontal="right" vertical="center"/>
    </xf>
    <xf numFmtId="0" fontId="0" fillId="0" borderId="33" xfId="510" applyNumberFormat="1" applyFont="1" applyBorder="1" applyAlignment="1">
      <alignment horizontal="centerContinuous" vertical="center" wrapText="1"/>
    </xf>
    <xf numFmtId="0" fontId="0" fillId="0" borderId="3" xfId="510" applyNumberFormat="1" applyFont="1" applyBorder="1" applyAlignment="1">
      <alignment horizontal="centerContinuous" vertical="center" wrapText="1"/>
    </xf>
    <xf numFmtId="0" fontId="0" fillId="0" borderId="3" xfId="510" applyNumberFormat="1" applyFont="1" applyBorder="1" applyAlignment="1">
      <alignment horizontal="centerContinuous" vertical="center"/>
    </xf>
    <xf numFmtId="0" fontId="0" fillId="0" borderId="28" xfId="510" applyNumberFormat="1" applyFont="1" applyBorder="1" applyAlignment="1">
      <alignment horizontal="centerContinuous" vertical="center" wrapText="1"/>
    </xf>
    <xf numFmtId="179" fontId="0" fillId="0" borderId="40" xfId="510" applyNumberFormat="1" applyFont="1" applyBorder="1" applyAlignment="1">
      <alignment horizontal="right" vertical="center"/>
    </xf>
    <xf numFmtId="179" fontId="0" fillId="0" borderId="28" xfId="510" applyNumberFormat="1" applyFont="1" applyBorder="1" applyAlignment="1">
      <alignment horizontal="right" vertical="center"/>
    </xf>
    <xf numFmtId="0" fontId="0" fillId="0" borderId="2" xfId="510" applyNumberFormat="1" applyFont="1" applyBorder="1" applyAlignment="1">
      <alignment horizontal="centerContinuous" vertical="center" wrapText="1"/>
    </xf>
    <xf numFmtId="179" fontId="0" fillId="0" borderId="4" xfId="510" applyNumberFormat="1" applyFont="1" applyBorder="1" applyAlignment="1">
      <alignment horizontal="right" vertical="center"/>
    </xf>
    <xf numFmtId="179" fontId="0" fillId="0" borderId="5" xfId="510" applyNumberFormat="1" applyFont="1" applyBorder="1" applyAlignment="1">
      <alignment horizontal="right" vertical="center"/>
    </xf>
    <xf numFmtId="179" fontId="0" fillId="0" borderId="2" xfId="51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1" fillId="30" borderId="0" xfId="0" applyFont="1" applyFill="1" applyAlignment="1">
      <alignment horizontal="centerContinuous" vertical="center"/>
    </xf>
    <xf numFmtId="41" fontId="0" fillId="30" borderId="33" xfId="510" applyFont="1" applyFill="1" applyBorder="1" applyAlignment="1">
      <alignment horizontal="left" vertical="center"/>
    </xf>
    <xf numFmtId="41" fontId="0" fillId="30" borderId="3" xfId="510" applyFont="1" applyFill="1" applyBorder="1" applyAlignment="1">
      <alignment horizontal="left" vertical="center" wrapText="1"/>
    </xf>
    <xf numFmtId="0" fontId="0" fillId="30" borderId="0" xfId="0" applyFont="1" applyFill="1" applyAlignment="1">
      <alignment horizontal="center" vertical="center"/>
    </xf>
    <xf numFmtId="41" fontId="0" fillId="30" borderId="0" xfId="510" applyFont="1" applyFill="1" applyAlignment="1">
      <alignment horizontal="left" vertical="center"/>
    </xf>
    <xf numFmtId="0" fontId="0" fillId="30" borderId="0" xfId="918" applyFont="1" applyFill="1" applyAlignment="1">
      <alignment horizontal="left" vertical="center"/>
      <protection/>
    </xf>
    <xf numFmtId="0" fontId="0" fillId="30" borderId="0" xfId="918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 horizontal="centerContinuous" vertical="center"/>
    </xf>
    <xf numFmtId="0" fontId="0" fillId="30" borderId="0" xfId="0" applyFont="1" applyFill="1" applyBorder="1" applyAlignment="1">
      <alignment horizontal="centerContinuous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3" xfId="510" applyNumberFormat="1" applyFont="1" applyFill="1" applyBorder="1" applyAlignment="1">
      <alignment horizontal="center" vertical="center" wrapText="1"/>
    </xf>
    <xf numFmtId="41" fontId="0" fillId="30" borderId="3" xfId="510" applyFont="1" applyFill="1" applyBorder="1" applyAlignment="1">
      <alignment horizontal="left" vertical="center"/>
    </xf>
    <xf numFmtId="41" fontId="0" fillId="30" borderId="3" xfId="510" applyFont="1" applyFill="1" applyBorder="1" applyAlignment="1">
      <alignment horizontal="left" vertical="center" wrapText="1" shrinkToFit="1"/>
    </xf>
    <xf numFmtId="0" fontId="0" fillId="0" borderId="0" xfId="918" applyNumberFormat="1" applyFont="1" applyBorder="1" applyAlignment="1" quotePrefix="1">
      <alignment horizontal="left" vertical="center"/>
      <protection/>
    </xf>
    <xf numFmtId="0" fontId="0" fillId="0" borderId="0" xfId="918" applyNumberFormat="1" applyFont="1" applyBorder="1" applyAlignment="1" quotePrefix="1">
      <alignment horizontal="center" vertical="center"/>
      <protection/>
    </xf>
    <xf numFmtId="0" fontId="0" fillId="0" borderId="0" xfId="918" applyNumberFormat="1" applyFont="1" applyBorder="1" applyAlignment="1">
      <alignment horizontal="left" vertical="center"/>
      <protection/>
    </xf>
    <xf numFmtId="0" fontId="22" fillId="0" borderId="0" xfId="926" applyNumberFormat="1" applyFont="1" applyAlignment="1">
      <alignment horizontal="centerContinuous" vertical="center"/>
      <protection/>
    </xf>
    <xf numFmtId="0" fontId="22" fillId="0" borderId="0" xfId="510" applyNumberFormat="1" applyFont="1" applyBorder="1" applyAlignment="1">
      <alignment horizontal="centerContinuous" vertical="center"/>
    </xf>
    <xf numFmtId="0" fontId="0" fillId="30" borderId="35" xfId="918" applyNumberFormat="1" applyFont="1" applyFill="1" applyBorder="1" applyAlignment="1">
      <alignment horizontal="center" vertical="center" wrapText="1"/>
      <protection/>
    </xf>
    <xf numFmtId="0" fontId="0" fillId="30" borderId="4" xfId="0" applyNumberFormat="1" applyFont="1" applyFill="1" applyBorder="1" applyAlignment="1">
      <alignment horizontal="left" vertical="center"/>
    </xf>
    <xf numFmtId="0" fontId="0" fillId="30" borderId="40" xfId="0" applyNumberFormat="1" applyFont="1" applyFill="1" applyBorder="1" applyAlignment="1">
      <alignment horizontal="distributed" vertical="center" wrapText="1"/>
    </xf>
    <xf numFmtId="0" fontId="0" fillId="30" borderId="39" xfId="918" applyNumberFormat="1" applyFont="1" applyFill="1" applyBorder="1" applyAlignment="1">
      <alignment horizontal="center" vertical="center" wrapText="1"/>
      <protection/>
    </xf>
    <xf numFmtId="0" fontId="0" fillId="30" borderId="0" xfId="0" applyNumberFormat="1" applyFont="1" applyFill="1" applyBorder="1" applyAlignment="1">
      <alignment horizontal="distributed" vertical="center" wrapText="1"/>
    </xf>
    <xf numFmtId="0" fontId="0" fillId="30" borderId="28" xfId="923" applyNumberFormat="1" applyFont="1" applyFill="1" applyBorder="1" applyAlignment="1">
      <alignment horizontal="center" vertical="center"/>
      <protection/>
    </xf>
    <xf numFmtId="179" fontId="0" fillId="30" borderId="38" xfId="0" applyNumberFormat="1" applyFont="1" applyFill="1" applyBorder="1" applyAlignment="1">
      <alignment horizontal="right" vertical="center" shrinkToFit="1"/>
    </xf>
    <xf numFmtId="179" fontId="0" fillId="30" borderId="39" xfId="510" applyNumberFormat="1" applyFont="1" applyFill="1" applyBorder="1" applyAlignment="1">
      <alignment horizontal="right" vertical="center" shrinkToFit="1"/>
    </xf>
    <xf numFmtId="179" fontId="0" fillId="30" borderId="38" xfId="510" applyNumberFormat="1" applyFont="1" applyFill="1" applyBorder="1" applyAlignment="1">
      <alignment horizontal="right" vertical="center" shrinkToFit="1"/>
    </xf>
    <xf numFmtId="179" fontId="0" fillId="30" borderId="22" xfId="0" applyNumberFormat="1" applyFont="1" applyFill="1" applyBorder="1" applyAlignment="1">
      <alignment horizontal="right" vertical="center" shrinkToFit="1"/>
    </xf>
    <xf numFmtId="179" fontId="0" fillId="30" borderId="34" xfId="0" applyNumberFormat="1" applyFont="1" applyFill="1" applyBorder="1" applyAlignment="1">
      <alignment horizontal="right" vertical="center" shrinkToFit="1"/>
    </xf>
    <xf numFmtId="179" fontId="0" fillId="30" borderId="22" xfId="510" applyNumberFormat="1" applyFont="1" applyFill="1" applyBorder="1" applyAlignment="1">
      <alignment horizontal="right" vertical="center" shrinkToFit="1"/>
    </xf>
    <xf numFmtId="179" fontId="0" fillId="30" borderId="3" xfId="0" applyNumberFormat="1" applyFont="1" applyFill="1" applyBorder="1" applyAlignment="1">
      <alignment horizontal="right" vertical="center" shrinkToFit="1"/>
    </xf>
    <xf numFmtId="179" fontId="0" fillId="30" borderId="3" xfId="510" applyNumberFormat="1" applyFont="1" applyFill="1" applyBorder="1" applyAlignment="1">
      <alignment horizontal="right" vertical="center" shrinkToFit="1"/>
    </xf>
    <xf numFmtId="179" fontId="0" fillId="30" borderId="33" xfId="510" applyNumberFormat="1" applyFont="1" applyFill="1" applyBorder="1" applyAlignment="1">
      <alignment horizontal="right" vertical="center" shrinkToFit="1"/>
    </xf>
    <xf numFmtId="186" fontId="0" fillId="30" borderId="39" xfId="510" applyNumberFormat="1" applyFont="1" applyFill="1" applyBorder="1" applyAlignment="1">
      <alignment horizontal="right" vertical="center" shrinkToFit="1"/>
    </xf>
    <xf numFmtId="41" fontId="0" fillId="0" borderId="0" xfId="51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30" borderId="2" xfId="510" applyNumberFormat="1" applyFont="1" applyFill="1" applyBorder="1" applyAlignment="1">
      <alignment horizontal="left" vertical="center"/>
    </xf>
    <xf numFmtId="0" fontId="0" fillId="30" borderId="28" xfId="510" applyNumberFormat="1" applyFont="1" applyFill="1" applyBorder="1" applyAlignment="1">
      <alignment horizontal="distributed" vertical="center"/>
    </xf>
    <xf numFmtId="41" fontId="0" fillId="30" borderId="33" xfId="510" applyFont="1" applyFill="1" applyBorder="1" applyAlignment="1">
      <alignment horizontal="left" vertical="center"/>
    </xf>
    <xf numFmtId="41" fontId="0" fillId="30" borderId="3" xfId="510" applyFont="1" applyFill="1" applyBorder="1" applyAlignment="1">
      <alignment horizontal="left" vertical="center" wrapText="1"/>
    </xf>
    <xf numFmtId="41" fontId="0" fillId="30" borderId="3" xfId="510" applyFont="1" applyFill="1" applyBorder="1" applyAlignment="1">
      <alignment horizontal="left" vertical="center"/>
    </xf>
    <xf numFmtId="0" fontId="0" fillId="30" borderId="0" xfId="0" applyFont="1" applyFill="1" applyAlignment="1">
      <alignment horizontal="center" vertical="center"/>
    </xf>
    <xf numFmtId="0" fontId="1" fillId="30" borderId="0" xfId="918" applyFont="1" applyFill="1" applyBorder="1" applyAlignment="1">
      <alignment horizontal="centerContinuous" vertical="center"/>
      <protection/>
    </xf>
    <xf numFmtId="186" fontId="0" fillId="30" borderId="34" xfId="510" applyNumberFormat="1" applyFont="1" applyFill="1" applyBorder="1" applyAlignment="1">
      <alignment horizontal="right" vertical="center" shrinkToFit="1"/>
    </xf>
    <xf numFmtId="0" fontId="0" fillId="30" borderId="40" xfId="0" applyNumberFormat="1" applyFont="1" applyFill="1" applyBorder="1" applyAlignment="1">
      <alignment horizontal="left" vertical="center"/>
    </xf>
    <xf numFmtId="0" fontId="0" fillId="0" borderId="0" xfId="918" applyNumberFormat="1" applyFont="1" applyAlignment="1">
      <alignment horizontal="left" vertical="center"/>
      <protection/>
    </xf>
    <xf numFmtId="0" fontId="0" fillId="0" borderId="0" xfId="918" applyNumberFormat="1" applyFont="1" applyAlignment="1" quotePrefix="1">
      <alignment horizontal="left" vertical="center"/>
      <protection/>
    </xf>
    <xf numFmtId="0" fontId="0" fillId="0" borderId="0" xfId="918" applyNumberFormat="1" applyFont="1" applyAlignment="1">
      <alignment vertical="center"/>
      <protection/>
    </xf>
    <xf numFmtId="0" fontId="0" fillId="0" borderId="0" xfId="918" applyNumberFormat="1" applyFont="1" applyBorder="1" applyAlignment="1">
      <alignment vertical="center"/>
      <protection/>
    </xf>
    <xf numFmtId="0" fontId="0" fillId="0" borderId="0" xfId="898" applyNumberFormat="1" applyFont="1" applyAlignment="1">
      <alignment vertical="center"/>
    </xf>
    <xf numFmtId="0" fontId="0" fillId="0" borderId="0" xfId="918" applyNumberFormat="1" applyFont="1" applyBorder="1" applyAlignment="1" quotePrefix="1">
      <alignment horizontal="left" vertical="center"/>
      <protection/>
    </xf>
    <xf numFmtId="0" fontId="0" fillId="0" borderId="0" xfId="918" applyNumberFormat="1" applyFont="1" applyBorder="1" applyAlignment="1" quotePrefix="1">
      <alignment horizontal="center" vertical="center"/>
      <protection/>
    </xf>
    <xf numFmtId="0" fontId="0" fillId="0" borderId="0" xfId="918" applyNumberFormat="1" applyFont="1" applyBorder="1" applyAlignment="1">
      <alignment horizontal="left" vertical="center"/>
      <protection/>
    </xf>
    <xf numFmtId="0" fontId="0" fillId="0" borderId="0" xfId="898" applyNumberFormat="1" applyFont="1" applyBorder="1" applyAlignment="1" quotePrefix="1">
      <alignment horizontal="center" vertical="center"/>
    </xf>
    <xf numFmtId="0" fontId="0" fillId="0" borderId="5" xfId="918" applyNumberFormat="1" applyFont="1" applyBorder="1" applyAlignment="1">
      <alignment vertical="center"/>
      <protection/>
    </xf>
    <xf numFmtId="0" fontId="0" fillId="0" borderId="4" xfId="918" applyNumberFormat="1" applyFont="1" applyBorder="1" applyAlignment="1">
      <alignment vertical="center"/>
      <protection/>
    </xf>
    <xf numFmtId="0" fontId="0" fillId="0" borderId="0" xfId="918" applyNumberFormat="1" applyFont="1" applyBorder="1" applyAlignment="1">
      <alignment horizontal="center" vertical="center"/>
      <protection/>
    </xf>
    <xf numFmtId="0" fontId="0" fillId="0" borderId="4" xfId="918" applyNumberFormat="1" applyFont="1" applyBorder="1" applyAlignment="1">
      <alignment horizontal="center" vertical="center"/>
      <protection/>
    </xf>
    <xf numFmtId="0" fontId="0" fillId="0" borderId="39" xfId="918" applyNumberFormat="1" applyFont="1" applyBorder="1" applyAlignment="1">
      <alignment horizontal="center" vertical="center"/>
      <protection/>
    </xf>
    <xf numFmtId="0" fontId="0" fillId="0" borderId="38" xfId="898" applyNumberFormat="1" applyFont="1" applyBorder="1" applyAlignment="1">
      <alignment horizontal="center" vertical="center"/>
    </xf>
    <xf numFmtId="0" fontId="0" fillId="0" borderId="39" xfId="918" applyNumberFormat="1" applyFont="1" applyBorder="1" applyAlignment="1">
      <alignment vertical="center"/>
      <protection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918" applyNumberFormat="1" applyFont="1" applyBorder="1" applyAlignment="1">
      <alignment horizontal="distributed" vertical="center"/>
      <protection/>
    </xf>
    <xf numFmtId="179" fontId="0" fillId="0" borderId="38" xfId="51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distributed" vertical="center"/>
    </xf>
    <xf numFmtId="0" fontId="0" fillId="0" borderId="40" xfId="918" applyNumberFormat="1" applyFont="1" applyBorder="1" applyAlignment="1">
      <alignment vertical="center"/>
      <protection/>
    </xf>
    <xf numFmtId="0" fontId="0" fillId="0" borderId="34" xfId="918" applyNumberFormat="1" applyFont="1" applyBorder="1" applyAlignment="1">
      <alignment vertical="center"/>
      <protection/>
    </xf>
    <xf numFmtId="179" fontId="0" fillId="0" borderId="40" xfId="918" applyNumberFormat="1" applyFont="1" applyBorder="1" applyAlignment="1">
      <alignment horizontal="center" vertical="center"/>
      <protection/>
    </xf>
    <xf numFmtId="179" fontId="0" fillId="0" borderId="22" xfId="918" applyNumberFormat="1" applyFont="1" applyBorder="1" applyAlignment="1">
      <alignment horizontal="right" vertical="center"/>
      <protection/>
    </xf>
    <xf numFmtId="0" fontId="0" fillId="0" borderId="2" xfId="918" applyNumberFormat="1" applyFont="1" applyBorder="1" applyAlignment="1">
      <alignment vertical="center"/>
      <protection/>
    </xf>
    <xf numFmtId="0" fontId="0" fillId="0" borderId="28" xfId="918" applyNumberFormat="1" applyFont="1" applyBorder="1" applyAlignment="1">
      <alignment horizontal="center" vertical="center"/>
      <protection/>
    </xf>
    <xf numFmtId="0" fontId="0" fillId="0" borderId="2" xfId="918" applyNumberFormat="1" applyFont="1" applyBorder="1" applyAlignment="1">
      <alignment horizontal="center" vertical="center"/>
      <protection/>
    </xf>
    <xf numFmtId="0" fontId="0" fillId="0" borderId="33" xfId="918" applyNumberFormat="1" applyFont="1" applyBorder="1" applyAlignment="1">
      <alignment horizontal="center" vertical="center"/>
      <protection/>
    </xf>
    <xf numFmtId="0" fontId="0" fillId="0" borderId="3" xfId="898" applyNumberFormat="1" applyFont="1" applyBorder="1" applyAlignment="1">
      <alignment horizontal="center" vertical="center"/>
    </xf>
    <xf numFmtId="0" fontId="0" fillId="0" borderId="2" xfId="918" applyNumberFormat="1" applyFont="1" applyBorder="1" applyAlignment="1">
      <alignment horizontal="centerContinuous" vertical="center" wrapText="1"/>
      <protection/>
    </xf>
    <xf numFmtId="0" fontId="0" fillId="0" borderId="4" xfId="918" applyNumberFormat="1" applyFont="1" applyBorder="1" applyAlignment="1">
      <alignment horizontal="centerContinuous" vertical="center"/>
      <protection/>
    </xf>
    <xf numFmtId="179" fontId="0" fillId="0" borderId="4" xfId="510" applyNumberFormat="1" applyFont="1" applyBorder="1" applyAlignment="1">
      <alignment horizontal="right" vertical="center"/>
    </xf>
    <xf numFmtId="179" fontId="0" fillId="0" borderId="5" xfId="510" applyNumberFormat="1" applyFont="1" applyBorder="1" applyAlignment="1">
      <alignment horizontal="right" vertical="center"/>
    </xf>
    <xf numFmtId="0" fontId="0" fillId="0" borderId="39" xfId="918" applyNumberFormat="1" applyFont="1" applyBorder="1" applyAlignment="1">
      <alignment horizontal="centerContinuous" vertical="center"/>
      <protection/>
    </xf>
    <xf numFmtId="0" fontId="0" fillId="0" borderId="33" xfId="918" applyNumberFormat="1" applyFont="1" applyBorder="1" applyAlignment="1">
      <alignment horizontal="centerContinuous" vertical="center" wrapText="1"/>
      <protection/>
    </xf>
    <xf numFmtId="179" fontId="0" fillId="0" borderId="39" xfId="510" applyNumberFormat="1" applyFont="1" applyBorder="1" applyAlignment="1">
      <alignment horizontal="right" vertical="center"/>
    </xf>
    <xf numFmtId="179" fontId="0" fillId="0" borderId="34" xfId="510" applyNumberFormat="1" applyFont="1" applyBorder="1" applyAlignment="1">
      <alignment horizontal="right" vertical="center"/>
    </xf>
    <xf numFmtId="0" fontId="0" fillId="0" borderId="33" xfId="918" applyNumberFormat="1" applyFont="1" applyBorder="1" applyAlignment="1">
      <alignment horizontal="center" vertical="center" wrapText="1"/>
      <protection/>
    </xf>
    <xf numFmtId="0" fontId="0" fillId="0" borderId="2" xfId="898" applyNumberFormat="1" applyFont="1" applyBorder="1" applyAlignment="1">
      <alignment horizontal="centerContinuous" vertical="center"/>
    </xf>
    <xf numFmtId="0" fontId="0" fillId="0" borderId="4" xfId="898" applyNumberFormat="1" applyFont="1" applyBorder="1" applyAlignment="1">
      <alignment horizontal="center" vertical="center"/>
    </xf>
    <xf numFmtId="179" fontId="0" fillId="0" borderId="5" xfId="918" applyNumberFormat="1" applyFont="1" applyBorder="1" applyAlignment="1">
      <alignment horizontal="right" vertical="center"/>
      <protection/>
    </xf>
    <xf numFmtId="0" fontId="0" fillId="0" borderId="0" xfId="898" applyNumberFormat="1" applyFont="1" applyBorder="1" applyAlignment="1">
      <alignment vertical="center"/>
    </xf>
    <xf numFmtId="0" fontId="0" fillId="0" borderId="33" xfId="898" applyNumberFormat="1" applyFont="1" applyBorder="1" applyAlignment="1">
      <alignment horizontal="centerContinuous" vertical="center"/>
    </xf>
    <xf numFmtId="0" fontId="0" fillId="0" borderId="39" xfId="898" applyNumberFormat="1" applyFont="1" applyBorder="1" applyAlignment="1">
      <alignment horizontal="center" vertical="center"/>
    </xf>
    <xf numFmtId="179" fontId="0" fillId="0" borderId="34" xfId="918" applyNumberFormat="1" applyFont="1" applyBorder="1" applyAlignment="1">
      <alignment horizontal="right" vertical="center"/>
      <protection/>
    </xf>
    <xf numFmtId="185" fontId="0" fillId="0" borderId="0" xfId="918" applyNumberFormat="1" applyFont="1" applyAlignment="1">
      <alignment horizontal="center" vertical="center"/>
      <protection/>
    </xf>
    <xf numFmtId="0" fontId="0" fillId="30" borderId="23" xfId="915" applyNumberFormat="1" applyFont="1" applyFill="1" applyBorder="1" applyAlignment="1">
      <alignment horizontal="center" shrinkToFit="1"/>
      <protection/>
    </xf>
    <xf numFmtId="0" fontId="0" fillId="30" borderId="0" xfId="924" applyNumberFormat="1" applyFont="1" applyFill="1" applyBorder="1" applyAlignment="1">
      <alignment horizontal="centerContinuous" vertical="center"/>
      <protection/>
    </xf>
    <xf numFmtId="0" fontId="0" fillId="30" borderId="40" xfId="924" applyNumberFormat="1" applyFont="1" applyFill="1" applyBorder="1" applyAlignment="1">
      <alignment horizontal="centerContinuous" vertical="center"/>
      <protection/>
    </xf>
    <xf numFmtId="0" fontId="0" fillId="30" borderId="37" xfId="924" applyNumberFormat="1" applyFont="1" applyFill="1" applyBorder="1" applyAlignment="1">
      <alignment horizontal="distributed" vertical="center"/>
      <protection/>
    </xf>
    <xf numFmtId="0" fontId="0" fillId="30" borderId="0" xfId="924" applyNumberFormat="1" applyFont="1" applyFill="1" applyBorder="1" applyAlignment="1">
      <alignment horizontal="distributed" vertical="center"/>
      <protection/>
    </xf>
    <xf numFmtId="0" fontId="0" fillId="30" borderId="40" xfId="924" applyNumberFormat="1" applyFont="1" applyFill="1" applyBorder="1" applyAlignment="1">
      <alignment horizontal="distributed" vertical="center"/>
      <protection/>
    </xf>
    <xf numFmtId="0" fontId="0" fillId="0" borderId="4" xfId="510" applyNumberFormat="1" applyFont="1" applyBorder="1" applyAlignment="1">
      <alignment horizontal="distributed" vertical="center"/>
    </xf>
    <xf numFmtId="0" fontId="0" fillId="0" borderId="5" xfId="510" applyNumberFormat="1" applyFont="1" applyBorder="1" applyAlignment="1">
      <alignment horizontal="distributed" vertical="center"/>
    </xf>
    <xf numFmtId="0" fontId="0" fillId="0" borderId="4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vertical="center"/>
    </xf>
    <xf numFmtId="0" fontId="0" fillId="0" borderId="37" xfId="510" applyNumberFormat="1" applyFont="1" applyBorder="1" applyAlignment="1">
      <alignment horizontal="distributed" vertical="center"/>
    </xf>
    <xf numFmtId="0" fontId="0" fillId="0" borderId="36" xfId="510" applyNumberFormat="1" applyFont="1" applyBorder="1" applyAlignment="1">
      <alignment horizontal="distributed" vertical="center"/>
    </xf>
    <xf numFmtId="0" fontId="0" fillId="0" borderId="35" xfId="510" applyNumberFormat="1" applyFont="1" applyBorder="1" applyAlignment="1">
      <alignment vertical="center"/>
    </xf>
    <xf numFmtId="179" fontId="0" fillId="0" borderId="37" xfId="510" applyNumberFormat="1" applyFont="1" applyBorder="1" applyAlignment="1">
      <alignment horizontal="right" vertical="center"/>
    </xf>
    <xf numFmtId="179" fontId="0" fillId="0" borderId="35" xfId="510" applyNumberFormat="1" applyFont="1" applyBorder="1" applyAlignment="1">
      <alignment horizontal="right" vertical="center"/>
    </xf>
    <xf numFmtId="179" fontId="0" fillId="0" borderId="23" xfId="510" applyNumberFormat="1" applyFont="1" applyBorder="1" applyAlignment="1">
      <alignment horizontal="right" vertical="center"/>
    </xf>
    <xf numFmtId="179" fontId="0" fillId="0" borderId="36" xfId="510" applyNumberFormat="1" applyFont="1" applyBorder="1" applyAlignment="1">
      <alignment horizontal="right" vertical="center"/>
    </xf>
    <xf numFmtId="0" fontId="0" fillId="30" borderId="23" xfId="510" applyNumberFormat="1" applyFont="1" applyFill="1" applyBorder="1" applyAlignment="1">
      <alignment horizontal="center" shrinkToFit="1"/>
    </xf>
    <xf numFmtId="0" fontId="0" fillId="30" borderId="22" xfId="510" applyNumberFormat="1" applyFont="1" applyFill="1" applyBorder="1" applyAlignment="1">
      <alignment horizontal="center" vertical="top" shrinkToFit="1"/>
    </xf>
    <xf numFmtId="179" fontId="0" fillId="0" borderId="0" xfId="918" applyNumberFormat="1" applyFont="1" applyAlignment="1">
      <alignment horizontal="center" vertical="center"/>
      <protection/>
    </xf>
    <xf numFmtId="0" fontId="0" fillId="30" borderId="0" xfId="510" applyNumberFormat="1" applyFont="1" applyFill="1" applyBorder="1" applyAlignment="1">
      <alignment horizontal="distributed" vertical="center"/>
    </xf>
    <xf numFmtId="0" fontId="0" fillId="30" borderId="0" xfId="926" applyNumberFormat="1" applyFont="1" applyFill="1" applyBorder="1" applyAlignment="1">
      <alignment horizontal="left" vertical="center"/>
      <protection/>
    </xf>
    <xf numFmtId="179" fontId="0" fillId="30" borderId="38" xfId="51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left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Alignment="1">
      <alignment horizontal="center" vertical="center"/>
    </xf>
    <xf numFmtId="0" fontId="0" fillId="30" borderId="0" xfId="510" applyNumberFormat="1" applyFont="1" applyFill="1" applyAlignment="1">
      <alignment horizontal="center" vertical="center"/>
    </xf>
    <xf numFmtId="0" fontId="0" fillId="30" borderId="0" xfId="0" applyNumberFormat="1" applyFont="1" applyFill="1" applyAlignment="1">
      <alignment horizontal="left" vertical="center"/>
    </xf>
    <xf numFmtId="0" fontId="0" fillId="30" borderId="0" xfId="926" applyNumberFormat="1" applyFont="1" applyFill="1" applyBorder="1" applyAlignment="1" quotePrefix="1">
      <alignment horizontal="left" vertical="center"/>
      <protection/>
    </xf>
    <xf numFmtId="0" fontId="0" fillId="30" borderId="0" xfId="510" applyNumberFormat="1" applyFont="1" applyFill="1" applyBorder="1" applyAlignment="1" quotePrefix="1">
      <alignment horizontal="left" vertical="center"/>
    </xf>
    <xf numFmtId="0" fontId="0" fillId="30" borderId="0" xfId="926" applyNumberFormat="1" applyFont="1" applyFill="1" applyAlignment="1">
      <alignment vertical="center"/>
      <protection/>
    </xf>
    <xf numFmtId="0" fontId="0" fillId="30" borderId="0" xfId="926" applyNumberFormat="1" applyFont="1" applyFill="1" applyAlignment="1">
      <alignment horizontal="left" vertical="center"/>
      <protection/>
    </xf>
    <xf numFmtId="179" fontId="0" fillId="30" borderId="38" xfId="510" applyNumberFormat="1" applyFont="1" applyFill="1" applyBorder="1" applyAlignment="1">
      <alignment horizontal="right" vertical="center"/>
    </xf>
    <xf numFmtId="0" fontId="0" fillId="30" borderId="39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distributed" vertical="center"/>
    </xf>
    <xf numFmtId="0" fontId="0" fillId="30" borderId="4" xfId="0" applyNumberFormat="1" applyFont="1" applyFill="1" applyBorder="1" applyAlignment="1">
      <alignment horizontal="center" vertical="center"/>
    </xf>
    <xf numFmtId="0" fontId="0" fillId="30" borderId="38" xfId="510" applyNumberFormat="1" applyFont="1" applyFill="1" applyBorder="1" applyAlignment="1">
      <alignment horizontal="center" vertical="center"/>
    </xf>
    <xf numFmtId="0" fontId="0" fillId="30" borderId="39" xfId="510" applyNumberFormat="1" applyFont="1" applyFill="1" applyBorder="1" applyAlignment="1">
      <alignment horizontal="left" vertical="center"/>
    </xf>
    <xf numFmtId="41" fontId="0" fillId="30" borderId="0" xfId="510" applyNumberFormat="1" applyFont="1" applyFill="1" applyAlignment="1">
      <alignment horizontal="center" vertical="center"/>
    </xf>
    <xf numFmtId="41" fontId="1" fillId="30" borderId="0" xfId="0" applyNumberFormat="1" applyFont="1" applyFill="1" applyAlignment="1">
      <alignment horizontal="center" vertical="center"/>
    </xf>
    <xf numFmtId="41" fontId="0" fillId="30" borderId="0" xfId="0" applyNumberFormat="1" applyFont="1" applyFill="1" applyAlignment="1">
      <alignment horizontal="center" vertical="center"/>
    </xf>
    <xf numFmtId="0" fontId="0" fillId="30" borderId="0" xfId="914" applyNumberFormat="1" applyFont="1" applyFill="1" applyAlignment="1">
      <alignment vertical="center"/>
      <protection/>
    </xf>
    <xf numFmtId="0" fontId="0" fillId="30" borderId="0" xfId="914" applyNumberFormat="1" applyFont="1" applyFill="1" applyBorder="1" applyAlignment="1">
      <alignment vertical="center"/>
      <protection/>
    </xf>
    <xf numFmtId="0" fontId="1" fillId="30" borderId="0" xfId="913" applyNumberFormat="1" applyFont="1" applyFill="1" applyAlignment="1">
      <alignment horizontal="centerContinuous" vertical="center"/>
      <protection/>
    </xf>
    <xf numFmtId="0" fontId="0" fillId="30" borderId="0" xfId="913" applyNumberFormat="1" applyFont="1" applyFill="1" applyBorder="1" applyAlignment="1">
      <alignment horizontal="centerContinuous" vertical="center"/>
      <protection/>
    </xf>
    <xf numFmtId="0" fontId="0" fillId="30" borderId="0" xfId="913" applyNumberFormat="1" applyFont="1" applyFill="1" applyAlignment="1">
      <alignment horizontal="centerContinuous" vertical="center"/>
      <protection/>
    </xf>
    <xf numFmtId="0" fontId="0" fillId="30" borderId="0" xfId="510" applyNumberFormat="1" applyFont="1" applyFill="1" applyBorder="1" applyAlignment="1">
      <alignment horizontal="center" vertical="center"/>
    </xf>
    <xf numFmtId="0" fontId="0" fillId="30" borderId="0" xfId="510" applyNumberFormat="1" applyFont="1" applyFill="1" applyAlignment="1" quotePrefix="1">
      <alignment horizontal="centerContinuous" vertical="center"/>
    </xf>
    <xf numFmtId="0" fontId="0" fillId="30" borderId="0" xfId="510" applyNumberFormat="1" applyFont="1" applyFill="1" applyBorder="1" applyAlignment="1">
      <alignment horizontal="centerContinuous" vertical="center"/>
    </xf>
    <xf numFmtId="0" fontId="0" fillId="30" borderId="0" xfId="913" applyNumberFormat="1" applyFont="1" applyFill="1" applyAlignment="1">
      <alignment horizontal="left" vertical="center"/>
      <protection/>
    </xf>
    <xf numFmtId="0" fontId="0" fillId="30" borderId="0" xfId="913" applyNumberFormat="1" applyFont="1" applyFill="1" applyBorder="1" applyAlignment="1">
      <alignment horizontal="left" vertical="center"/>
      <protection/>
    </xf>
    <xf numFmtId="0" fontId="0" fillId="30" borderId="0" xfId="510" applyNumberFormat="1" applyFont="1" applyFill="1" applyBorder="1" applyAlignment="1">
      <alignment horizontal="left" vertical="center"/>
    </xf>
    <xf numFmtId="0" fontId="0" fillId="30" borderId="0" xfId="510" applyNumberFormat="1" applyFont="1" applyFill="1" applyAlignment="1">
      <alignment horizontal="right" vertical="center"/>
    </xf>
    <xf numFmtId="0" fontId="0" fillId="30" borderId="2" xfId="913" applyNumberFormat="1" applyFont="1" applyFill="1" applyBorder="1" applyAlignment="1">
      <alignment vertical="center"/>
      <protection/>
    </xf>
    <xf numFmtId="0" fontId="0" fillId="30" borderId="28" xfId="913" applyNumberFormat="1" applyFont="1" applyFill="1" applyBorder="1" applyAlignment="1">
      <alignment horizontal="centerContinuous" vertical="center"/>
      <protection/>
    </xf>
    <xf numFmtId="0" fontId="0" fillId="30" borderId="28" xfId="913" applyNumberFormat="1" applyFont="1" applyFill="1" applyBorder="1" applyAlignment="1">
      <alignment horizontal="center" vertical="center"/>
      <protection/>
    </xf>
    <xf numFmtId="0" fontId="0" fillId="30" borderId="28" xfId="510" applyNumberFormat="1" applyFont="1" applyFill="1" applyBorder="1" applyAlignment="1">
      <alignment horizontal="centerContinuous" vertical="center"/>
    </xf>
    <xf numFmtId="0" fontId="0" fillId="30" borderId="3" xfId="510" applyNumberFormat="1" applyFont="1" applyFill="1" applyBorder="1" applyAlignment="1">
      <alignment horizontal="centerContinuous" vertical="center"/>
    </xf>
    <xf numFmtId="0" fontId="0" fillId="30" borderId="28" xfId="913" applyNumberFormat="1" applyFont="1" applyFill="1" applyBorder="1" applyAlignment="1">
      <alignment horizontal="distributed" vertical="center"/>
      <protection/>
    </xf>
    <xf numFmtId="179" fontId="0" fillId="30" borderId="28" xfId="510" applyNumberFormat="1" applyFont="1" applyFill="1" applyBorder="1" applyAlignment="1">
      <alignment horizontal="right" vertical="center"/>
    </xf>
    <xf numFmtId="179" fontId="0" fillId="30" borderId="2" xfId="510" applyNumberFormat="1" applyFont="1" applyFill="1" applyBorder="1" applyAlignment="1">
      <alignment horizontal="right" vertical="center"/>
    </xf>
    <xf numFmtId="179" fontId="0" fillId="30" borderId="3" xfId="510" applyNumberFormat="1" applyFont="1" applyFill="1" applyBorder="1" applyAlignment="1">
      <alignment horizontal="center" vertical="center"/>
    </xf>
    <xf numFmtId="0" fontId="0" fillId="30" borderId="3" xfId="510" applyNumberFormat="1" applyFont="1" applyFill="1" applyBorder="1" applyAlignment="1">
      <alignment horizontal="center" vertical="center"/>
    </xf>
    <xf numFmtId="41" fontId="0" fillId="30" borderId="0" xfId="510" applyFont="1" applyFill="1" applyAlignment="1">
      <alignment horizontal="center" vertical="center"/>
    </xf>
    <xf numFmtId="41" fontId="0" fillId="30" borderId="0" xfId="0" applyNumberFormat="1" applyFont="1" applyFill="1" applyAlignment="1">
      <alignment horizontal="center" vertical="center"/>
    </xf>
    <xf numFmtId="183" fontId="0" fillId="30" borderId="2" xfId="510" applyNumberFormat="1" applyFont="1" applyFill="1" applyBorder="1" applyAlignment="1">
      <alignment horizontal="right" vertical="center"/>
    </xf>
    <xf numFmtId="0" fontId="0" fillId="30" borderId="33" xfId="510" applyNumberFormat="1" applyFont="1" applyFill="1" applyBorder="1" applyAlignment="1">
      <alignment horizontal="left" vertical="center"/>
    </xf>
    <xf numFmtId="0" fontId="0" fillId="30" borderId="34" xfId="897" applyNumberFormat="1" applyFont="1" applyFill="1" applyBorder="1" applyAlignment="1">
      <alignment horizontal="center" vertical="center"/>
    </xf>
    <xf numFmtId="0" fontId="0" fillId="0" borderId="0" xfId="898" applyNumberFormat="1" applyFont="1" applyBorder="1" applyAlignment="1">
      <alignment horizontal="right" vertical="center"/>
    </xf>
    <xf numFmtId="186" fontId="0" fillId="30" borderId="28" xfId="510" applyNumberFormat="1" applyFont="1" applyFill="1" applyBorder="1" applyAlignment="1">
      <alignment horizontal="right" vertical="center"/>
    </xf>
    <xf numFmtId="186" fontId="0" fillId="30" borderId="38" xfId="510" applyNumberFormat="1" applyFont="1" applyFill="1" applyBorder="1" applyAlignment="1">
      <alignment horizontal="center" vertical="center"/>
    </xf>
    <xf numFmtId="9" fontId="0" fillId="30" borderId="38" xfId="510" applyNumberFormat="1" applyFont="1" applyFill="1" applyBorder="1" applyAlignment="1">
      <alignment horizontal="center" vertical="center"/>
    </xf>
    <xf numFmtId="186" fontId="0" fillId="30" borderId="38" xfId="510" applyNumberFormat="1" applyFont="1" applyFill="1" applyBorder="1" applyAlignment="1">
      <alignment horizontal="center" vertical="center"/>
    </xf>
    <xf numFmtId="0" fontId="0" fillId="30" borderId="3" xfId="510" applyNumberFormat="1" applyFont="1" applyFill="1" applyBorder="1" applyAlignment="1">
      <alignment horizontal="centerContinuous" vertical="center"/>
    </xf>
    <xf numFmtId="0" fontId="0" fillId="30" borderId="39" xfId="51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right" vertical="center"/>
    </xf>
    <xf numFmtId="229" fontId="0" fillId="30" borderId="0" xfId="0" applyNumberFormat="1" applyFont="1" applyFill="1" applyAlignment="1">
      <alignment vertical="center"/>
    </xf>
    <xf numFmtId="0" fontId="0" fillId="30" borderId="2" xfId="510" applyNumberFormat="1" applyFont="1" applyFill="1" applyBorder="1" applyAlignment="1">
      <alignment horizontal="centerContinuous" vertical="center" wrapText="1"/>
    </xf>
    <xf numFmtId="0" fontId="0" fillId="30" borderId="28" xfId="510" applyNumberFormat="1" applyFont="1" applyFill="1" applyBorder="1" applyAlignment="1">
      <alignment horizontal="centerContinuous" vertical="center" wrapText="1"/>
    </xf>
    <xf numFmtId="0" fontId="0" fillId="30" borderId="36" xfId="913" applyNumberFormat="1" applyFont="1" applyFill="1" applyBorder="1" applyAlignment="1">
      <alignment vertical="center"/>
      <protection/>
    </xf>
    <xf numFmtId="0" fontId="0" fillId="30" borderId="37" xfId="913" applyNumberFormat="1" applyFont="1" applyFill="1" applyBorder="1" applyAlignment="1">
      <alignment horizontal="centerContinuous" vertical="center"/>
      <protection/>
    </xf>
    <xf numFmtId="0" fontId="0" fillId="30" borderId="37" xfId="913" applyNumberFormat="1" applyFont="1" applyFill="1" applyBorder="1" applyAlignment="1">
      <alignment horizontal="center" vertical="center"/>
      <protection/>
    </xf>
    <xf numFmtId="0" fontId="0" fillId="30" borderId="36" xfId="510" applyNumberFormat="1" applyFont="1" applyFill="1" applyBorder="1" applyAlignment="1">
      <alignment horizontal="centerContinuous" vertical="center" wrapText="1"/>
    </xf>
    <xf numFmtId="0" fontId="0" fillId="30" borderId="37" xfId="510" applyNumberFormat="1" applyFont="1" applyFill="1" applyBorder="1" applyAlignment="1">
      <alignment horizontal="centerContinuous" vertical="center"/>
    </xf>
    <xf numFmtId="0" fontId="0" fillId="30" borderId="23" xfId="510" applyNumberFormat="1" applyFont="1" applyFill="1" applyBorder="1" applyAlignment="1">
      <alignment horizontal="centerContinuous" vertical="center"/>
    </xf>
    <xf numFmtId="0" fontId="0" fillId="30" borderId="37" xfId="510" applyNumberFormat="1" applyFont="1" applyFill="1" applyBorder="1" applyAlignment="1">
      <alignment horizontal="centerContinuous" vertical="center" wrapText="1"/>
    </xf>
    <xf numFmtId="0" fontId="0" fillId="30" borderId="4" xfId="913" applyNumberFormat="1" applyFont="1" applyFill="1" applyBorder="1" applyAlignment="1">
      <alignment vertical="center"/>
      <protection/>
    </xf>
    <xf numFmtId="0" fontId="0" fillId="30" borderId="0" xfId="913" applyNumberFormat="1" applyFont="1" applyFill="1" applyBorder="1" applyAlignment="1">
      <alignment horizontal="center" vertical="center"/>
      <protection/>
    </xf>
    <xf numFmtId="0" fontId="0" fillId="30" borderId="38" xfId="510" applyNumberFormat="1" applyFont="1" applyFill="1" applyBorder="1" applyAlignment="1">
      <alignment horizontal="centerContinuous" vertical="center"/>
    </xf>
    <xf numFmtId="0" fontId="0" fillId="30" borderId="4" xfId="913" applyNumberFormat="1" applyFont="1" applyFill="1" applyBorder="1" applyAlignment="1">
      <alignment vertical="center" wrapText="1"/>
      <protection/>
    </xf>
    <xf numFmtId="0" fontId="0" fillId="30" borderId="0" xfId="913" applyNumberFormat="1" applyFont="1" applyFill="1" applyBorder="1" applyAlignment="1">
      <alignment horizontal="distributed" vertical="center" wrapText="1"/>
      <protection/>
    </xf>
    <xf numFmtId="186" fontId="0" fillId="30" borderId="4" xfId="510" applyNumberFormat="1" applyFont="1" applyFill="1" applyBorder="1" applyAlignment="1">
      <alignment horizontal="right" vertical="center"/>
    </xf>
    <xf numFmtId="179" fontId="0" fillId="30" borderId="0" xfId="510" applyNumberFormat="1" applyFont="1" applyFill="1" applyBorder="1" applyAlignment="1">
      <alignment horizontal="right" vertical="center"/>
    </xf>
    <xf numFmtId="186" fontId="0" fillId="30" borderId="0" xfId="510" applyNumberFormat="1" applyFont="1" applyFill="1" applyBorder="1" applyAlignment="1">
      <alignment horizontal="right" vertical="center"/>
    </xf>
    <xf numFmtId="0" fontId="0" fillId="30" borderId="5" xfId="913" applyNumberFormat="1" applyFont="1" applyFill="1" applyBorder="1" applyAlignment="1">
      <alignment vertical="center" wrapText="1"/>
      <protection/>
    </xf>
    <xf numFmtId="0" fontId="0" fillId="30" borderId="40" xfId="913" applyNumberFormat="1" applyFont="1" applyFill="1" applyBorder="1" applyAlignment="1">
      <alignment horizontal="distributed" vertical="center" wrapText="1"/>
      <protection/>
    </xf>
    <xf numFmtId="186" fontId="0" fillId="30" borderId="5" xfId="510" applyNumberFormat="1" applyFont="1" applyFill="1" applyBorder="1" applyAlignment="1">
      <alignment horizontal="right" vertical="center"/>
    </xf>
    <xf numFmtId="179" fontId="0" fillId="30" borderId="40" xfId="510" applyNumberFormat="1" applyFont="1" applyFill="1" applyBorder="1" applyAlignment="1">
      <alignment horizontal="right" vertical="center"/>
    </xf>
    <xf numFmtId="186" fontId="0" fillId="30" borderId="22" xfId="510" applyNumberFormat="1" applyFont="1" applyFill="1" applyBorder="1" applyAlignment="1">
      <alignment horizontal="center" vertical="center"/>
    </xf>
    <xf numFmtId="186" fontId="0" fillId="30" borderId="40" xfId="510" applyNumberFormat="1" applyFont="1" applyFill="1" applyBorder="1" applyAlignment="1">
      <alignment horizontal="right" vertical="center"/>
    </xf>
    <xf numFmtId="0" fontId="0" fillId="30" borderId="22" xfId="510" applyNumberFormat="1" applyFont="1" applyFill="1" applyBorder="1" applyAlignment="1">
      <alignment horizontal="center" vertical="center"/>
    </xf>
    <xf numFmtId="186" fontId="0" fillId="30" borderId="22" xfId="510" applyNumberFormat="1" applyFont="1" applyFill="1" applyBorder="1" applyAlignment="1">
      <alignment horizontal="center" vertical="center"/>
    </xf>
    <xf numFmtId="0" fontId="0" fillId="30" borderId="34" xfId="510" applyNumberFormat="1" applyFont="1" applyFill="1" applyBorder="1" applyAlignment="1">
      <alignment horizontal="left" vertical="center"/>
    </xf>
    <xf numFmtId="186" fontId="0" fillId="30" borderId="0" xfId="0" applyNumberFormat="1" applyFont="1" applyFill="1" applyAlignment="1">
      <alignment horizontal="right" vertical="center"/>
    </xf>
    <xf numFmtId="41" fontId="0" fillId="0" borderId="0" xfId="510" applyFont="1" applyBorder="1" applyAlignment="1">
      <alignment vertical="center"/>
    </xf>
    <xf numFmtId="179" fontId="0" fillId="30" borderId="33" xfId="510" applyNumberFormat="1" applyFont="1" applyFill="1" applyBorder="1" applyAlignment="1">
      <alignment horizontal="right" vertical="center"/>
    </xf>
    <xf numFmtId="0" fontId="0" fillId="30" borderId="28" xfId="510" applyNumberFormat="1" applyFont="1" applyFill="1" applyBorder="1" applyAlignment="1">
      <alignment horizontal="right" vertical="center"/>
    </xf>
    <xf numFmtId="185" fontId="0" fillId="30" borderId="2" xfId="0" applyNumberFormat="1" applyFont="1" applyFill="1" applyBorder="1" applyAlignment="1">
      <alignment horizontal="right" vertical="center"/>
    </xf>
    <xf numFmtId="0" fontId="0" fillId="30" borderId="28" xfId="0" applyNumberFormat="1" applyFont="1" applyFill="1" applyBorder="1" applyAlignment="1" quotePrefix="1">
      <alignment vertical="center"/>
    </xf>
    <xf numFmtId="179" fontId="0" fillId="30" borderId="4" xfId="510" applyNumberFormat="1" applyFont="1" applyFill="1" applyBorder="1" applyAlignment="1">
      <alignment horizontal="right" vertical="center"/>
    </xf>
    <xf numFmtId="179" fontId="0" fillId="30" borderId="38" xfId="510" applyNumberFormat="1" applyFont="1" applyFill="1" applyBorder="1" applyAlignment="1">
      <alignment horizontal="center" vertical="center"/>
    </xf>
    <xf numFmtId="0" fontId="0" fillId="0" borderId="0" xfId="918" applyNumberFormat="1" applyFont="1" applyBorder="1" applyAlignment="1">
      <alignment horizontal="distributed" vertical="center" shrinkToFit="1"/>
      <protection/>
    </xf>
    <xf numFmtId="0" fontId="0" fillId="0" borderId="0" xfId="918" applyNumberFormat="1" applyFont="1" applyBorder="1" applyAlignment="1">
      <alignment horizontal="distributed" vertical="center" shrinkToFit="1"/>
      <protection/>
    </xf>
    <xf numFmtId="0" fontId="0" fillId="30" borderId="0" xfId="924" applyNumberFormat="1" applyFont="1" applyFill="1" applyBorder="1" applyAlignment="1">
      <alignment horizontal="distributed" vertical="center" shrinkToFit="1"/>
      <protection/>
    </xf>
    <xf numFmtId="0" fontId="0" fillId="30" borderId="0" xfId="0" applyNumberFormat="1" applyFont="1" applyFill="1" applyBorder="1" applyAlignment="1">
      <alignment horizontal="distributed" vertical="center" shrinkToFit="1"/>
    </xf>
    <xf numFmtId="0" fontId="0" fillId="0" borderId="37" xfId="510" applyNumberFormat="1" applyFont="1" applyBorder="1" applyAlignment="1">
      <alignment horizontal="distributed" vertical="center" shrinkToFit="1"/>
    </xf>
    <xf numFmtId="0" fontId="0" fillId="0" borderId="0" xfId="510" applyNumberFormat="1" applyFont="1" applyBorder="1" applyAlignment="1">
      <alignment horizontal="distributed" vertical="center" shrinkToFit="1"/>
    </xf>
    <xf numFmtId="0" fontId="0" fillId="0" borderId="40" xfId="510" applyNumberFormat="1" applyFont="1" applyBorder="1" applyAlignment="1">
      <alignment horizontal="distributed" vertical="center" shrinkToFit="1"/>
    </xf>
    <xf numFmtId="0" fontId="0" fillId="30" borderId="4" xfId="510" applyNumberFormat="1" applyFont="1" applyFill="1" applyBorder="1" applyAlignment="1">
      <alignment horizontal="centerContinuous" vertical="center"/>
    </xf>
    <xf numFmtId="0" fontId="0" fillId="30" borderId="38" xfId="915" applyNumberFormat="1" applyFont="1" applyFill="1" applyBorder="1" applyAlignment="1">
      <alignment horizontal="center" vertical="top" shrinkToFit="1"/>
      <protection/>
    </xf>
    <xf numFmtId="0" fontId="0" fillId="0" borderId="40" xfId="918" applyNumberFormat="1" applyFont="1" applyBorder="1" applyAlignment="1">
      <alignment horizontal="distributed" vertical="center"/>
      <protection/>
    </xf>
    <xf numFmtId="0" fontId="0" fillId="30" borderId="0" xfId="920" applyFont="1" applyFill="1" applyAlignment="1">
      <alignment vertical="center"/>
      <protection/>
    </xf>
    <xf numFmtId="0" fontId="20" fillId="30" borderId="0" xfId="921" applyFont="1" applyFill="1">
      <alignment/>
      <protection/>
    </xf>
    <xf numFmtId="0" fontId="21" fillId="30" borderId="0" xfId="921" applyFont="1" applyFill="1" applyAlignment="1">
      <alignment horizontal="centerContinuous" vertical="center"/>
      <protection/>
    </xf>
    <xf numFmtId="0" fontId="21" fillId="30" borderId="0" xfId="920" applyFont="1" applyFill="1" applyBorder="1" applyAlignment="1">
      <alignment horizontal="centerContinuous"/>
      <protection/>
    </xf>
    <xf numFmtId="0" fontId="21" fillId="30" borderId="0" xfId="920" applyFont="1" applyFill="1" applyAlignment="1">
      <alignment horizontal="centerContinuous"/>
      <protection/>
    </xf>
    <xf numFmtId="41" fontId="21" fillId="30" borderId="0" xfId="897" applyFont="1" applyFill="1" applyBorder="1" applyAlignment="1">
      <alignment horizontal="centerContinuous"/>
    </xf>
    <xf numFmtId="41" fontId="21" fillId="30" borderId="0" xfId="897" applyFont="1" applyFill="1" applyAlignment="1">
      <alignment horizontal="centerContinuous"/>
    </xf>
    <xf numFmtId="0" fontId="21" fillId="30" borderId="0" xfId="920" applyFont="1" applyFill="1">
      <alignment/>
      <protection/>
    </xf>
    <xf numFmtId="0" fontId="20" fillId="30" borderId="0" xfId="921" applyFont="1" applyFill="1" applyBorder="1" applyAlignment="1">
      <alignment horizontal="left" vertical="center"/>
      <protection/>
    </xf>
    <xf numFmtId="0" fontId="20" fillId="30" borderId="0" xfId="921" applyFont="1" applyFill="1" applyAlignment="1">
      <alignment vertical="center"/>
      <protection/>
    </xf>
    <xf numFmtId="0" fontId="20" fillId="30" borderId="0" xfId="921" applyFont="1" applyFill="1" applyAlignment="1">
      <alignment horizontal="left" vertical="center"/>
      <protection/>
    </xf>
    <xf numFmtId="0" fontId="20" fillId="30" borderId="0" xfId="921" applyFont="1" applyFill="1" applyBorder="1" applyAlignment="1">
      <alignment vertical="center"/>
      <protection/>
    </xf>
    <xf numFmtId="178" fontId="20" fillId="30" borderId="0" xfId="899" applyFont="1" applyFill="1" applyAlignment="1">
      <alignment vertical="center"/>
    </xf>
    <xf numFmtId="230" fontId="20" fillId="30" borderId="0" xfId="899" applyNumberFormat="1" applyFont="1" applyFill="1" applyAlignment="1">
      <alignment vertical="center"/>
    </xf>
    <xf numFmtId="0" fontId="20" fillId="30" borderId="0" xfId="921" applyFont="1" applyFill="1" applyAlignment="1" quotePrefix="1">
      <alignment horizontal="right" vertical="center"/>
      <protection/>
    </xf>
    <xf numFmtId="0" fontId="0" fillId="30" borderId="2" xfId="921" applyFont="1" applyFill="1" applyBorder="1" applyAlignment="1">
      <alignment horizontal="centerContinuous" vertical="center"/>
      <protection/>
    </xf>
    <xf numFmtId="0" fontId="0" fillId="30" borderId="41" xfId="921" applyFont="1" applyFill="1" applyBorder="1" applyAlignment="1">
      <alignment horizontal="centerContinuous" vertical="center"/>
      <protection/>
    </xf>
    <xf numFmtId="0" fontId="0" fillId="30" borderId="2" xfId="921" applyFont="1" applyFill="1" applyBorder="1" applyAlignment="1">
      <alignment horizontal="center" vertical="center"/>
      <protection/>
    </xf>
    <xf numFmtId="0" fontId="0" fillId="30" borderId="28" xfId="921" applyFont="1" applyFill="1" applyBorder="1" applyAlignment="1" quotePrefix="1">
      <alignment horizontal="distributed" vertical="center"/>
      <protection/>
    </xf>
    <xf numFmtId="0" fontId="0" fillId="30" borderId="33" xfId="921" applyFont="1" applyFill="1" applyBorder="1" applyAlignment="1">
      <alignment horizontal="center" vertical="center"/>
      <protection/>
    </xf>
    <xf numFmtId="178" fontId="0" fillId="30" borderId="42" xfId="899" applyFont="1" applyFill="1" applyBorder="1" applyAlignment="1">
      <alignment horizontal="center" vertical="center"/>
    </xf>
    <xf numFmtId="230" fontId="0" fillId="30" borderId="3" xfId="899" applyNumberFormat="1" applyFont="1" applyFill="1" applyBorder="1" applyAlignment="1">
      <alignment horizontal="center" vertical="center"/>
    </xf>
    <xf numFmtId="0" fontId="0" fillId="30" borderId="43" xfId="921" applyFont="1" applyFill="1" applyBorder="1" applyAlignment="1">
      <alignment horizontal="center" vertical="center"/>
      <protection/>
    </xf>
    <xf numFmtId="0" fontId="0" fillId="30" borderId="0" xfId="921" applyFont="1" applyFill="1">
      <alignment/>
      <protection/>
    </xf>
    <xf numFmtId="0" fontId="20" fillId="0" borderId="2" xfId="922" applyFont="1" applyFill="1" applyBorder="1" applyAlignment="1">
      <alignment horizontal="left" vertical="center"/>
      <protection/>
    </xf>
    <xf numFmtId="0" fontId="20" fillId="0" borderId="41" xfId="922" applyFont="1" applyFill="1" applyBorder="1" applyAlignment="1">
      <alignment horizontal="left" vertical="center"/>
      <protection/>
    </xf>
    <xf numFmtId="0" fontId="20" fillId="0" borderId="28" xfId="924" applyFont="1" applyFill="1" applyBorder="1" applyAlignment="1">
      <alignment horizontal="distributed" vertical="center"/>
      <protection/>
    </xf>
    <xf numFmtId="0" fontId="20" fillId="0" borderId="33" xfId="922" applyFont="1" applyFill="1" applyBorder="1" applyAlignment="1">
      <alignment horizontal="distributed" vertical="center"/>
      <protection/>
    </xf>
    <xf numFmtId="178" fontId="20" fillId="0" borderId="42" xfId="899" applyFont="1" applyFill="1" applyBorder="1" applyAlignment="1">
      <alignment vertical="center"/>
    </xf>
    <xf numFmtId="230" fontId="20" fillId="0" borderId="3" xfId="899" applyNumberFormat="1" applyFont="1" applyFill="1" applyBorder="1" applyAlignment="1">
      <alignment vertical="center"/>
    </xf>
    <xf numFmtId="0" fontId="20" fillId="0" borderId="43" xfId="922" applyFont="1" applyFill="1" applyBorder="1" applyAlignment="1">
      <alignment vertical="center"/>
      <protection/>
    </xf>
    <xf numFmtId="0" fontId="20" fillId="0" borderId="0" xfId="922" applyFont="1" applyFill="1">
      <alignment/>
      <protection/>
    </xf>
    <xf numFmtId="0" fontId="20" fillId="0" borderId="44" xfId="922" applyFont="1" applyFill="1" applyBorder="1" applyAlignment="1">
      <alignment horizontal="left" vertical="center"/>
      <protection/>
    </xf>
    <xf numFmtId="0" fontId="20" fillId="0" borderId="45" xfId="922" applyFont="1" applyFill="1" applyBorder="1" applyAlignment="1">
      <alignment horizontal="left" vertical="center"/>
      <protection/>
    </xf>
    <xf numFmtId="0" fontId="20" fillId="0" borderId="46" xfId="924" applyFont="1" applyFill="1" applyBorder="1" applyAlignment="1">
      <alignment horizontal="distributed" vertical="center"/>
      <protection/>
    </xf>
    <xf numFmtId="0" fontId="20" fillId="0" borderId="47" xfId="922" applyFont="1" applyFill="1" applyBorder="1" applyAlignment="1">
      <alignment horizontal="distributed" vertical="center"/>
      <protection/>
    </xf>
    <xf numFmtId="178" fontId="20" fillId="0" borderId="48" xfId="899" applyFont="1" applyFill="1" applyBorder="1" applyAlignment="1">
      <alignment vertical="center"/>
    </xf>
    <xf numFmtId="230" fontId="20" fillId="0" borderId="23" xfId="899" applyNumberFormat="1" applyFont="1" applyFill="1" applyBorder="1" applyAlignment="1">
      <alignment vertical="center"/>
    </xf>
    <xf numFmtId="0" fontId="20" fillId="0" borderId="49" xfId="922" applyFont="1" applyFill="1" applyBorder="1" applyAlignment="1">
      <alignment vertical="center"/>
      <protection/>
    </xf>
    <xf numFmtId="0" fontId="20" fillId="0" borderId="4" xfId="922" applyFont="1" applyFill="1" applyBorder="1" applyAlignment="1">
      <alignment horizontal="left" vertical="center"/>
      <protection/>
    </xf>
    <xf numFmtId="0" fontId="20" fillId="0" borderId="50" xfId="922" applyFont="1" applyFill="1" applyBorder="1" applyAlignment="1">
      <alignment horizontal="left" vertical="center"/>
      <protection/>
    </xf>
    <xf numFmtId="0" fontId="20" fillId="0" borderId="0" xfId="924" applyFont="1" applyFill="1" applyBorder="1" applyAlignment="1">
      <alignment horizontal="distributed" vertical="center"/>
      <protection/>
    </xf>
    <xf numFmtId="0" fontId="20" fillId="0" borderId="39" xfId="922" applyFont="1" applyFill="1" applyBorder="1" applyAlignment="1">
      <alignment horizontal="distributed" vertical="center"/>
      <protection/>
    </xf>
    <xf numFmtId="178" fontId="20" fillId="0" borderId="51" xfId="899" applyFont="1" applyFill="1" applyBorder="1" applyAlignment="1">
      <alignment vertical="center"/>
    </xf>
    <xf numFmtId="230" fontId="20" fillId="0" borderId="38" xfId="899" applyNumberFormat="1" applyFont="1" applyFill="1" applyBorder="1" applyAlignment="1">
      <alignment vertical="center"/>
    </xf>
    <xf numFmtId="0" fontId="20" fillId="0" borderId="52" xfId="922" applyFont="1" applyFill="1" applyBorder="1" applyAlignment="1">
      <alignment vertical="center"/>
      <protection/>
    </xf>
    <xf numFmtId="178" fontId="0" fillId="0" borderId="51" xfId="899" applyFont="1" applyFill="1" applyBorder="1" applyAlignment="1">
      <alignment vertical="center"/>
    </xf>
    <xf numFmtId="0" fontId="20" fillId="0" borderId="52" xfId="922" applyFont="1" applyFill="1" applyBorder="1" applyAlignment="1">
      <alignment horizontal="center" vertical="center"/>
      <protection/>
    </xf>
    <xf numFmtId="0" fontId="20" fillId="0" borderId="53" xfId="922" applyFont="1" applyFill="1" applyBorder="1" applyAlignment="1">
      <alignment horizontal="left" vertical="center"/>
      <protection/>
    </xf>
    <xf numFmtId="0" fontId="20" fillId="0" borderId="54" xfId="922" applyFont="1" applyFill="1" applyBorder="1" applyAlignment="1">
      <alignment horizontal="left" vertical="center"/>
      <protection/>
    </xf>
    <xf numFmtId="0" fontId="20" fillId="0" borderId="15" xfId="924" applyFont="1" applyFill="1" applyBorder="1" applyAlignment="1">
      <alignment horizontal="distributed" vertical="center"/>
      <protection/>
    </xf>
    <xf numFmtId="0" fontId="20" fillId="0" borderId="55" xfId="922" applyFont="1" applyFill="1" applyBorder="1" applyAlignment="1">
      <alignment horizontal="distributed" vertical="center"/>
      <protection/>
    </xf>
    <xf numFmtId="178" fontId="0" fillId="0" borderId="56" xfId="899" applyFont="1" applyFill="1" applyBorder="1" applyAlignment="1">
      <alignment vertical="center"/>
    </xf>
    <xf numFmtId="230" fontId="20" fillId="0" borderId="22" xfId="899" applyNumberFormat="1" applyFont="1" applyFill="1" applyBorder="1" applyAlignment="1">
      <alignment vertical="center"/>
    </xf>
    <xf numFmtId="178" fontId="0" fillId="0" borderId="42" xfId="899" applyFont="1" applyFill="1" applyBorder="1" applyAlignment="1">
      <alignment vertical="center"/>
    </xf>
    <xf numFmtId="178" fontId="0" fillId="0" borderId="48" xfId="899" applyFont="1" applyFill="1" applyBorder="1" applyAlignment="1">
      <alignment vertical="center"/>
    </xf>
    <xf numFmtId="0" fontId="20" fillId="0" borderId="0" xfId="922" applyFont="1" applyFill="1" applyBorder="1">
      <alignment/>
      <protection/>
    </xf>
    <xf numFmtId="0" fontId="20" fillId="0" borderId="57" xfId="922" applyFont="1" applyFill="1" applyBorder="1" applyAlignment="1">
      <alignment vertical="center"/>
      <protection/>
    </xf>
    <xf numFmtId="178" fontId="20" fillId="0" borderId="56" xfId="899" applyFont="1" applyFill="1" applyBorder="1" applyAlignment="1">
      <alignment vertical="center"/>
    </xf>
    <xf numFmtId="178" fontId="20" fillId="0" borderId="3" xfId="899" applyNumberFormat="1" applyFont="1" applyFill="1" applyBorder="1" applyAlignment="1">
      <alignment vertical="center"/>
    </xf>
    <xf numFmtId="0" fontId="0" fillId="30" borderId="0" xfId="921" applyFont="1" applyFill="1" applyAlignment="1">
      <alignment horizontal="left" vertical="center"/>
      <protection/>
    </xf>
    <xf numFmtId="0" fontId="0" fillId="30" borderId="0" xfId="921" applyFont="1" applyFill="1" applyBorder="1" applyAlignment="1">
      <alignment vertical="center"/>
      <protection/>
    </xf>
    <xf numFmtId="0" fontId="0" fillId="30" borderId="0" xfId="921" applyFont="1" applyFill="1" applyAlignment="1">
      <alignment vertical="center"/>
      <protection/>
    </xf>
    <xf numFmtId="178" fontId="0" fillId="30" borderId="0" xfId="899" applyFont="1" applyFill="1" applyAlignment="1">
      <alignment vertical="center"/>
    </xf>
    <xf numFmtId="230" fontId="0" fillId="30" borderId="0" xfId="899" applyNumberFormat="1" applyFont="1" applyFill="1" applyAlignment="1">
      <alignment vertical="center"/>
    </xf>
    <xf numFmtId="0" fontId="0" fillId="30" borderId="3" xfId="510" applyNumberFormat="1" applyFont="1" applyFill="1" applyBorder="1" applyAlignment="1">
      <alignment horizontal="left" vertical="center" wrapText="1"/>
    </xf>
    <xf numFmtId="41" fontId="0" fillId="30" borderId="38" xfId="510" applyFont="1" applyFill="1" applyBorder="1" applyAlignment="1">
      <alignment horizontal="lef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2" xfId="0" applyNumberFormat="1" applyFont="1" applyBorder="1" applyAlignment="1">
      <alignment horizontal="distributed" vertical="center"/>
    </xf>
    <xf numFmtId="0" fontId="20" fillId="30" borderId="28" xfId="0" applyNumberFormat="1" applyFont="1" applyFill="1" applyBorder="1" applyAlignment="1">
      <alignment horizontal="distributed" vertical="center"/>
    </xf>
    <xf numFmtId="0" fontId="80" fillId="30" borderId="28" xfId="0" applyNumberFormat="1" applyFont="1" applyFill="1" applyBorder="1" applyAlignment="1" quotePrefix="1">
      <alignment horizontal="distributed" vertical="center"/>
    </xf>
    <xf numFmtId="179" fontId="80" fillId="30" borderId="3" xfId="510" applyNumberFormat="1" applyFont="1" applyFill="1" applyBorder="1" applyAlignment="1">
      <alignment horizontal="right" vertical="center" shrinkToFit="1"/>
    </xf>
    <xf numFmtId="179" fontId="37" fillId="0" borderId="3" xfId="510" applyNumberFormat="1" applyFont="1" applyBorder="1" applyAlignment="1">
      <alignment horizontal="right" vertical="center"/>
    </xf>
    <xf numFmtId="3" fontId="0" fillId="0" borderId="0" xfId="918" applyNumberFormat="1" applyFon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30" borderId="0" xfId="926" applyNumberFormat="1" applyFont="1" applyFill="1" applyBorder="1" applyAlignment="1">
      <alignment horizontal="left" vertical="center"/>
      <protection/>
    </xf>
    <xf numFmtId="0" fontId="0" fillId="30" borderId="0" xfId="916" applyFont="1" applyFill="1" applyBorder="1" applyAlignment="1">
      <alignment vertical="center"/>
      <protection/>
    </xf>
    <xf numFmtId="180" fontId="0" fillId="30" borderId="0" xfId="918" applyNumberFormat="1" applyFont="1" applyFill="1" applyAlignment="1">
      <alignment vertical="center"/>
      <protection/>
    </xf>
    <xf numFmtId="41" fontId="0" fillId="30" borderId="0" xfId="898" applyFont="1" applyFill="1" applyAlignment="1">
      <alignment horizontal="center" vertical="center"/>
    </xf>
    <xf numFmtId="0" fontId="0" fillId="30" borderId="0" xfId="918" applyFont="1" applyFill="1" applyAlignment="1">
      <alignment horizontal="distributed" vertical="center"/>
      <protection/>
    </xf>
    <xf numFmtId="41" fontId="0" fillId="30" borderId="0" xfId="898" applyNumberFormat="1" applyFont="1" applyFill="1" applyAlignment="1">
      <alignment horizontal="center" vertical="center"/>
    </xf>
    <xf numFmtId="0" fontId="0" fillId="30" borderId="0" xfId="918" applyFont="1" applyFill="1" applyBorder="1" applyAlignment="1">
      <alignment horizontal="centerContinuous" vertical="center"/>
      <protection/>
    </xf>
    <xf numFmtId="0" fontId="0" fillId="30" borderId="0" xfId="918" applyFont="1" applyFill="1" applyAlignment="1">
      <alignment horizontal="centerContinuous" vertical="center"/>
      <protection/>
    </xf>
    <xf numFmtId="41" fontId="0" fillId="30" borderId="0" xfId="898" applyFont="1" applyFill="1" applyBorder="1" applyAlignment="1">
      <alignment horizontal="centerContinuous" vertical="center"/>
    </xf>
    <xf numFmtId="0" fontId="0" fillId="30" borderId="0" xfId="918" applyFont="1" applyFill="1" applyBorder="1" applyAlignment="1">
      <alignment horizontal="distributed" vertical="center"/>
      <protection/>
    </xf>
    <xf numFmtId="41" fontId="0" fillId="30" borderId="0" xfId="898" applyFont="1" applyFill="1" applyBorder="1" applyAlignment="1">
      <alignment horizontal="center" vertical="center"/>
    </xf>
    <xf numFmtId="179" fontId="0" fillId="30" borderId="0" xfId="898" applyNumberFormat="1" applyFont="1" applyFill="1" applyAlignment="1">
      <alignment horizontal="right" vertical="center"/>
    </xf>
    <xf numFmtId="41" fontId="0" fillId="30" borderId="2" xfId="898" applyFont="1" applyFill="1" applyBorder="1" applyAlignment="1">
      <alignment horizontal="center" vertical="center"/>
    </xf>
    <xf numFmtId="0" fontId="0" fillId="30" borderId="28" xfId="918" applyFont="1" applyFill="1" applyBorder="1" applyAlignment="1">
      <alignment horizontal="center" vertical="center"/>
      <protection/>
    </xf>
    <xf numFmtId="41" fontId="0" fillId="30" borderId="33" xfId="898" applyFont="1" applyFill="1" applyBorder="1" applyAlignment="1">
      <alignment horizontal="center" vertical="center"/>
    </xf>
    <xf numFmtId="41" fontId="0" fillId="30" borderId="33" xfId="898" applyFont="1" applyFill="1" applyBorder="1" applyAlignment="1" quotePrefix="1">
      <alignment horizontal="centerContinuous" vertical="center" shrinkToFit="1"/>
    </xf>
    <xf numFmtId="41" fontId="0" fillId="30" borderId="28" xfId="898" applyFont="1" applyFill="1" applyBorder="1" applyAlignment="1">
      <alignment horizontal="center" vertical="center"/>
    </xf>
    <xf numFmtId="41" fontId="0" fillId="30" borderId="4" xfId="898" applyFont="1" applyFill="1" applyBorder="1" applyAlignment="1">
      <alignment horizontal="center" vertical="center"/>
    </xf>
    <xf numFmtId="0" fontId="0" fillId="30" borderId="0" xfId="918" applyFont="1" applyFill="1" applyAlignment="1">
      <alignment horizontal="left" vertical="center" shrinkToFit="1"/>
      <protection/>
    </xf>
    <xf numFmtId="41" fontId="0" fillId="30" borderId="47" xfId="898" applyFont="1" applyFill="1" applyBorder="1" applyAlignment="1">
      <alignment horizontal="center" vertical="center"/>
    </xf>
    <xf numFmtId="41" fontId="0" fillId="30" borderId="39" xfId="898" applyFont="1" applyFill="1" applyBorder="1" applyAlignment="1">
      <alignment horizontal="center" vertical="center"/>
    </xf>
    <xf numFmtId="49" fontId="0" fillId="30" borderId="0" xfId="898" applyNumberFormat="1" applyFont="1" applyFill="1" applyAlignment="1">
      <alignment horizontal="center" vertical="center"/>
    </xf>
    <xf numFmtId="49" fontId="0" fillId="30" borderId="39" xfId="898" applyNumberFormat="1" applyFont="1" applyFill="1" applyBorder="1" applyAlignment="1">
      <alignment horizontal="center" vertical="center"/>
    </xf>
    <xf numFmtId="49" fontId="0" fillId="30" borderId="0" xfId="898" applyNumberFormat="1" applyFont="1" applyFill="1" applyAlignment="1">
      <alignment horizontal="center" vertical="center"/>
    </xf>
    <xf numFmtId="49" fontId="0" fillId="30" borderId="39" xfId="898" applyNumberFormat="1" applyFont="1" applyFill="1" applyBorder="1" applyAlignment="1">
      <alignment horizontal="center" vertical="center"/>
    </xf>
    <xf numFmtId="0" fontId="0" fillId="30" borderId="0" xfId="918" applyFont="1" applyFill="1" applyAlignment="1">
      <alignment horizontal="left" vertical="center" wrapText="1" shrinkToFit="1"/>
      <protection/>
    </xf>
    <xf numFmtId="0" fontId="0" fillId="30" borderId="28" xfId="918" applyFont="1" applyFill="1" applyBorder="1" applyAlignment="1">
      <alignment horizontal="left" vertical="center" shrinkToFit="1"/>
      <protection/>
    </xf>
    <xf numFmtId="49" fontId="0" fillId="30" borderId="33" xfId="898" applyNumberFormat="1" applyFont="1" applyFill="1" applyBorder="1" applyAlignment="1">
      <alignment horizontal="center" vertical="center"/>
    </xf>
    <xf numFmtId="49" fontId="0" fillId="30" borderId="38" xfId="898" applyNumberFormat="1" applyFont="1" applyFill="1" applyBorder="1" applyAlignment="1">
      <alignment horizontal="center" vertical="center"/>
    </xf>
    <xf numFmtId="41" fontId="0" fillId="30" borderId="5" xfId="898" applyFont="1" applyFill="1" applyBorder="1" applyAlignment="1">
      <alignment horizontal="center" vertical="center"/>
    </xf>
    <xf numFmtId="0" fontId="0" fillId="30" borderId="40" xfId="918" applyFont="1" applyFill="1" applyBorder="1" applyAlignment="1">
      <alignment horizontal="distributed" vertical="center"/>
      <protection/>
    </xf>
    <xf numFmtId="41" fontId="0" fillId="30" borderId="40" xfId="898" applyFont="1" applyFill="1" applyBorder="1" applyAlignment="1">
      <alignment horizontal="center" vertical="center"/>
    </xf>
    <xf numFmtId="49" fontId="0" fillId="30" borderId="22" xfId="898" applyNumberFormat="1" applyFont="1" applyFill="1" applyBorder="1" applyAlignment="1">
      <alignment horizontal="right" vertical="center"/>
    </xf>
    <xf numFmtId="41" fontId="0" fillId="30" borderId="34" xfId="898" applyFont="1" applyFill="1" applyBorder="1" applyAlignment="1">
      <alignment horizontal="center" vertical="center"/>
    </xf>
    <xf numFmtId="49" fontId="0" fillId="30" borderId="34" xfId="898" applyNumberFormat="1" applyFont="1" applyFill="1" applyBorder="1" applyAlignment="1">
      <alignment horizontal="right" vertical="center"/>
    </xf>
    <xf numFmtId="0" fontId="0" fillId="30" borderId="0" xfId="918" applyFont="1" applyFill="1" applyBorder="1" applyAlignment="1">
      <alignment horizontal="left" vertical="center"/>
      <protection/>
    </xf>
    <xf numFmtId="41" fontId="0" fillId="30" borderId="3" xfId="510" applyFont="1" applyFill="1" applyBorder="1" applyAlignment="1">
      <alignment horizontal="left" vertical="center" wrapText="1"/>
    </xf>
    <xf numFmtId="0" fontId="0" fillId="30" borderId="0" xfId="921" applyFont="1" applyFill="1" applyBorder="1" applyAlignment="1">
      <alignment horizontal="left" vertical="center"/>
      <protection/>
    </xf>
    <xf numFmtId="0" fontId="0" fillId="30" borderId="0" xfId="0" applyNumberFormat="1" applyFill="1" applyBorder="1" applyAlignment="1">
      <alignment horizontal="left" vertical="center"/>
    </xf>
    <xf numFmtId="0" fontId="0" fillId="30" borderId="0" xfId="0" applyNumberFormat="1" applyFill="1" applyBorder="1" applyAlignment="1">
      <alignment horizontal="distributed" vertical="center" shrinkToFit="1"/>
    </xf>
    <xf numFmtId="0" fontId="0" fillId="30" borderId="38" xfId="510" applyNumberFormat="1" applyFont="1" applyFill="1" applyBorder="1" applyAlignment="1">
      <alignment horizontal="center" vertical="center"/>
    </xf>
    <xf numFmtId="0" fontId="0" fillId="30" borderId="0" xfId="0" applyNumberFormat="1" applyFill="1" applyBorder="1" applyAlignment="1">
      <alignment horizontal="right" vertical="center"/>
    </xf>
    <xf numFmtId="0" fontId="0" fillId="30" borderId="2" xfId="510" applyNumberFormat="1" applyFont="1" applyFill="1" applyBorder="1" applyAlignment="1">
      <alignment horizontal="center" vertical="center"/>
    </xf>
    <xf numFmtId="0" fontId="0" fillId="30" borderId="33" xfId="510" applyNumberFormat="1" applyFont="1" applyFill="1" applyBorder="1" applyAlignment="1">
      <alignment horizontal="center" vertical="center"/>
    </xf>
    <xf numFmtId="0" fontId="0" fillId="30" borderId="2" xfId="0" applyNumberFormat="1" applyFont="1" applyFill="1" applyBorder="1" applyAlignment="1">
      <alignment horizontal="center" vertical="center"/>
    </xf>
    <xf numFmtId="0" fontId="0" fillId="30" borderId="33" xfId="0" applyNumberFormat="1" applyFont="1" applyFill="1" applyBorder="1" applyAlignment="1">
      <alignment horizontal="left" vertical="center"/>
    </xf>
    <xf numFmtId="0" fontId="0" fillId="30" borderId="28" xfId="0" applyNumberFormat="1" applyFont="1" applyFill="1" applyBorder="1" applyAlignment="1">
      <alignment horizontal="left" vertical="center"/>
    </xf>
    <xf numFmtId="0" fontId="0" fillId="30" borderId="33" xfId="510" applyNumberFormat="1" applyFont="1" applyFill="1" applyBorder="1" applyAlignment="1">
      <alignment horizontal="left" vertical="center" shrinkToFit="1"/>
    </xf>
    <xf numFmtId="0" fontId="0" fillId="30" borderId="0" xfId="510" applyNumberFormat="1" applyFont="1" applyFill="1" applyBorder="1" applyAlignment="1">
      <alignment horizontal="distributed" vertical="center"/>
    </xf>
    <xf numFmtId="0" fontId="0" fillId="30" borderId="28" xfId="0" applyNumberFormat="1" applyFont="1" applyFill="1" applyBorder="1" applyAlignment="1">
      <alignment horizontal="centerContinuous" vertical="center"/>
    </xf>
    <xf numFmtId="0" fontId="0" fillId="30" borderId="2" xfId="0" applyNumberFormat="1" applyFont="1" applyFill="1" applyBorder="1" applyAlignment="1">
      <alignment horizontal="centerContinuous" vertical="center" wrapText="1"/>
    </xf>
    <xf numFmtId="0" fontId="0" fillId="30" borderId="28" xfId="0" applyNumberFormat="1" applyFont="1" applyFill="1" applyBorder="1" applyAlignment="1">
      <alignment horizontal="centerContinuous" vertical="center" wrapText="1"/>
    </xf>
    <xf numFmtId="0" fontId="0" fillId="30" borderId="33" xfId="0" applyNumberFormat="1" applyFont="1" applyFill="1" applyBorder="1" applyAlignment="1">
      <alignment horizontal="centerContinuous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30" borderId="3" xfId="0" applyNumberFormat="1" applyFont="1" applyFill="1" applyBorder="1" applyAlignment="1">
      <alignment horizontal="center" vertical="center"/>
    </xf>
    <xf numFmtId="0" fontId="0" fillId="30" borderId="33" xfId="0" applyNumberFormat="1" applyFill="1" applyBorder="1" applyAlignment="1">
      <alignment horizontal="left" vertical="center"/>
    </xf>
    <xf numFmtId="0" fontId="0" fillId="30" borderId="28" xfId="510" applyNumberFormat="1" applyFont="1" applyFill="1" applyBorder="1" applyAlignment="1">
      <alignment horizontal="distributed" vertical="center" shrinkToFit="1"/>
    </xf>
    <xf numFmtId="0" fontId="0" fillId="30" borderId="2" xfId="0" applyNumberFormat="1" applyFont="1" applyFill="1" applyBorder="1" applyAlignment="1">
      <alignment horizontal="left" vertical="center"/>
    </xf>
    <xf numFmtId="0" fontId="0" fillId="30" borderId="33" xfId="510" applyNumberFormat="1" applyFont="1" applyFill="1" applyBorder="1" applyAlignment="1">
      <alignment horizontal="left" vertical="center" shrinkToFit="1"/>
    </xf>
    <xf numFmtId="0" fontId="0" fillId="30" borderId="0" xfId="0" applyNumberFormat="1" applyFill="1" applyBorder="1" applyAlignment="1">
      <alignment horizontal="center" vertical="center" wrapText="1"/>
    </xf>
    <xf numFmtId="0" fontId="0" fillId="30" borderId="33" xfId="0" applyNumberFormat="1" applyFont="1" applyFill="1" applyBorder="1" applyAlignment="1">
      <alignment horizontal="left" vertical="center"/>
    </xf>
    <xf numFmtId="0" fontId="0" fillId="30" borderId="28" xfId="0" applyNumberFormat="1" applyFont="1" applyFill="1" applyBorder="1" applyAlignment="1">
      <alignment horizontal="left" vertical="center"/>
    </xf>
    <xf numFmtId="0" fontId="0" fillId="30" borderId="33" xfId="510" applyNumberFormat="1" applyFont="1" applyFill="1" applyBorder="1" applyAlignment="1">
      <alignment horizontal="left" vertical="center" shrinkToFit="1"/>
    </xf>
    <xf numFmtId="0" fontId="0" fillId="30" borderId="33" xfId="0" applyNumberFormat="1" applyFill="1" applyBorder="1" applyAlignment="1">
      <alignment horizontal="left" vertical="center" wrapText="1"/>
    </xf>
    <xf numFmtId="0" fontId="0" fillId="30" borderId="0" xfId="0" applyNumberFormat="1" applyFill="1" applyBorder="1" applyAlignment="1">
      <alignment horizontal="left" vertical="center" wrapText="1"/>
    </xf>
    <xf numFmtId="0" fontId="0" fillId="30" borderId="28" xfId="0" applyNumberFormat="1" applyFill="1" applyBorder="1" applyAlignment="1">
      <alignment horizontal="distributed" vertical="center"/>
    </xf>
    <xf numFmtId="0" fontId="0" fillId="30" borderId="28" xfId="0" applyNumberFormat="1" applyFont="1" applyFill="1" applyBorder="1" applyAlignment="1">
      <alignment horizontal="distributed" vertical="center"/>
    </xf>
    <xf numFmtId="179" fontId="0" fillId="0" borderId="0" xfId="0" applyNumberFormat="1" applyFont="1" applyAlignment="1">
      <alignment vertical="center"/>
    </xf>
    <xf numFmtId="0" fontId="0" fillId="30" borderId="22" xfId="510" applyNumberFormat="1" applyFont="1" applyFill="1" applyBorder="1" applyAlignment="1">
      <alignment horizontal="center" vertical="top" shrinkToFit="1"/>
    </xf>
    <xf numFmtId="231" fontId="0" fillId="0" borderId="36" xfId="510" applyNumberFormat="1" applyFont="1" applyBorder="1" applyAlignment="1">
      <alignment horizontal="right" vertical="center"/>
    </xf>
    <xf numFmtId="231" fontId="0" fillId="0" borderId="35" xfId="510" applyNumberFormat="1" applyFont="1" applyBorder="1" applyAlignment="1">
      <alignment horizontal="right" vertical="center"/>
    </xf>
    <xf numFmtId="231" fontId="0" fillId="0" borderId="4" xfId="510" applyNumberFormat="1" applyFont="1" applyBorder="1" applyAlignment="1">
      <alignment horizontal="right" vertical="center"/>
    </xf>
    <xf numFmtId="231" fontId="0" fillId="0" borderId="39" xfId="510" applyNumberFormat="1" applyFont="1" applyBorder="1" applyAlignment="1">
      <alignment horizontal="right" vertical="center"/>
    </xf>
    <xf numFmtId="0" fontId="0" fillId="30" borderId="33" xfId="510" applyNumberFormat="1" applyFont="1" applyFill="1" applyBorder="1" applyAlignment="1">
      <alignment horizontal="left" vertical="center"/>
    </xf>
    <xf numFmtId="0" fontId="0" fillId="39" borderId="0" xfId="0" applyNumberFormat="1" applyFont="1" applyFill="1" applyBorder="1" applyAlignment="1">
      <alignment horizontal="distributed" vertical="center"/>
    </xf>
    <xf numFmtId="0" fontId="0" fillId="39" borderId="39" xfId="0" applyNumberFormat="1" applyFont="1" applyFill="1" applyBorder="1" applyAlignment="1">
      <alignment horizontal="center" vertical="center"/>
    </xf>
    <xf numFmtId="179" fontId="0" fillId="39" borderId="38" xfId="0" applyNumberFormat="1" applyFont="1" applyFill="1" applyBorder="1" applyAlignment="1">
      <alignment horizontal="right" vertical="center" shrinkToFit="1"/>
    </xf>
    <xf numFmtId="179" fontId="0" fillId="39" borderId="39" xfId="510" applyNumberFormat="1" applyFont="1" applyFill="1" applyBorder="1" applyAlignment="1">
      <alignment horizontal="right" vertical="center" shrinkToFit="1"/>
    </xf>
    <xf numFmtId="186" fontId="0" fillId="39" borderId="39" xfId="510" applyNumberFormat="1" applyFont="1" applyFill="1" applyBorder="1" applyAlignment="1">
      <alignment horizontal="right" vertical="center" shrinkToFit="1"/>
    </xf>
    <xf numFmtId="179" fontId="0" fillId="39" borderId="38" xfId="510" applyNumberFormat="1" applyFont="1" applyFill="1" applyBorder="1" applyAlignment="1">
      <alignment horizontal="right" vertical="center" shrinkToFit="1"/>
    </xf>
    <xf numFmtId="0" fontId="0" fillId="39" borderId="0" xfId="0" applyNumberFormat="1" applyFont="1" applyFill="1" applyBorder="1" applyAlignment="1">
      <alignment horizontal="distributed" vertical="center" wrapText="1"/>
    </xf>
    <xf numFmtId="0" fontId="0" fillId="39" borderId="39" xfId="0" applyNumberFormat="1" applyFont="1" applyFill="1" applyBorder="1" applyAlignment="1">
      <alignment horizontal="center" vertical="center" wrapText="1"/>
    </xf>
    <xf numFmtId="0" fontId="0" fillId="39" borderId="28" xfId="0" applyNumberFormat="1" applyFont="1" applyFill="1" applyBorder="1" applyAlignment="1">
      <alignment horizontal="center" vertical="center"/>
    </xf>
    <xf numFmtId="0" fontId="0" fillId="39" borderId="28" xfId="0" applyNumberFormat="1" applyFont="1" applyFill="1" applyBorder="1" applyAlignment="1">
      <alignment horizontal="distributed" vertical="center"/>
    </xf>
    <xf numFmtId="179" fontId="0" fillId="39" borderId="3" xfId="510" applyNumberFormat="1" applyFont="1" applyFill="1" applyBorder="1" applyAlignment="1">
      <alignment horizontal="right" vertical="center" shrinkToFit="1"/>
    </xf>
    <xf numFmtId="0" fontId="0" fillId="39" borderId="0" xfId="0" applyNumberFormat="1" applyFont="1" applyFill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30" borderId="2" xfId="0" applyNumberForma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center" vertical="center"/>
    </xf>
    <xf numFmtId="0" fontId="0" fillId="30" borderId="33" xfId="0" applyNumberFormat="1" applyFont="1" applyFill="1" applyBorder="1" applyAlignment="1">
      <alignment horizontal="center" vertical="center"/>
    </xf>
    <xf numFmtId="0" fontId="0" fillId="30" borderId="2" xfId="0" applyNumberFormat="1" applyFont="1" applyFill="1" applyBorder="1" applyAlignment="1">
      <alignment horizontal="center" vertical="center"/>
    </xf>
    <xf numFmtId="0" fontId="0" fillId="30" borderId="28" xfId="0" applyNumberFormat="1" applyFont="1" applyFill="1" applyBorder="1" applyAlignment="1">
      <alignment horizontal="distributed" vertical="center"/>
    </xf>
    <xf numFmtId="0" fontId="0" fillId="30" borderId="28" xfId="0" applyNumberFormat="1" applyFill="1" applyBorder="1" applyAlignment="1">
      <alignment horizontal="distributed" vertical="center"/>
    </xf>
    <xf numFmtId="0" fontId="0" fillId="30" borderId="36" xfId="0" applyNumberFormat="1" applyFont="1" applyFill="1" applyBorder="1" applyAlignment="1">
      <alignment horizontal="center" vertical="center" wrapText="1"/>
    </xf>
    <xf numFmtId="0" fontId="0" fillId="30" borderId="35" xfId="0" applyNumberFormat="1" applyFont="1" applyFill="1" applyBorder="1" applyAlignment="1">
      <alignment horizontal="center" vertical="center" wrapText="1"/>
    </xf>
    <xf numFmtId="0" fontId="0" fillId="30" borderId="4" xfId="0" applyNumberFormat="1" applyFont="1" applyFill="1" applyBorder="1" applyAlignment="1">
      <alignment horizontal="center" vertical="center" wrapText="1"/>
    </xf>
    <xf numFmtId="0" fontId="0" fillId="30" borderId="39" xfId="0" applyNumberFormat="1" applyFont="1" applyFill="1" applyBorder="1" applyAlignment="1">
      <alignment horizontal="center" vertical="center" wrapText="1"/>
    </xf>
    <xf numFmtId="0" fontId="0" fillId="30" borderId="5" xfId="0" applyNumberFormat="1" applyFont="1" applyFill="1" applyBorder="1" applyAlignment="1">
      <alignment horizontal="center" vertical="center" wrapText="1"/>
    </xf>
    <xf numFmtId="0" fontId="0" fillId="30" borderId="34" xfId="0" applyNumberFormat="1" applyFont="1" applyFill="1" applyBorder="1" applyAlignment="1">
      <alignment horizontal="center" vertical="center" wrapText="1"/>
    </xf>
    <xf numFmtId="0" fontId="0" fillId="30" borderId="23" xfId="0" applyNumberFormat="1" applyFont="1" applyFill="1" applyBorder="1" applyAlignment="1">
      <alignment horizontal="center" vertical="center" wrapText="1"/>
    </xf>
    <xf numFmtId="0" fontId="0" fillId="30" borderId="22" xfId="0" applyNumberFormat="1" applyFont="1" applyFill="1" applyBorder="1" applyAlignment="1">
      <alignment horizontal="center" vertical="center" wrapText="1"/>
    </xf>
    <xf numFmtId="0" fontId="0" fillId="30" borderId="28" xfId="0" applyNumberFormat="1" applyFont="1" applyFill="1" applyBorder="1" applyAlignment="1">
      <alignment horizontal="distributed" vertical="center"/>
    </xf>
    <xf numFmtId="0" fontId="0" fillId="30" borderId="38" xfId="0" applyNumberFormat="1" applyFont="1" applyFill="1" applyBorder="1" applyAlignment="1">
      <alignment horizontal="center" vertical="center" wrapText="1"/>
    </xf>
    <xf numFmtId="0" fontId="0" fillId="30" borderId="23" xfId="0" applyNumberFormat="1" applyFont="1" applyFill="1" applyBorder="1" applyAlignment="1">
      <alignment horizontal="center" vertical="center" wrapText="1"/>
    </xf>
    <xf numFmtId="0" fontId="0" fillId="30" borderId="22" xfId="0" applyNumberFormat="1" applyFont="1" applyFill="1" applyBorder="1" applyAlignment="1">
      <alignment horizontal="center" vertical="center" wrapText="1"/>
    </xf>
    <xf numFmtId="0" fontId="0" fillId="30" borderId="38" xfId="0" applyNumberFormat="1" applyFont="1" applyFill="1" applyBorder="1" applyAlignment="1">
      <alignment horizontal="center" vertical="center" wrapText="1"/>
    </xf>
    <xf numFmtId="0" fontId="0" fillId="30" borderId="36" xfId="510" applyNumberFormat="1" applyFont="1" applyFill="1" applyBorder="1" applyAlignment="1">
      <alignment horizontal="center" vertical="center"/>
    </xf>
    <xf numFmtId="0" fontId="0" fillId="30" borderId="35" xfId="510" applyNumberFormat="1" applyFont="1" applyFill="1" applyBorder="1" applyAlignment="1">
      <alignment horizontal="center" vertical="center"/>
    </xf>
    <xf numFmtId="0" fontId="0" fillId="30" borderId="5" xfId="510" applyNumberFormat="1" applyFont="1" applyFill="1" applyBorder="1" applyAlignment="1">
      <alignment horizontal="center" vertical="center"/>
    </xf>
    <xf numFmtId="0" fontId="0" fillId="30" borderId="34" xfId="510" applyNumberFormat="1" applyFont="1" applyFill="1" applyBorder="1" applyAlignment="1">
      <alignment horizontal="center" vertical="center"/>
    </xf>
    <xf numFmtId="0" fontId="0" fillId="30" borderId="2" xfId="510" applyNumberFormat="1" applyFont="1" applyFill="1" applyBorder="1" applyAlignment="1">
      <alignment horizontal="center" vertical="center"/>
    </xf>
    <xf numFmtId="0" fontId="0" fillId="30" borderId="33" xfId="51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/>
    </xf>
    <xf numFmtId="0" fontId="0" fillId="30" borderId="0" xfId="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/>
    </xf>
    <xf numFmtId="0" fontId="0" fillId="30" borderId="38" xfId="0" applyNumberFormat="1" applyFont="1" applyFill="1" applyBorder="1" applyAlignment="1">
      <alignment horizontal="center" vertical="center"/>
    </xf>
    <xf numFmtId="0" fontId="0" fillId="30" borderId="37" xfId="0" applyNumberFormat="1" applyFont="1" applyFill="1" applyBorder="1" applyAlignment="1">
      <alignment horizontal="center" vertical="center" wrapText="1"/>
    </xf>
    <xf numFmtId="0" fontId="0" fillId="30" borderId="0" xfId="0" applyNumberFormat="1" applyFont="1" applyFill="1" applyBorder="1" applyAlignment="1">
      <alignment horizontal="center" vertical="center" wrapText="1"/>
    </xf>
    <xf numFmtId="0" fontId="0" fillId="30" borderId="35" xfId="0" applyFont="1" applyFill="1" applyBorder="1" applyAlignment="1">
      <alignment horizontal="center" vertical="center" wrapText="1"/>
    </xf>
    <xf numFmtId="0" fontId="0" fillId="30" borderId="34" xfId="0" applyFont="1" applyFill="1" applyBorder="1" applyAlignment="1">
      <alignment horizontal="center" vertical="center" wrapText="1"/>
    </xf>
    <xf numFmtId="0" fontId="0" fillId="30" borderId="23" xfId="0" applyFont="1" applyFill="1" applyBorder="1" applyAlignment="1">
      <alignment horizontal="center" vertical="center" wrapText="1"/>
    </xf>
    <xf numFmtId="0" fontId="0" fillId="30" borderId="22" xfId="0" applyFont="1" applyFill="1" applyBorder="1" applyAlignment="1">
      <alignment horizontal="center" vertical="center" wrapText="1"/>
    </xf>
    <xf numFmtId="0" fontId="0" fillId="30" borderId="2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  <xf numFmtId="0" fontId="0" fillId="30" borderId="33" xfId="0" applyFont="1" applyFill="1" applyBorder="1" applyAlignment="1">
      <alignment horizontal="center" vertical="center"/>
    </xf>
    <xf numFmtId="0" fontId="0" fillId="30" borderId="23" xfId="510" applyNumberFormat="1" applyFont="1" applyFill="1" applyBorder="1" applyAlignment="1">
      <alignment horizontal="center" vertical="center" wrapText="1"/>
    </xf>
    <xf numFmtId="0" fontId="0" fillId="30" borderId="38" xfId="510" applyNumberFormat="1" applyFont="1" applyFill="1" applyBorder="1" applyAlignment="1">
      <alignment horizontal="center" vertical="center" wrapText="1"/>
    </xf>
    <xf numFmtId="0" fontId="0" fillId="30" borderId="28" xfId="510" applyNumberFormat="1" applyFont="1" applyFill="1" applyBorder="1" applyAlignment="1">
      <alignment horizontal="center" vertical="center"/>
    </xf>
    <xf numFmtId="0" fontId="0" fillId="30" borderId="36" xfId="0" applyNumberFormat="1" applyFont="1" applyFill="1" applyBorder="1" applyAlignment="1">
      <alignment horizontal="center" vertical="center"/>
    </xf>
    <xf numFmtId="0" fontId="0" fillId="30" borderId="35" xfId="0" applyNumberFormat="1" applyFont="1" applyFill="1" applyBorder="1" applyAlignment="1">
      <alignment horizontal="center" vertical="center"/>
    </xf>
    <xf numFmtId="0" fontId="0" fillId="30" borderId="5" xfId="0" applyNumberFormat="1" applyFont="1" applyFill="1" applyBorder="1" applyAlignment="1">
      <alignment horizontal="center" vertical="center"/>
    </xf>
    <xf numFmtId="0" fontId="0" fillId="30" borderId="40" xfId="0" applyNumberFormat="1" applyFont="1" applyFill="1" applyBorder="1" applyAlignment="1">
      <alignment horizontal="center" vertical="center"/>
    </xf>
    <xf numFmtId="0" fontId="0" fillId="30" borderId="34" xfId="0" applyNumberFormat="1" applyFont="1" applyFill="1" applyBorder="1" applyAlignment="1">
      <alignment horizontal="center" vertical="center"/>
    </xf>
    <xf numFmtId="0" fontId="0" fillId="30" borderId="35" xfId="0" applyNumberFormat="1" applyFill="1" applyBorder="1" applyAlignment="1">
      <alignment horizontal="left" vertical="center" wrapText="1"/>
    </xf>
    <xf numFmtId="0" fontId="0" fillId="30" borderId="39" xfId="0" applyNumberFormat="1" applyFill="1" applyBorder="1" applyAlignment="1">
      <alignment horizontal="left" vertical="center"/>
    </xf>
    <xf numFmtId="0" fontId="0" fillId="30" borderId="39" xfId="0" applyNumberFormat="1" applyFont="1" applyFill="1" applyBorder="1" applyAlignment="1">
      <alignment horizontal="left" vertical="center"/>
    </xf>
    <xf numFmtId="0" fontId="0" fillId="30" borderId="34" xfId="0" applyNumberFormat="1" applyFont="1" applyFill="1" applyBorder="1" applyAlignment="1">
      <alignment horizontal="left" vertical="center"/>
    </xf>
    <xf numFmtId="0" fontId="0" fillId="30" borderId="35" xfId="510" applyNumberFormat="1" applyFont="1" applyFill="1" applyBorder="1" applyAlignment="1">
      <alignment horizontal="left" vertical="center" shrinkToFit="1"/>
    </xf>
    <xf numFmtId="0" fontId="0" fillId="30" borderId="39" xfId="510" applyNumberFormat="1" applyFont="1" applyFill="1" applyBorder="1" applyAlignment="1">
      <alignment horizontal="left" vertical="center" shrinkToFit="1"/>
    </xf>
    <xf numFmtId="0" fontId="0" fillId="30" borderId="34" xfId="510" applyNumberFormat="1" applyFont="1" applyFill="1" applyBorder="1" applyAlignment="1">
      <alignment horizontal="left" vertical="center" shrinkToFit="1"/>
    </xf>
    <xf numFmtId="0" fontId="0" fillId="30" borderId="35" xfId="510" applyNumberFormat="1" applyFont="1" applyFill="1" applyBorder="1" applyAlignment="1">
      <alignment horizontal="left" vertical="center" shrinkToFit="1"/>
    </xf>
    <xf numFmtId="0" fontId="0" fillId="30" borderId="39" xfId="510" applyNumberFormat="1" applyFont="1" applyFill="1" applyBorder="1" applyAlignment="1">
      <alignment horizontal="left" vertical="center" shrinkToFit="1"/>
    </xf>
    <xf numFmtId="0" fontId="0" fillId="30" borderId="23" xfId="510" applyNumberFormat="1" applyFont="1" applyFill="1" applyBorder="1" applyAlignment="1">
      <alignment horizontal="center" vertical="center"/>
    </xf>
    <xf numFmtId="0" fontId="0" fillId="30" borderId="38" xfId="510" applyNumberFormat="1" applyFont="1" applyFill="1" applyBorder="1" applyAlignment="1">
      <alignment horizontal="center" vertical="center"/>
    </xf>
    <xf numFmtId="0" fontId="0" fillId="30" borderId="36" xfId="510" applyNumberFormat="1" applyFont="1" applyFill="1" applyBorder="1" applyAlignment="1">
      <alignment horizontal="center" vertical="center"/>
    </xf>
    <xf numFmtId="0" fontId="0" fillId="30" borderId="4" xfId="510" applyNumberFormat="1" applyFont="1" applyFill="1" applyBorder="1" applyAlignment="1">
      <alignment horizontal="center" vertical="center"/>
    </xf>
    <xf numFmtId="0" fontId="0" fillId="30" borderId="4" xfId="510" applyNumberFormat="1" applyFont="1" applyFill="1" applyBorder="1" applyAlignment="1">
      <alignment horizontal="center" vertical="center"/>
    </xf>
    <xf numFmtId="0" fontId="0" fillId="30" borderId="22" xfId="0" applyNumberFormat="1" applyFont="1" applyFill="1" applyBorder="1" applyAlignment="1">
      <alignment horizontal="center" vertical="center"/>
    </xf>
    <xf numFmtId="0" fontId="0" fillId="30" borderId="35" xfId="510" applyNumberFormat="1" applyFont="1" applyFill="1" applyBorder="1" applyAlignment="1">
      <alignment horizontal="center" vertical="center"/>
    </xf>
    <xf numFmtId="0" fontId="0" fillId="30" borderId="39" xfId="510" applyNumberFormat="1" applyFont="1" applyFill="1" applyBorder="1" applyAlignment="1">
      <alignment horizontal="center" vertical="center"/>
    </xf>
    <xf numFmtId="0" fontId="0" fillId="30" borderId="23" xfId="0" applyNumberFormat="1" applyFont="1" applyFill="1" applyBorder="1" applyAlignment="1">
      <alignment horizontal="center" vertical="center"/>
    </xf>
    <xf numFmtId="0" fontId="0" fillId="30" borderId="38" xfId="0" applyNumberFormat="1" applyFont="1" applyFill="1" applyBorder="1" applyAlignment="1">
      <alignment horizontal="center" vertical="center"/>
    </xf>
    <xf numFmtId="0" fontId="0" fillId="30" borderId="37" xfId="510" applyNumberFormat="1" applyFont="1" applyFill="1" applyBorder="1" applyAlignment="1">
      <alignment horizontal="distributed" vertical="center"/>
    </xf>
    <xf numFmtId="0" fontId="0" fillId="30" borderId="0" xfId="510" applyNumberFormat="1" applyFont="1" applyFill="1" applyBorder="1" applyAlignment="1">
      <alignment horizontal="distributed" vertical="center"/>
    </xf>
    <xf numFmtId="0" fontId="0" fillId="30" borderId="40" xfId="510" applyNumberFormat="1" applyFont="1" applyFill="1" applyBorder="1" applyAlignment="1">
      <alignment horizontal="distributed" vertical="center"/>
    </xf>
    <xf numFmtId="0" fontId="0" fillId="30" borderId="23" xfId="510" applyNumberFormat="1" applyFont="1" applyFill="1" applyBorder="1" applyAlignment="1">
      <alignment horizontal="center" vertical="center"/>
    </xf>
    <xf numFmtId="0" fontId="0" fillId="30" borderId="38" xfId="510" applyNumberFormat="1" applyFont="1" applyFill="1" applyBorder="1" applyAlignment="1">
      <alignment horizontal="center" vertical="center"/>
    </xf>
    <xf numFmtId="0" fontId="0" fillId="30" borderId="37" xfId="510" applyNumberFormat="1" applyFont="1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30" borderId="39" xfId="510" applyNumberFormat="1" applyFont="1" applyFill="1" applyBorder="1" applyAlignment="1">
      <alignment horizontal="center" vertical="center"/>
    </xf>
    <xf numFmtId="0" fontId="0" fillId="30" borderId="22" xfId="510" applyNumberFormat="1" applyFont="1" applyFill="1" applyBorder="1" applyAlignment="1">
      <alignment horizontal="center" vertical="center"/>
    </xf>
    <xf numFmtId="0" fontId="0" fillId="30" borderId="35" xfId="510" applyNumberFormat="1" applyFont="1" applyFill="1" applyBorder="1" applyAlignment="1">
      <alignment horizontal="left" vertical="center" wrapText="1" shrinkToFit="1"/>
    </xf>
    <xf numFmtId="0" fontId="0" fillId="30" borderId="34" xfId="0" applyNumberFormat="1" applyFill="1" applyBorder="1" applyAlignment="1">
      <alignment horizontal="left" vertical="center"/>
    </xf>
    <xf numFmtId="0" fontId="0" fillId="30" borderId="0" xfId="510" applyNumberFormat="1" applyFont="1" applyFill="1" applyBorder="1" applyAlignment="1">
      <alignment horizontal="distributed" vertical="center"/>
    </xf>
    <xf numFmtId="0" fontId="0" fillId="30" borderId="40" xfId="510" applyNumberFormat="1" applyFont="1" applyFill="1" applyBorder="1" applyAlignment="1">
      <alignment horizontal="distributed" vertical="center"/>
    </xf>
    <xf numFmtId="0" fontId="0" fillId="30" borderId="38" xfId="510" applyNumberFormat="1" applyFont="1" applyFill="1" applyBorder="1" applyAlignment="1">
      <alignment horizontal="center" vertical="center" wrapText="1"/>
    </xf>
    <xf numFmtId="0" fontId="0" fillId="30" borderId="38" xfId="510" applyNumberFormat="1" applyFont="1" applyFill="1" applyBorder="1" applyAlignment="1" quotePrefix="1">
      <alignment horizontal="center" vertical="center"/>
    </xf>
    <xf numFmtId="0" fontId="0" fillId="30" borderId="22" xfId="510" applyNumberFormat="1" applyFont="1" applyFill="1" applyBorder="1" applyAlignment="1" quotePrefix="1">
      <alignment horizontal="center" vertical="center"/>
    </xf>
    <xf numFmtId="0" fontId="0" fillId="30" borderId="22" xfId="510" applyNumberFormat="1" applyFont="1" applyFill="1" applyBorder="1" applyAlignment="1">
      <alignment horizontal="center" vertical="center" wrapText="1"/>
    </xf>
    <xf numFmtId="0" fontId="0" fillId="30" borderId="3" xfId="510" applyNumberFormat="1" applyFont="1" applyFill="1" applyBorder="1" applyAlignment="1">
      <alignment horizontal="center" vertical="center" wrapText="1"/>
    </xf>
    <xf numFmtId="0" fontId="0" fillId="30" borderId="3" xfId="510" applyNumberFormat="1" applyFont="1" applyFill="1" applyBorder="1" applyAlignment="1" quotePrefix="1">
      <alignment horizontal="center" vertical="center"/>
    </xf>
    <xf numFmtId="0" fontId="0" fillId="30" borderId="2" xfId="510" applyNumberFormat="1" applyFont="1" applyFill="1" applyBorder="1" applyAlignment="1">
      <alignment horizontal="center" vertical="center"/>
    </xf>
    <xf numFmtId="0" fontId="0" fillId="30" borderId="28" xfId="510" applyNumberFormat="1" applyFont="1" applyFill="1" applyBorder="1" applyAlignment="1">
      <alignment horizontal="center" vertical="center"/>
    </xf>
    <xf numFmtId="0" fontId="0" fillId="30" borderId="33" xfId="510" applyNumberFormat="1" applyFont="1" applyFill="1" applyBorder="1" applyAlignment="1">
      <alignment horizontal="center" vertical="center"/>
    </xf>
    <xf numFmtId="0" fontId="0" fillId="30" borderId="35" xfId="915" applyNumberFormat="1" applyFont="1" applyFill="1" applyBorder="1" applyAlignment="1">
      <alignment horizontal="center" vertical="center"/>
      <protection/>
    </xf>
    <xf numFmtId="0" fontId="0" fillId="30" borderId="34" xfId="915" applyNumberFormat="1" applyFont="1" applyFill="1" applyBorder="1" applyAlignment="1">
      <alignment horizontal="center" vertical="center"/>
      <protection/>
    </xf>
    <xf numFmtId="0" fontId="0" fillId="30" borderId="2" xfId="897" applyNumberFormat="1" applyFont="1" applyFill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30" borderId="36" xfId="924" applyNumberFormat="1" applyFont="1" applyFill="1" applyBorder="1" applyAlignment="1">
      <alignment horizontal="center" vertical="center"/>
      <protection/>
    </xf>
    <xf numFmtId="0" fontId="0" fillId="30" borderId="37" xfId="924" applyNumberFormat="1" applyFont="1" applyFill="1" applyBorder="1" applyAlignment="1">
      <alignment horizontal="center" vertical="center"/>
      <protection/>
    </xf>
    <xf numFmtId="0" fontId="0" fillId="30" borderId="35" xfId="924" applyNumberFormat="1" applyFont="1" applyFill="1" applyBorder="1" applyAlignment="1">
      <alignment horizontal="center" vertical="center"/>
      <protection/>
    </xf>
    <xf numFmtId="0" fontId="0" fillId="30" borderId="5" xfId="924" applyNumberFormat="1" applyFont="1" applyFill="1" applyBorder="1" applyAlignment="1">
      <alignment horizontal="center" vertical="center"/>
      <protection/>
    </xf>
    <xf numFmtId="0" fontId="0" fillId="30" borderId="40" xfId="924" applyNumberFormat="1" applyFont="1" applyFill="1" applyBorder="1" applyAlignment="1">
      <alignment horizontal="center" vertical="center"/>
      <protection/>
    </xf>
    <xf numFmtId="0" fontId="0" fillId="30" borderId="34" xfId="924" applyNumberFormat="1" applyFont="1" applyFill="1" applyBorder="1" applyAlignment="1">
      <alignment horizontal="center" vertical="center"/>
      <protection/>
    </xf>
    <xf numFmtId="0" fontId="0" fillId="30" borderId="23" xfId="897" applyNumberFormat="1" applyFont="1" applyFill="1" applyBorder="1" applyAlignment="1">
      <alignment horizontal="center" vertical="center" textRotation="255"/>
    </xf>
    <xf numFmtId="0" fontId="0" fillId="30" borderId="38" xfId="897" applyNumberFormat="1" applyFont="1" applyFill="1" applyBorder="1" applyAlignment="1">
      <alignment horizontal="center" vertical="center" textRotation="255"/>
    </xf>
    <xf numFmtId="0" fontId="0" fillId="30" borderId="22" xfId="897" applyNumberFormat="1" applyFont="1" applyFill="1" applyBorder="1" applyAlignment="1">
      <alignment horizontal="center" vertical="center" textRotation="255"/>
    </xf>
    <xf numFmtId="0" fontId="0" fillId="30" borderId="28" xfId="897" applyNumberFormat="1" applyFont="1" applyFill="1" applyBorder="1" applyAlignment="1">
      <alignment horizontal="distributed" vertical="center" indent="1"/>
    </xf>
    <xf numFmtId="0" fontId="0" fillId="30" borderId="33" xfId="897" applyNumberFormat="1" applyFont="1" applyFill="1" applyBorder="1" applyAlignment="1">
      <alignment horizontal="distributed" vertical="center" indent="1"/>
    </xf>
    <xf numFmtId="0" fontId="0" fillId="30" borderId="23" xfId="918" applyNumberFormat="1" applyFont="1" applyFill="1" applyBorder="1" applyAlignment="1">
      <alignment horizontal="center" vertical="center" wrapText="1"/>
      <protection/>
    </xf>
    <xf numFmtId="0" fontId="0" fillId="30" borderId="22" xfId="918" applyNumberFormat="1" applyFont="1" applyFill="1" applyBorder="1" applyAlignment="1">
      <alignment horizontal="center" vertical="center" wrapText="1"/>
      <protection/>
    </xf>
    <xf numFmtId="0" fontId="0" fillId="30" borderId="22" xfId="510" applyNumberFormat="1" applyFont="1" applyFill="1" applyBorder="1" applyAlignment="1">
      <alignment horizontal="center" vertical="center" wrapText="1"/>
    </xf>
    <xf numFmtId="0" fontId="0" fillId="0" borderId="0" xfId="918" applyNumberFormat="1" applyFont="1" applyAlignment="1">
      <alignment horizontal="left" vertical="center" wrapText="1"/>
      <protection/>
    </xf>
    <xf numFmtId="0" fontId="0" fillId="0" borderId="0" xfId="918" applyNumberFormat="1" applyFont="1" applyAlignment="1">
      <alignment horizontal="left" vertical="center" wrapText="1"/>
      <protection/>
    </xf>
    <xf numFmtId="0" fontId="0" fillId="0" borderId="23" xfId="918" applyNumberFormat="1" applyFont="1" applyBorder="1" applyAlignment="1">
      <alignment horizontal="center" vertical="center" wrapText="1"/>
      <protection/>
    </xf>
    <xf numFmtId="0" fontId="0" fillId="0" borderId="22" xfId="918" applyNumberFormat="1" applyFont="1" applyBorder="1" applyAlignment="1">
      <alignment horizontal="center" vertical="center"/>
      <protection/>
    </xf>
    <xf numFmtId="0" fontId="0" fillId="0" borderId="23" xfId="898" applyNumberFormat="1" applyFont="1" applyBorder="1" applyAlignment="1">
      <alignment horizontal="center" vertical="center"/>
    </xf>
    <xf numFmtId="0" fontId="0" fillId="0" borderId="22" xfId="898" applyNumberFormat="1" applyFont="1" applyBorder="1" applyAlignment="1">
      <alignment horizontal="center" vertical="center"/>
    </xf>
    <xf numFmtId="0" fontId="0" fillId="0" borderId="37" xfId="918" applyNumberFormat="1" applyFont="1" applyBorder="1" applyAlignment="1">
      <alignment horizontal="center" vertical="center"/>
      <protection/>
    </xf>
    <xf numFmtId="0" fontId="0" fillId="0" borderId="40" xfId="918" applyNumberFormat="1" applyFont="1" applyBorder="1" applyAlignment="1">
      <alignment horizontal="center" vertical="center"/>
      <protection/>
    </xf>
    <xf numFmtId="0" fontId="0" fillId="0" borderId="36" xfId="918" applyNumberFormat="1" applyFont="1" applyBorder="1" applyAlignment="1">
      <alignment horizontal="center" vertical="center"/>
      <protection/>
    </xf>
    <xf numFmtId="0" fontId="0" fillId="0" borderId="5" xfId="918" applyNumberFormat="1" applyFont="1" applyBorder="1" applyAlignment="1">
      <alignment horizontal="center" vertical="center"/>
      <protection/>
    </xf>
    <xf numFmtId="0" fontId="0" fillId="0" borderId="35" xfId="918" applyNumberFormat="1" applyFont="1" applyBorder="1" applyAlignment="1">
      <alignment horizontal="center" vertical="center"/>
      <protection/>
    </xf>
    <xf numFmtId="0" fontId="0" fillId="0" borderId="34" xfId="918" applyNumberFormat="1" applyFont="1" applyBorder="1" applyAlignment="1">
      <alignment horizontal="center" vertical="center"/>
      <protection/>
    </xf>
    <xf numFmtId="0" fontId="20" fillId="0" borderId="28" xfId="926" applyNumberFormat="1" applyFont="1" applyBorder="1" applyAlignment="1">
      <alignment horizontal="center" vertical="center" wrapText="1"/>
      <protection/>
    </xf>
    <xf numFmtId="0" fontId="20" fillId="0" borderId="2" xfId="926" applyNumberFormat="1" applyFont="1" applyBorder="1" applyAlignment="1">
      <alignment horizontal="center" vertical="center" wrapText="1"/>
      <protection/>
    </xf>
    <xf numFmtId="0" fontId="0" fillId="0" borderId="33" xfId="0" applyNumberFormat="1" applyFont="1" applyBorder="1" applyAlignment="1">
      <alignment vertical="center"/>
    </xf>
  </cellXfs>
  <cellStyles count="10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" xfId="15"/>
    <cellStyle name="          &#13;&#10;386grabber=vga.3gr&#13;&#10;" xfId="16"/>
    <cellStyle name="Ი_x000B_" xfId="17"/>
    <cellStyle name="&quot;" xfId="18"/>
    <cellStyle name="#" xfId="19"/>
    <cellStyle name="#,##0" xfId="20"/>
    <cellStyle name="#,##0.0" xfId="21"/>
    <cellStyle name="#,##0.00" xfId="22"/>
    <cellStyle name="#,##0.000" xfId="23"/>
    <cellStyle name="#,##0_목차" xfId="24"/>
    <cellStyle name="#_1. 경기문화재단" xfId="25"/>
    <cellStyle name="#_1-1. 경기문화재단" xfId="26"/>
    <cellStyle name="#_1-1. 경기문화재단-1" xfId="27"/>
    <cellStyle name="#_2. 경기도박물관" xfId="28"/>
    <cellStyle name="#_3. 경기도미술관" xfId="29"/>
    <cellStyle name="#_4. 경기도자박물관" xfId="30"/>
    <cellStyle name="#_5. 백남준아트센터" xfId="31"/>
    <cellStyle name="#_6. 남한산성" xfId="32"/>
    <cellStyle name="#_경기문화재단종합관리" xfId="33"/>
    <cellStyle name="#_심사내역서 (경기도자박물관)" xfId="34"/>
    <cellStyle name="#_청소업무용역(수정-최종)" xfId="35"/>
    <cellStyle name="$" xfId="36"/>
    <cellStyle name="$_0008금감원통합감독검사정보시스템" xfId="37"/>
    <cellStyle name="$_0009김포공항LED교체공사(광일)" xfId="38"/>
    <cellStyle name="$_0011긴급전화기정산(99년형광일)" xfId="39"/>
    <cellStyle name="$_0011부산종합경기장전광판" xfId="40"/>
    <cellStyle name="$_0011부산종합경기장전광판_강원지역본부(2006년_060109)" xfId="41"/>
    <cellStyle name="$_0011부산종합경기장전광판_경남지역본부-" xfId="42"/>
    <cellStyle name="$_0011부산종합경기장전광판_경북지역본부-" xfId="43"/>
    <cellStyle name="$_0011부산종합경기장전광판_중부지역본부-" xfId="44"/>
    <cellStyle name="$_0011부산종합경기장전광판_충청지역본부-" xfId="45"/>
    <cellStyle name="$_0011부산종합경기장전광판_통행료면탈방지시스템(최종)" xfId="46"/>
    <cellStyle name="$_0011부산종합경기장전광판_호남지역본부-" xfId="47"/>
    <cellStyle name="$_0011KIST소각설비제작설치" xfId="48"/>
    <cellStyle name="$_0012문화유적지표석제작설치" xfId="49"/>
    <cellStyle name="$_0102국제조명신공항분수조명" xfId="50"/>
    <cellStyle name="$_0102국제조명신공항분수조명_강원지역본부(2006년_060109)" xfId="51"/>
    <cellStyle name="$_0102국제조명신공항분수조명_경남지역본부-" xfId="52"/>
    <cellStyle name="$_0102국제조명신공항분수조명_경북지역본부-" xfId="53"/>
    <cellStyle name="$_0102국제조명신공항분수조명_중부지역본부-" xfId="54"/>
    <cellStyle name="$_0102국제조명신공항분수조명_충청지역본부-" xfId="55"/>
    <cellStyle name="$_0102국제조명신공항분수조명_통행료면탈방지시스템(최종)" xfId="56"/>
    <cellStyle name="$_0102국제조명신공항분수조명_호남지역본부-" xfId="57"/>
    <cellStyle name="$_0103회전식현수막게시대제작설치" xfId="58"/>
    <cellStyle name="$_0104포항시침출수처리시스템" xfId="59"/>
    <cellStyle name="$_0105담배자판기개조원가" xfId="60"/>
    <cellStyle name="$_0105담배자판기개조원가_강원지역본부(2006년_060109)" xfId="61"/>
    <cellStyle name="$_0105담배자판기개조원가_경남지역본부-" xfId="62"/>
    <cellStyle name="$_0105담배자판기개조원가_경북지역본부-" xfId="63"/>
    <cellStyle name="$_0105담배자판기개조원가_중부지역본부-" xfId="64"/>
    <cellStyle name="$_0105담배자판기개조원가_충청지역본부-" xfId="65"/>
    <cellStyle name="$_0105담배자판기개조원가_통행료면탈방지시스템(최종)" xfId="66"/>
    <cellStyle name="$_0105담배자판기개조원가_호남지역본부-" xfId="67"/>
    <cellStyle name="$_0106LG인버터냉난방기제작-1" xfId="68"/>
    <cellStyle name="$_0106LG인버터냉난방기제작-1_강원지역본부(2006년_060109)" xfId="69"/>
    <cellStyle name="$_0106LG인버터냉난방기제작-1_경남지역본부-" xfId="70"/>
    <cellStyle name="$_0106LG인버터냉난방기제작-1_경북지역본부-" xfId="71"/>
    <cellStyle name="$_0106LG인버터냉난방기제작-1_중부지역본부-" xfId="72"/>
    <cellStyle name="$_0106LG인버터냉난방기제작-1_충청지역본부-" xfId="73"/>
    <cellStyle name="$_0106LG인버터냉난방기제작-1_통행료면탈방지시스템(최종)" xfId="74"/>
    <cellStyle name="$_0106LG인버터냉난방기제작-1_호남지역본부-" xfId="75"/>
    <cellStyle name="$_0107광전송장비구매설치" xfId="76"/>
    <cellStyle name="$_0107도공IBS설비SW부문(참조)" xfId="77"/>
    <cellStyle name="$_0107문화재복원용목재-8월6일" xfId="78"/>
    <cellStyle name="$_0107문화재복원용목재-8월6일_강원지역본부(2006년_060109)" xfId="79"/>
    <cellStyle name="$_0107문화재복원용목재-8월6일_경남지역본부-" xfId="80"/>
    <cellStyle name="$_0107문화재복원용목재-8월6일_경북지역본부-" xfId="81"/>
    <cellStyle name="$_0107문화재복원용목재-8월6일_중부지역본부-" xfId="82"/>
    <cellStyle name="$_0107문화재복원용목재-8월6일_충청지역본부-" xfId="83"/>
    <cellStyle name="$_0107문화재복원용목재-8월6일_통행료면탈방지시스템(최종)" xfId="84"/>
    <cellStyle name="$_0107문화재복원용목재-8월6일_호남지역본부-" xfId="85"/>
    <cellStyle name="$_0107포천영중수배전반(제조,설치)" xfId="86"/>
    <cellStyle name="$_0108농기반미곡건조기제작설치" xfId="87"/>
    <cellStyle name="$_0108담배인삼공사영업춘추복" xfId="88"/>
    <cellStyle name="$_0108한국전기교통-LED교통신호등((원본))" xfId="89"/>
    <cellStyle name="$_0108한국전기교통-LED교통신호등((원본))_강원지역본부(2006년_060109)" xfId="90"/>
    <cellStyle name="$_0108한국전기교통-LED교통신호등((원본))_경남지역본부-" xfId="91"/>
    <cellStyle name="$_0108한국전기교통-LED교통신호등((원본))_경북지역본부-" xfId="92"/>
    <cellStyle name="$_0108한국전기교통-LED교통신호등((원본))_중부지역본부-" xfId="93"/>
    <cellStyle name="$_0108한국전기교통-LED교통신호등((원본))_충청지역본부-" xfId="94"/>
    <cellStyle name="$_0108한국전기교통-LED교통신호등((원본))_통행료면탈방지시스템(최종)" xfId="95"/>
    <cellStyle name="$_0108한국전기교통-LED교통신호등((원본))_호남지역본부-" xfId="96"/>
    <cellStyle name="$_0111해양수산부등명기제작" xfId="97"/>
    <cellStyle name="$_0111핸디소프트-전자표준문서시스템" xfId="98"/>
    <cellStyle name="$_0112금감원사무자동화시스템" xfId="99"/>
    <cellStyle name="$_0112수도권매립지SW원가" xfId="100"/>
    <cellStyle name="$_0112중고원-HRD종합정보망구축(完)" xfId="101"/>
    <cellStyle name="$_0201종합예술회관의자제작설치" xfId="102"/>
    <cellStyle name="$_0201종합예술회관의자제작설치-1" xfId="103"/>
    <cellStyle name="$_0202마사회근무복" xfId="104"/>
    <cellStyle name="$_0202마사회근무복_강원지역본부(2006년_060109)" xfId="105"/>
    <cellStyle name="$_0202마사회근무복_경남지역본부-" xfId="106"/>
    <cellStyle name="$_0202마사회근무복_경북지역본부-" xfId="107"/>
    <cellStyle name="$_0202마사회근무복_중부지역본부-" xfId="108"/>
    <cellStyle name="$_0202마사회근무복_충청지역본부-" xfId="109"/>
    <cellStyle name="$_0202마사회근무복_통행료면탈방지시스템(최종)" xfId="110"/>
    <cellStyle name="$_0202마사회근무복_호남지역본부-" xfId="111"/>
    <cellStyle name="$_0202부경교재-승강칠판" xfId="112"/>
    <cellStyle name="$_0202부경교재-승강칠판_강원지역본부(2006년_060109)" xfId="113"/>
    <cellStyle name="$_0202부경교재-승강칠판_경남지역본부-" xfId="114"/>
    <cellStyle name="$_0202부경교재-승강칠판_경북지역본부-" xfId="115"/>
    <cellStyle name="$_0202부경교재-승강칠판_중부지역본부-" xfId="116"/>
    <cellStyle name="$_0202부경교재-승강칠판_충청지역본부-" xfId="117"/>
    <cellStyle name="$_0202부경교재-승강칠판_통행료면탈방지시스템(최종)" xfId="118"/>
    <cellStyle name="$_0202부경교재-승강칠판_호남지역본부-" xfId="119"/>
    <cellStyle name="$_0204한국석묘납골함-1규격" xfId="120"/>
    <cellStyle name="$_0205TTMS-긴급전화기&amp;전체총괄" xfId="121"/>
    <cellStyle name="$_0206금감원금융정보교환망재구축" xfId="122"/>
    <cellStyle name="$_0206정통부수납장표기기제작설치" xfId="123"/>
    <cellStyle name="$_0207담배인삼공사-담요" xfId="124"/>
    <cellStyle name="$_0208레비텍-다층여과기설계변경" xfId="125"/>
    <cellStyle name="$_0209이산화염소발생기-설치(50K)" xfId="126"/>
    <cellStyle name="$_0210현대정보기술-TD이중계" xfId="127"/>
    <cellStyle name="$_0211조달청-#1대북지원사업정산(1월7일)" xfId="128"/>
    <cellStyle name="$_0212금감원-법규정보시스템(完)" xfId="129"/>
    <cellStyle name="$_0301교통방송-CCTV유지보수" xfId="130"/>
    <cellStyle name="$_0302인천경찰청-무인단속기위탁관리" xfId="131"/>
    <cellStyle name="$_0302조달청-대북지원2차(안성연)" xfId="132"/>
    <cellStyle name="$_0302조달청-대북지원2차(최수현)" xfId="133"/>
    <cellStyle name="$_0302표준문서-쌍용정보통신(신)" xfId="134"/>
    <cellStyle name="$_0304소프트파워-정부표준전자문서시스템" xfId="135"/>
    <cellStyle name="$_0304소프트파워-정부표준전자문서시스템(完)" xfId="136"/>
    <cellStyle name="$_0304철도청-주변환장치-1" xfId="137"/>
    <cellStyle name="$_0305금감원-금융통계정보시스템구축(完)" xfId="138"/>
    <cellStyle name="$_0305제낭조합-면범포지" xfId="139"/>
    <cellStyle name="$_0306제낭공업협동조합-면범포지원단(경비까지)" xfId="140"/>
    <cellStyle name="$_0307경찰청-무인교통단속표준SW개발용역(完)" xfId="141"/>
    <cellStyle name="$_0308조달청-#8대북지원사업정산" xfId="142"/>
    <cellStyle name="$_0309두합크린텍-설치원가" xfId="143"/>
    <cellStyle name="$_0309조달청-#9대북지원사업정산" xfId="144"/>
    <cellStyle name="$_0310여주상수도-탈수기(유천ENG)" xfId="145"/>
    <cellStyle name="$_0311대기해양작업시간" xfId="146"/>
    <cellStyle name="$_0311대기해양중형등명기" xfId="147"/>
    <cellStyle name="$_0312국민체육진흥공단-전기부문" xfId="148"/>
    <cellStyle name="$_0312대기해양-중형등명기제작설치" xfId="149"/>
    <cellStyle name="$_0312라이준-칼라아스콘4규격" xfId="150"/>
    <cellStyle name="$_0401집진기프로그램SW개발비산정" xfId="151"/>
    <cellStyle name="$_13. 관리동" xfId="152"/>
    <cellStyle name="$_2001-06조달청신성-한냉지형" xfId="153"/>
    <cellStyle name="$_2002-03경찰대학-졸업식" xfId="154"/>
    <cellStyle name="$_2002-03경찰청-경찰표지장" xfId="155"/>
    <cellStyle name="$_2002-03반디-가로등(열주형)" xfId="156"/>
    <cellStyle name="$_2002-03신화전자-감지기" xfId="157"/>
    <cellStyle name="$_2002-04강원랜드-슬러트머신" xfId="158"/>
    <cellStyle name="$_2002-04메가컴-외주무대" xfId="159"/>
    <cellStyle name="$_2002-04엘지애드-무대" xfId="160"/>
    <cellStyle name="$_2002-05강원랜드-슬러트머신(넥스터)" xfId="161"/>
    <cellStyle name="$_2002-05경기경찰청-냉온수기공사" xfId="162"/>
    <cellStyle name="$_2002-05대통령비서실-카페트" xfId="163"/>
    <cellStyle name="$_2002결과표" xfId="164"/>
    <cellStyle name="$_2002결과표_강원지역본부(2006년_060109)" xfId="165"/>
    <cellStyle name="$_2002결과표_경남지역본부-" xfId="166"/>
    <cellStyle name="$_2002결과표_경북지역본부-" xfId="167"/>
    <cellStyle name="$_2002결과표_중부지역본부-" xfId="168"/>
    <cellStyle name="$_2002결과표_충청지역본부-" xfId="169"/>
    <cellStyle name="$_2002결과표_통행료면탈방지시스템(최종)" xfId="170"/>
    <cellStyle name="$_2002결과표_호남지역본부-" xfId="171"/>
    <cellStyle name="$_2002결과표1" xfId="172"/>
    <cellStyle name="$_2003-01정일사-표창5종" xfId="173"/>
    <cellStyle name="$_간지,목차,페이지,표지" xfId="174"/>
    <cellStyle name="$_강원지역본부(2006년_060109)" xfId="175"/>
    <cellStyle name="$_견적2" xfId="176"/>
    <cellStyle name="$_경남지역본부-" xfId="177"/>
    <cellStyle name="$_경북지역본부-" xfId="178"/>
    <cellStyle name="$_경찰청-근무,기동복" xfId="179"/>
    <cellStyle name="$_공사일반관리비양식" xfId="180"/>
    <cellStyle name="$_관리동sw" xfId="181"/>
    <cellStyle name="$_기아" xfId="182"/>
    <cellStyle name="$_기초공사" xfId="183"/>
    <cellStyle name="$_네인텍정보기술-회로카드(수현)" xfId="184"/>
    <cellStyle name="$_대기해양노무비" xfId="185"/>
    <cellStyle name="$_대북자재8월분" xfId="186"/>
    <cellStyle name="$_대북자재8월분-1" xfId="187"/>
    <cellStyle name="$_동산용사촌수현(원본)" xfId="188"/>
    <cellStyle name="$_목차" xfId="189"/>
    <cellStyle name="$_백제군사전시1" xfId="190"/>
    <cellStyle name="$_수초제거기(대양기계)" xfId="191"/>
    <cellStyle name="$_수초제거기(대양기계)_강원지역본부(2006년_060109)" xfId="192"/>
    <cellStyle name="$_수초제거기(대양기계)_경남지역본부-" xfId="193"/>
    <cellStyle name="$_수초제거기(대양기계)_경북지역본부-" xfId="194"/>
    <cellStyle name="$_수초제거기(대양기계)_중부지역본부-" xfId="195"/>
    <cellStyle name="$_수초제거기(대양기계)_충청지역본부-" xfId="196"/>
    <cellStyle name="$_수초제거기(대양기계)_통행료면탈방지시스템(최종)" xfId="197"/>
    <cellStyle name="$_수초제거기(대양기계)_호남지역본부-" xfId="198"/>
    <cellStyle name="$_시설용역" xfId="199"/>
    <cellStyle name="$_암전정밀실체현미경(수현)" xfId="200"/>
    <cellStyle name="$_오리엔탈" xfId="201"/>
    <cellStyle name="$_원본 - 한국전기교통-개선형신호등 4종" xfId="202"/>
    <cellStyle name="$_원본 - 한국전기교통-개선형신호등 4종_강원지역본부(2006년_060109)" xfId="203"/>
    <cellStyle name="$_원본 - 한국전기교통-개선형신호등 4종_경남지역본부-" xfId="204"/>
    <cellStyle name="$_원본 - 한국전기교통-개선형신호등 4종_경북지역본부-" xfId="205"/>
    <cellStyle name="$_원본 - 한국전기교통-개선형신호등 4종_중부지역본부-" xfId="206"/>
    <cellStyle name="$_원본 - 한국전기교통-개선형신호등 4종_충청지역본부-" xfId="207"/>
    <cellStyle name="$_원본 - 한국전기교통-개선형신호등 4종_통행료면탈방지시스템(최종)" xfId="208"/>
    <cellStyle name="$_원본 - 한국전기교통-개선형신호등 4종_호남지역본부-" xfId="209"/>
    <cellStyle name="$_제경비율모음" xfId="210"/>
    <cellStyle name="$_제조원가" xfId="211"/>
    <cellStyle name="$_조달청-대북지원3차(최수현)" xfId="212"/>
    <cellStyle name="$_조달청-대북지원4차(최수현)" xfId="213"/>
    <cellStyle name="$_조달청-대북지원5차(최수현)" xfId="214"/>
    <cellStyle name="$_조달청-대북지원6차(번호)" xfId="215"/>
    <cellStyle name="$_조달청-대북지원6차(최수현)" xfId="216"/>
    <cellStyle name="$_조달청-대북지원7차(최수현)" xfId="217"/>
    <cellStyle name="$_조달청-대북지원8차(최수현)" xfId="218"/>
    <cellStyle name="$_조달청-대북지원9차(최수현)" xfId="219"/>
    <cellStyle name="$_조달청-B판사천강교제작(최종본)" xfId="220"/>
    <cellStyle name="$_중부지역본부-" xfId="221"/>
    <cellStyle name="$_중앙선관위(투표,개표)" xfId="222"/>
    <cellStyle name="$_중앙선관위(투표,개표)-사본" xfId="223"/>
    <cellStyle name="$_철공가공조립" xfId="224"/>
    <cellStyle name="$_최종-한국전기교통-개선형신호등 4종(공수조정)" xfId="225"/>
    <cellStyle name="$_최종-한국전기교통-개선형신호등 4종(공수조정)_강원지역본부(2006년_060109)" xfId="226"/>
    <cellStyle name="$_최종-한국전기교통-개선형신호등 4종(공수조정)_경남지역본부-" xfId="227"/>
    <cellStyle name="$_최종-한국전기교통-개선형신호등 4종(공수조정)_경북지역본부-" xfId="228"/>
    <cellStyle name="$_최종-한국전기교통-개선형신호등 4종(공수조정)_중부지역본부-" xfId="229"/>
    <cellStyle name="$_최종-한국전기교통-개선형신호등 4종(공수조정)_충청지역본부-" xfId="230"/>
    <cellStyle name="$_최종-한국전기교통-개선형신호등 4종(공수조정)_통행료면탈방지시스템(최종)" xfId="231"/>
    <cellStyle name="$_최종-한국전기교통-개선형신호등 4종(공수조정)_호남지역본부-" xfId="232"/>
    <cellStyle name="$_충청지역본부-" xfId="233"/>
    <cellStyle name="$_코솔라-제조원가" xfId="234"/>
    <cellStyle name="$_토지공사-간접비" xfId="235"/>
    <cellStyle name="$_통행료면탈방지시스템(최종)" xfId="236"/>
    <cellStyle name="$_한국도로공사" xfId="237"/>
    <cellStyle name="$_한전내역서-최종" xfId="238"/>
    <cellStyle name="$_호남지역본부-" xfId="239"/>
    <cellStyle name="$_db진흥" xfId="240"/>
    <cellStyle name="$_Pilot플랜트-계변경" xfId="241"/>
    <cellStyle name="$_Pilot플랜트이전설치-변경최종" xfId="242"/>
    <cellStyle name="$_SE40" xfId="243"/>
    <cellStyle name="$_SW(케이비)" xfId="244"/>
    <cellStyle name="??&amp;쏗?뷐9_x0008__x0011__x0007_?_x0007__x0001__x0001_" xfId="245"/>
    <cellStyle name="??&amp;O?&amp;H?_x0008__x000F__x0007_?_x0007__x0001__x0001_" xfId="246"/>
    <cellStyle name="??&amp;O?&amp;H?_x0008_??_x0007__x0001__x0001_" xfId="247"/>
    <cellStyle name="???­ [0]_¸ð??¸·" xfId="248"/>
    <cellStyle name="???­_¸ð??¸·" xfId="249"/>
    <cellStyle name="???Ø_¸ð??¸·" xfId="250"/>
    <cellStyle name="?曹%U?&amp;H?_x0008_?s&#10;_x0007__x0001__x0001_" xfId="251"/>
    <cellStyle name="?Þ¸¶ [0]_¸ð??¸·" xfId="252"/>
    <cellStyle name="?Þ¸¶_¸ð??¸·" xfId="253"/>
    <cellStyle name="?W?_laroux" xfId="254"/>
    <cellStyle name="@_laroux" xfId="255"/>
    <cellStyle name="@_laroux_제트베인" xfId="256"/>
    <cellStyle name="@_laroux_제트베인_1" xfId="257"/>
    <cellStyle name="_06년)하이패스_점검내역" xfId="258"/>
    <cellStyle name="_1_터널교통관리시설구축_공사설계서(달성12터널외2개소)" xfId="259"/>
    <cellStyle name="_11.통합보안관리서버" xfId="260"/>
    <cellStyle name="_1220-원가조사-전자지불" xfId="261"/>
    <cellStyle name="_2001 장애조치" xfId="262"/>
    <cellStyle name="_2002결과표1" xfId="263"/>
    <cellStyle name="_간지" xfId="264"/>
    <cellStyle name="_간지,목차,페이지,표지" xfId="265"/>
    <cellStyle name="_감가상각(01년도) (2)" xfId="266"/>
    <cellStyle name="_감가상각(01년도) (3)" xfId="267"/>
    <cellStyle name="_강산FRP" xfId="268"/>
    <cellStyle name="_강원지역본부" xfId="269"/>
    <cellStyle name="_강원지역본부(2006년)" xfId="270"/>
    <cellStyle name="_강원지역본부(2006년_060109)" xfId="271"/>
    <cellStyle name="_강원지역본부(2006년_060109)" xfId="272"/>
    <cellStyle name="_강원지역본부(2006년-051228)" xfId="273"/>
    <cellStyle name="_강원지역본부(2006년-060102)" xfId="274"/>
    <cellStyle name="_개요" xfId="275"/>
    <cellStyle name="_개요(봉림)-참고용" xfId="276"/>
    <cellStyle name="_개요(봉림)-최종" xfId="277"/>
    <cellStyle name="_개요(주안-인천)" xfId="278"/>
    <cellStyle name="_견적서_모바일경기-정현창" xfId="279"/>
    <cellStyle name="_경남본부_2006년도_유지관리대상수량" xfId="280"/>
    <cellStyle name="_경남본부_2006년도_유지관리대상수량_경남지역본부(2006년)" xfId="281"/>
    <cellStyle name="_경남본부_2006년도_유지관리대상수량_경남지역본부(2006년도)" xfId="282"/>
    <cellStyle name="_경남지역본부-" xfId="283"/>
    <cellStyle name="_경남지역본부-" xfId="284"/>
    <cellStyle name="_경남지역본부_20041220_상반기" xfId="285"/>
    <cellStyle name="_경남지역본부_20041220_상반기_2005년도급내역서" xfId="286"/>
    <cellStyle name="_경남지역본부_20041220_상반기_2005년도급내역서_강원지역본부(2006년)" xfId="287"/>
    <cellStyle name="_경남지역본부_20041220_상반기_2005년도급내역서_강원지역본부(2006년-051228)" xfId="288"/>
    <cellStyle name="_경남지역본부_20041220_상반기_2005년도급내역서_강원지역본부(2006년-060102)" xfId="289"/>
    <cellStyle name="_경남지역본부_20041220_상반기_2005년도급내역서_경남본부_2006년도_유지관리대상수량" xfId="290"/>
    <cellStyle name="_경남지역본부_20041220_상반기_2005년도급내역서_경남본부_2006년도_유지관리대상수량_경남지역본부(2006년)" xfId="291"/>
    <cellStyle name="_경남지역본부_20041220_상반기_2005년도급내역서_경남본부_2006년도_유지관리대상수량_경남지역본부(2006년도)" xfId="292"/>
    <cellStyle name="_경남지역본부_20041220_상반기_2005년도급내역서_중부지역본부(2006년)_기준" xfId="293"/>
    <cellStyle name="_경남지역본부_20041220_상반기_2005년도급내역서_중부지역본부(2006년)_기준_경남지역본부(2006년)" xfId="294"/>
    <cellStyle name="_경남지역본부_20041220_상반기_2005년도급내역서_중부지역본부(2006년)_기준_경남지역본부(2006년도)" xfId="295"/>
    <cellStyle name="_경남지역본부_20041220_상반기_2005년도급내역서_중부지역본부(2006년)_기준_경북지역본부(2006년)" xfId="296"/>
    <cellStyle name="_경남지역본부_20041220_상반기_2005년도급내역서_중부지역본부(2006년)_기준_경북지역본부(2006년도)" xfId="297"/>
    <cellStyle name="_경남지역본부_20041220_상반기_2005년도급내역서_중부지역본부(2006년-051220)" xfId="298"/>
    <cellStyle name="_경남지역본부_20041220_상반기_2005년도급내역서_중부지역본부(2006년-051228)" xfId="299"/>
    <cellStyle name="_경남지역본부_20041220_상반기_2005년도급내역서_중부지역본부(2006년-060102)" xfId="300"/>
    <cellStyle name="_경남지역본부_20041220_상반기_2005년도급내역서_TTMS위탁수량(KHC)" xfId="301"/>
    <cellStyle name="_경남지역본부_20041220_상반기_강원지역본부(2006년)" xfId="302"/>
    <cellStyle name="_경남지역본부_20041220_상반기_강원지역본부(2006년-051228)" xfId="303"/>
    <cellStyle name="_경남지역본부_20041220_상반기_강원지역본부(2006년-060102)" xfId="304"/>
    <cellStyle name="_경남지역본부_20041220_상반기_경남본부_2006년도_유지관리대상수량" xfId="305"/>
    <cellStyle name="_경남지역본부_20041220_상반기_경남본부_2006년도_유지관리대상수량_경남지역본부(2006년)" xfId="306"/>
    <cellStyle name="_경남지역본부_20041220_상반기_경남본부_2006년도_유지관리대상수량_경남지역본부(2006년도)" xfId="307"/>
    <cellStyle name="_경남지역본부_20041220_상반기_중부지역본부(2006년)_기준" xfId="308"/>
    <cellStyle name="_경남지역본부_20041220_상반기_중부지역본부(2006년)_기준_경남지역본부(2006년)" xfId="309"/>
    <cellStyle name="_경남지역본부_20041220_상반기_중부지역본부(2006년)_기준_경남지역본부(2006년도)" xfId="310"/>
    <cellStyle name="_경남지역본부_20041220_상반기_중부지역본부(2006년)_기준_경북지역본부(2006년)" xfId="311"/>
    <cellStyle name="_경남지역본부_20041220_상반기_중부지역본부(2006년)_기준_경북지역본부(2006년도)" xfId="312"/>
    <cellStyle name="_경남지역본부_20041220_상반기_중부지역본부(2006년-051220)" xfId="313"/>
    <cellStyle name="_경남지역본부_20041220_상반기_중부지역본부(2006년-051228)" xfId="314"/>
    <cellStyle name="_경남지역본부_20041220_상반기_중부지역본부(2006년-060102)" xfId="315"/>
    <cellStyle name="_경남지역본부_20041220_상반기_TTMS위탁수량(KHC)" xfId="316"/>
    <cellStyle name="_경북031002" xfId="317"/>
    <cellStyle name="_경북지역본부-" xfId="318"/>
    <cellStyle name="_경북지역본부-" xfId="319"/>
    <cellStyle name="_계중기(051216)" xfId="320"/>
    <cellStyle name="_고객서비스모니터링" xfId="321"/>
    <cellStyle name="_과학의 날 행사용 영상물제작" xfId="322"/>
    <cellStyle name="_광가입자전송장비(FLC)삼성" xfId="323"/>
    <cellStyle name="_광안리내역서(구도)" xfId="324"/>
    <cellStyle name="_광케이블_SNI_LGCNS_1" xfId="325"/>
    <cellStyle name="_구로지사 증축 및 보수공사 2차(최종)-12.16(신규)" xfId="326"/>
    <cellStyle name="_구로지사 증축 및 보수공사(최종)+개요" xfId="327"/>
    <cellStyle name="_기초공사" xfId="328"/>
    <cellStyle name="_나노엔텍(임금)" xfId="329"/>
    <cellStyle name="_내역(991895-7)" xfId="330"/>
    <cellStyle name="_내역(991895-7)-01" xfId="331"/>
    <cellStyle name="_내역(991895-7)-12-3일작업" xfId="332"/>
    <cellStyle name="_내역서" xfId="333"/>
    <cellStyle name="_내역서(서남권)" xfId="334"/>
    <cellStyle name="_내역서+개요(월배통신)" xfId="335"/>
    <cellStyle name="_내역서+개요(전기)-6.7(최종)" xfId="336"/>
    <cellStyle name="_내역서+개요(통신)" xfId="337"/>
    <cellStyle name="_농수로3종외-최종" xfId="338"/>
    <cellStyle name="_단가비교" xfId="339"/>
    <cellStyle name="_대전망운용국 대수선 전기공사+개요" xfId="340"/>
    <cellStyle name="_동목포전화국제4회기성청구서" xfId="341"/>
    <cellStyle name="_동학농민(전기)(02.09.05)" xfId="342"/>
    <cellStyle name="_모바일 경기넷 구축 사업(최종)" xfId="343"/>
    <cellStyle name="_목차" xfId="344"/>
    <cellStyle name="_목차_1. 경기문화재단" xfId="345"/>
    <cellStyle name="_목차_1-1. 경기문화재단" xfId="346"/>
    <cellStyle name="_목차_1-1. 경기문화재단-1" xfId="347"/>
    <cellStyle name="_목차_2. 경기도박물관" xfId="348"/>
    <cellStyle name="_목차_3. 경기도미술관" xfId="349"/>
    <cellStyle name="_목차_4. 경기도자박물관" xfId="350"/>
    <cellStyle name="_목차_5. 백남준아트센터" xfId="351"/>
    <cellStyle name="_목차_6. 남한산성" xfId="352"/>
    <cellStyle name="_목차_경기문화재단종합관리" xfId="353"/>
    <cellStyle name="_목차_심사내역서 (경기도자박물관)" xfId="354"/>
    <cellStyle name="_목차_청소업무용역(수정-최종)" xfId="355"/>
    <cellStyle name="_무역 전시회 지원성과" xfId="356"/>
    <cellStyle name="_봉림고교 교사신축(최종)" xfId="357"/>
    <cellStyle name="_봉림고교 교사신축(최종)-참고용" xfId="358"/>
    <cellStyle name="_브랜드개발" xfId="359"/>
    <cellStyle name="_샤워식분무기(최종)" xfId="360"/>
    <cellStyle name="_서울과학관의장" xfId="361"/>
    <cellStyle name="_신흥기업사-최종" xfId="362"/>
    <cellStyle name="_안양지식산업진흥원" xfId="363"/>
    <cellStyle name="_연구원실험대(24종)-최종" xfId="364"/>
    <cellStyle name="_원격유지관리시스템(2004)" xfId="365"/>
    <cellStyle name="_유선설비(051216)" xfId="366"/>
    <cellStyle name="_일위대가" xfId="367"/>
    <cellStyle name="_자재비교표" xfId="368"/>
    <cellStyle name="_장현중(내역서+개요)" xfId="369"/>
    <cellStyle name="_재료비" xfId="370"/>
    <cellStyle name="_전자지불(삼성SDS)" xfId="371"/>
    <cellStyle name="_전자지불-(케이비)" xfId="372"/>
    <cellStyle name="_정보통신-광통신망관리(050214)" xfId="373"/>
    <cellStyle name="_제일은행하계근무복" xfId="374"/>
    <cellStyle name="_중부지역본부-" xfId="375"/>
    <cellStyle name="_중부지역본부-" xfId="376"/>
    <cellStyle name="_중부지역본부(2006년)_기준" xfId="377"/>
    <cellStyle name="_중부지역본부(2006년)_기준_경남지역본부(2006년)" xfId="378"/>
    <cellStyle name="_중부지역본부(2006년)_기준_경남지역본부(2006년도)" xfId="379"/>
    <cellStyle name="_중부지역본부(2006년)_기준_경북지역본부(2006년)" xfId="380"/>
    <cellStyle name="_중부지역본부(2006년)_기준_경북지역본부(2006년도)" xfId="381"/>
    <cellStyle name="_중부지역본부(2006년-051220)" xfId="382"/>
    <cellStyle name="_중부지역본부(2006년-051228)" xfId="383"/>
    <cellStyle name="_중부지역본부(2006년-060102)" xfId="384"/>
    <cellStyle name="_증권예탁원_퇴직연금시스템_구축_요약_Ver2" xfId="385"/>
    <cellStyle name="_직접경비" xfId="386"/>
    <cellStyle name="_창(에리트(설치제외)" xfId="387"/>
    <cellStyle name="_총괄(최종)" xfId="388"/>
    <cellStyle name="_춘천전화국증축통신+개요" xfId="389"/>
    <cellStyle name="_춘천합동내역+개요(수정한최종)" xfId="390"/>
    <cellStyle name="_충청지역본부-" xfId="391"/>
    <cellStyle name="_테마공사새로03" xfId="392"/>
    <cellStyle name="_통행료 전자지불 SW" xfId="393"/>
    <cellStyle name="_통행료면탈방지시스템(최종)" xfId="394"/>
    <cellStyle name="_통행료면탈방지시스템(최종)" xfId="395"/>
    <cellStyle name="_퇴직연금 기록관리 시스템" xfId="396"/>
    <cellStyle name="_표지" xfId="397"/>
    <cellStyle name="_하이패스 전자지불(050214)" xfId="398"/>
    <cellStyle name="_하이패스(최종)" xfId="399"/>
    <cellStyle name="_호남지역본부-" xfId="400"/>
    <cellStyle name="_호남지역본부-20041220" xfId="401"/>
    <cellStyle name="_흙막이공사(일위)" xfId="402"/>
    <cellStyle name="_C앤C" xfId="403"/>
    <cellStyle name="_C앤C(네트웍)" xfId="404"/>
    <cellStyle name="_C앤C원가계산" xfId="405"/>
    <cellStyle name="_GN_극동건설(주)_덕정병원_토목(작업)-1" xfId="406"/>
    <cellStyle name="_TCS 영업소(050214)" xfId="407"/>
    <cellStyle name="_TCS_축중기" xfId="408"/>
    <cellStyle name="_TTMS위탁수량(KHC)" xfId="409"/>
    <cellStyle name="´þ·?" xfId="410"/>
    <cellStyle name="’E‰Y [0.00]_laroux" xfId="411"/>
    <cellStyle name="’E‰Y_laroux" xfId="412"/>
    <cellStyle name="¤@?e_TEST-1 " xfId="413"/>
    <cellStyle name="°ia¤¼o¼ya¡" xfId="414"/>
    <cellStyle name="°ia¤aa·a1" xfId="415"/>
    <cellStyle name="°ia¤aa·a2" xfId="416"/>
    <cellStyle name="0%" xfId="417"/>
    <cellStyle name="0,0&#13;&#10;NA&#13;&#10;" xfId="418"/>
    <cellStyle name="0.0" xfId="419"/>
    <cellStyle name="0.0%" xfId="420"/>
    <cellStyle name="0.00" xfId="421"/>
    <cellStyle name="0.00%" xfId="422"/>
    <cellStyle name="0.000%" xfId="423"/>
    <cellStyle name="0.0000%" xfId="424"/>
    <cellStyle name="1" xfId="425"/>
    <cellStyle name="10" xfId="426"/>
    <cellStyle name="120" xfId="427"/>
    <cellStyle name="19990216" xfId="428"/>
    <cellStyle name="1월" xfId="429"/>
    <cellStyle name="¹éº" xfId="430"/>
    <cellStyle name="20% - 강조색1" xfId="431"/>
    <cellStyle name="20% - 강조색2" xfId="432"/>
    <cellStyle name="20% - 강조색3" xfId="433"/>
    <cellStyle name="20% - 강조색4" xfId="434"/>
    <cellStyle name="20% - 강조색5" xfId="435"/>
    <cellStyle name="20% - 강조색6" xfId="436"/>
    <cellStyle name="³?a￥" xfId="437"/>
    <cellStyle name="40% - 강조색1" xfId="438"/>
    <cellStyle name="40% - 강조색2" xfId="439"/>
    <cellStyle name="40% - 강조색3" xfId="440"/>
    <cellStyle name="40% - 강조색4" xfId="441"/>
    <cellStyle name="40% - 강조색5" xfId="442"/>
    <cellStyle name="40% - 강조색6" xfId="443"/>
    <cellStyle name="60" xfId="444"/>
    <cellStyle name="60% - 강조색1" xfId="445"/>
    <cellStyle name="60% - 강조색2" xfId="446"/>
    <cellStyle name="60% - 강조색3" xfId="447"/>
    <cellStyle name="60% - 강조색4" xfId="448"/>
    <cellStyle name="60% - 강조색5" xfId="449"/>
    <cellStyle name="60% - 강조색6" xfId="450"/>
    <cellStyle name="_x0014_7." xfId="451"/>
    <cellStyle name="강조색1" xfId="452"/>
    <cellStyle name="강조색2" xfId="453"/>
    <cellStyle name="강조색3" xfId="454"/>
    <cellStyle name="강조색4" xfId="455"/>
    <cellStyle name="강조색5" xfId="456"/>
    <cellStyle name="강조색6" xfId="457"/>
    <cellStyle name="경고문" xfId="458"/>
    <cellStyle name="계산" xfId="459"/>
    <cellStyle name="고정소숫점" xfId="460"/>
    <cellStyle name="고정출력1" xfId="461"/>
    <cellStyle name="고정출력2" xfId="462"/>
    <cellStyle name="咬訌裝?INCOM1" xfId="463"/>
    <cellStyle name="咬訌裝?INCOM10" xfId="464"/>
    <cellStyle name="咬訌裝?INCOM2" xfId="465"/>
    <cellStyle name="咬訌裝?INCOM3" xfId="466"/>
    <cellStyle name="咬訌裝?INCOM4" xfId="467"/>
    <cellStyle name="咬訌裝?INCOM5" xfId="468"/>
    <cellStyle name="咬訌裝?INCOM6" xfId="469"/>
    <cellStyle name="咬訌裝?INCOM7" xfId="470"/>
    <cellStyle name="咬訌裝?INCOM8" xfId="471"/>
    <cellStyle name="咬訌裝?INCOM9" xfId="472"/>
    <cellStyle name="咬訌裝?PRIB11" xfId="473"/>
    <cellStyle name="구        분" xfId="474"/>
    <cellStyle name="금액" xfId="475"/>
    <cellStyle name="김해전기" xfId="476"/>
    <cellStyle name="나쁨" xfId="477"/>
    <cellStyle name="날짜" xfId="478"/>
    <cellStyle name="내역서" xfId="479"/>
    <cellStyle name="단위(원)" xfId="480"/>
    <cellStyle name="달러" xfId="481"/>
    <cellStyle name="뒤에 오는 하이퍼링크" xfId="482"/>
    <cellStyle name="똿뗦먛귟 [0.00]_laroux" xfId="483"/>
    <cellStyle name="똿뗦먛귟_laroux" xfId="484"/>
    <cellStyle name="메모" xfId="485"/>
    <cellStyle name="믅됞 [0.00]_laroux" xfId="486"/>
    <cellStyle name="믅됞_laroux" xfId="487"/>
    <cellStyle name="배분" xfId="488"/>
    <cellStyle name="Percent" xfId="489"/>
    <cellStyle name="백분율 [0]" xfId="490"/>
    <cellStyle name="백분율 [2]" xfId="491"/>
    <cellStyle name="백분율［△1］" xfId="492"/>
    <cellStyle name="백분율［△2］" xfId="493"/>
    <cellStyle name="보통" xfId="494"/>
    <cellStyle name="뷭?_?긚??_1" xfId="495"/>
    <cellStyle name="선택영역의 가운데로" xfId="496"/>
    <cellStyle name="설계서" xfId="497"/>
    <cellStyle name="설계서-내용" xfId="498"/>
    <cellStyle name="설계서-내용-소수점" xfId="499"/>
    <cellStyle name="설계서-내용-우" xfId="500"/>
    <cellStyle name="설계서-내용-좌" xfId="501"/>
    <cellStyle name="설계서-소제목" xfId="502"/>
    <cellStyle name="설계서-타이틀" xfId="503"/>
    <cellStyle name="설계서-항목" xfId="504"/>
    <cellStyle name="설명 텍스트" xfId="505"/>
    <cellStyle name="셀 확인" xfId="506"/>
    <cellStyle name="수산" xfId="507"/>
    <cellStyle name="숫자(R)" xfId="508"/>
    <cellStyle name="Comma" xfId="509"/>
    <cellStyle name="Comma [0]" xfId="510"/>
    <cellStyle name="쉼표 [0]_2. 냉온수" xfId="511"/>
    <cellStyle name="스타일 1" xfId="512"/>
    <cellStyle name="스타일 10" xfId="513"/>
    <cellStyle name="스타일 11" xfId="514"/>
    <cellStyle name="스타일 12" xfId="515"/>
    <cellStyle name="스타일 13" xfId="516"/>
    <cellStyle name="스타일 14" xfId="517"/>
    <cellStyle name="스타일 15" xfId="518"/>
    <cellStyle name="스타일 16" xfId="519"/>
    <cellStyle name="스타일 17" xfId="520"/>
    <cellStyle name="스타일 18" xfId="521"/>
    <cellStyle name="스타일 19" xfId="522"/>
    <cellStyle name="스타일 2" xfId="523"/>
    <cellStyle name="스타일 20" xfId="524"/>
    <cellStyle name="스타일 21" xfId="525"/>
    <cellStyle name="스타일 22" xfId="526"/>
    <cellStyle name="스타일 23" xfId="527"/>
    <cellStyle name="스타일 24" xfId="528"/>
    <cellStyle name="스타일 25" xfId="529"/>
    <cellStyle name="스타일 26" xfId="530"/>
    <cellStyle name="스타일 27" xfId="531"/>
    <cellStyle name="스타일 28" xfId="532"/>
    <cellStyle name="스타일 29" xfId="533"/>
    <cellStyle name="스타일 3" xfId="534"/>
    <cellStyle name="스타일 30" xfId="535"/>
    <cellStyle name="스타일 31" xfId="536"/>
    <cellStyle name="스타일 32" xfId="537"/>
    <cellStyle name="스타일 33" xfId="538"/>
    <cellStyle name="스타일 34" xfId="539"/>
    <cellStyle name="스타일 35" xfId="540"/>
    <cellStyle name="스타일 36" xfId="541"/>
    <cellStyle name="스타일 37" xfId="542"/>
    <cellStyle name="스타일 38" xfId="543"/>
    <cellStyle name="스타일 39" xfId="544"/>
    <cellStyle name="스타일 4" xfId="545"/>
    <cellStyle name="스타일 40" xfId="546"/>
    <cellStyle name="스타일 41" xfId="547"/>
    <cellStyle name="스타일 42" xfId="548"/>
    <cellStyle name="스타일 43" xfId="549"/>
    <cellStyle name="스타일 44" xfId="550"/>
    <cellStyle name="스타일 45" xfId="551"/>
    <cellStyle name="스타일 46" xfId="552"/>
    <cellStyle name="스타일 47" xfId="553"/>
    <cellStyle name="스타일 48" xfId="554"/>
    <cellStyle name="스타일 49" xfId="555"/>
    <cellStyle name="스타일 5" xfId="556"/>
    <cellStyle name="스타일 50" xfId="557"/>
    <cellStyle name="스타일 51" xfId="558"/>
    <cellStyle name="스타일 52" xfId="559"/>
    <cellStyle name="스타일 53" xfId="560"/>
    <cellStyle name="스타일 54" xfId="561"/>
    <cellStyle name="스타일 55" xfId="562"/>
    <cellStyle name="스타일 56" xfId="563"/>
    <cellStyle name="스타일 57" xfId="564"/>
    <cellStyle name="스타일 58" xfId="565"/>
    <cellStyle name="스타일 59" xfId="566"/>
    <cellStyle name="스타일 6" xfId="567"/>
    <cellStyle name="스타일 60" xfId="568"/>
    <cellStyle name="스타일 61" xfId="569"/>
    <cellStyle name="스타일 62" xfId="570"/>
    <cellStyle name="스타일 63" xfId="571"/>
    <cellStyle name="스타일 64" xfId="572"/>
    <cellStyle name="스타일 7" xfId="573"/>
    <cellStyle name="스타일 8" xfId="574"/>
    <cellStyle name="스타일 9" xfId="575"/>
    <cellStyle name="안건회계법인" xfId="576"/>
    <cellStyle name="연결된 셀" xfId="577"/>
    <cellStyle name="Followed Hyperlink" xfId="578"/>
    <cellStyle name="요약" xfId="579"/>
    <cellStyle name="원" xfId="580"/>
    <cellStyle name="원_0008금감원통합감독검사정보시스템" xfId="581"/>
    <cellStyle name="원_0009김포공항LED교체공사(광일)" xfId="582"/>
    <cellStyle name="원_0009김포공항LED교체공사(광일)_강원지역본부(2006년_060109)" xfId="583"/>
    <cellStyle name="원_0009김포공항LED교체공사(광일)_경남지역본부-" xfId="584"/>
    <cellStyle name="원_0009김포공항LED교체공사(광일)_경북지역본부-" xfId="585"/>
    <cellStyle name="원_0009김포공항LED교체공사(광일)_중부지역본부-" xfId="586"/>
    <cellStyle name="원_0009김포공항LED교체공사(광일)_충청지역본부-" xfId="587"/>
    <cellStyle name="원_0009김포공항LED교체공사(광일)_통행료면탈방지시스템(최종)" xfId="588"/>
    <cellStyle name="원_0009김포공항LED교체공사(광일)_호남지역본부-" xfId="589"/>
    <cellStyle name="원_0011긴급전화기정산(99년형광일)" xfId="590"/>
    <cellStyle name="원_0011긴급전화기정산(99년형광일)_강원지역본부(2006년_060109)" xfId="591"/>
    <cellStyle name="원_0011긴급전화기정산(99년형광일)_경남지역본부-" xfId="592"/>
    <cellStyle name="원_0011긴급전화기정산(99년형광일)_경북지역본부-" xfId="593"/>
    <cellStyle name="원_0011긴급전화기정산(99년형광일)_중부지역본부-" xfId="594"/>
    <cellStyle name="원_0011긴급전화기정산(99년형광일)_충청지역본부-" xfId="595"/>
    <cellStyle name="원_0011긴급전화기정산(99년형광일)_통행료면탈방지시스템(최종)" xfId="596"/>
    <cellStyle name="원_0011긴급전화기정산(99년형광일)_호남지역본부-" xfId="597"/>
    <cellStyle name="원_0011부산종합경기장전광판" xfId="598"/>
    <cellStyle name="원_0011부산종합경기장전광판_강원지역본부(2006년_060109)" xfId="599"/>
    <cellStyle name="원_0011부산종합경기장전광판_경남지역본부-" xfId="600"/>
    <cellStyle name="원_0011부산종합경기장전광판_경북지역본부-" xfId="601"/>
    <cellStyle name="원_0011부산종합경기장전광판_중부지역본부-" xfId="602"/>
    <cellStyle name="원_0011부산종합경기장전광판_충청지역본부-" xfId="603"/>
    <cellStyle name="원_0011부산종합경기장전광판_통행료면탈방지시스템(최종)" xfId="604"/>
    <cellStyle name="원_0011부산종합경기장전광판_호남지역본부-" xfId="605"/>
    <cellStyle name="원_0011KIST소각설비제작설치" xfId="606"/>
    <cellStyle name="원_0011KIST소각설비제작설치_강원지역본부(2006년_060109)" xfId="607"/>
    <cellStyle name="원_0011KIST소각설비제작설치_경남지역본부-" xfId="608"/>
    <cellStyle name="원_0011KIST소각설비제작설치_경북지역본부-" xfId="609"/>
    <cellStyle name="원_0011KIST소각설비제작설치_중부지역본부-" xfId="610"/>
    <cellStyle name="원_0011KIST소각설비제작설치_충청지역본부-" xfId="611"/>
    <cellStyle name="원_0011KIST소각설비제작설치_통행료면탈방지시스템(최종)" xfId="612"/>
    <cellStyle name="원_0011KIST소각설비제작설치_호남지역본부-" xfId="613"/>
    <cellStyle name="원_0012문화유적지표석제작설치" xfId="614"/>
    <cellStyle name="원_0012문화유적지표석제작설치_강원지역본부(2006년_060109)" xfId="615"/>
    <cellStyle name="원_0012문화유적지표석제작설치_경남지역본부-" xfId="616"/>
    <cellStyle name="원_0012문화유적지표석제작설치_경북지역본부-" xfId="617"/>
    <cellStyle name="원_0012문화유적지표석제작설치_중부지역본부-" xfId="618"/>
    <cellStyle name="원_0012문화유적지표석제작설치_충청지역본부-" xfId="619"/>
    <cellStyle name="원_0012문화유적지표석제작설치_통행료면탈방지시스템(최종)" xfId="620"/>
    <cellStyle name="원_0012문화유적지표석제작설치_호남지역본부-" xfId="621"/>
    <cellStyle name="원_0102국제조명신공항분수조명" xfId="622"/>
    <cellStyle name="원_0102국제조명신공항분수조명_강원지역본부(2006년_060109)" xfId="623"/>
    <cellStyle name="원_0102국제조명신공항분수조명_경남지역본부-" xfId="624"/>
    <cellStyle name="원_0102국제조명신공항분수조명_경북지역본부-" xfId="625"/>
    <cellStyle name="원_0102국제조명신공항분수조명_중부지역본부-" xfId="626"/>
    <cellStyle name="원_0102국제조명신공항분수조명_충청지역본부-" xfId="627"/>
    <cellStyle name="원_0102국제조명신공항분수조명_통행료면탈방지시스템(최종)" xfId="628"/>
    <cellStyle name="원_0102국제조명신공항분수조명_호남지역본부-" xfId="629"/>
    <cellStyle name="원_0103회전식현수막게시대제작설치" xfId="630"/>
    <cellStyle name="원_0104포항시침출수처리시스템" xfId="631"/>
    <cellStyle name="원_0105담배자판기개조원가" xfId="632"/>
    <cellStyle name="원_0105담배자판기개조원가_강원지역본부(2006년_060109)" xfId="633"/>
    <cellStyle name="원_0105담배자판기개조원가_경남지역본부-" xfId="634"/>
    <cellStyle name="원_0105담배자판기개조원가_경북지역본부-" xfId="635"/>
    <cellStyle name="원_0105담배자판기개조원가_중부지역본부-" xfId="636"/>
    <cellStyle name="원_0105담배자판기개조원가_충청지역본부-" xfId="637"/>
    <cellStyle name="원_0105담배자판기개조원가_통행료면탈방지시스템(최종)" xfId="638"/>
    <cellStyle name="원_0105담배자판기개조원가_호남지역본부-" xfId="639"/>
    <cellStyle name="원_0106LG인버터냉난방기제작-1" xfId="640"/>
    <cellStyle name="원_0106LG인버터냉난방기제작-1_강원지역본부(2006년_060109)" xfId="641"/>
    <cellStyle name="원_0106LG인버터냉난방기제작-1_경남지역본부-" xfId="642"/>
    <cellStyle name="원_0106LG인버터냉난방기제작-1_경북지역본부-" xfId="643"/>
    <cellStyle name="원_0106LG인버터냉난방기제작-1_중부지역본부-" xfId="644"/>
    <cellStyle name="원_0106LG인버터냉난방기제작-1_충청지역본부-" xfId="645"/>
    <cellStyle name="원_0106LG인버터냉난방기제작-1_통행료면탈방지시스템(최종)" xfId="646"/>
    <cellStyle name="원_0106LG인버터냉난방기제작-1_호남지역본부-" xfId="647"/>
    <cellStyle name="원_0107광전송장비구매설치" xfId="648"/>
    <cellStyle name="원_0107광전송장비구매설치_강원지역본부(2006년_060109)" xfId="649"/>
    <cellStyle name="원_0107광전송장비구매설치_경남지역본부-" xfId="650"/>
    <cellStyle name="원_0107광전송장비구매설치_경북지역본부-" xfId="651"/>
    <cellStyle name="원_0107광전송장비구매설치_중부지역본부-" xfId="652"/>
    <cellStyle name="원_0107광전송장비구매설치_충청지역본부-" xfId="653"/>
    <cellStyle name="원_0107광전송장비구매설치_통행료면탈방지시스템(최종)" xfId="654"/>
    <cellStyle name="원_0107광전송장비구매설치_호남지역본부-" xfId="655"/>
    <cellStyle name="원_0107도공IBS설비SW부문(참조)" xfId="656"/>
    <cellStyle name="원_0107도공IBS설비SW부문(참조)_강원지역본부(2006년_060109)" xfId="657"/>
    <cellStyle name="원_0107도공IBS설비SW부문(참조)_경남지역본부-" xfId="658"/>
    <cellStyle name="원_0107도공IBS설비SW부문(참조)_경북지역본부-" xfId="659"/>
    <cellStyle name="원_0107도공IBS설비SW부문(참조)_중부지역본부-" xfId="660"/>
    <cellStyle name="원_0107도공IBS설비SW부문(참조)_충청지역본부-" xfId="661"/>
    <cellStyle name="원_0107도공IBS설비SW부문(참조)_통행료면탈방지시스템(최종)" xfId="662"/>
    <cellStyle name="원_0107도공IBS설비SW부문(참조)_호남지역본부-" xfId="663"/>
    <cellStyle name="원_0107문화재복원용목재-8월6일" xfId="664"/>
    <cellStyle name="원_0107문화재복원용목재-8월6일_강원지역본부(2006년_060109)" xfId="665"/>
    <cellStyle name="원_0107문화재복원용목재-8월6일_경남지역본부-" xfId="666"/>
    <cellStyle name="원_0107문화재복원용목재-8월6일_경북지역본부-" xfId="667"/>
    <cellStyle name="원_0107문화재복원용목재-8월6일_중부지역본부-" xfId="668"/>
    <cellStyle name="원_0107문화재복원용목재-8월6일_충청지역본부-" xfId="669"/>
    <cellStyle name="원_0107문화재복원용목재-8월6일_통행료면탈방지시스템(최종)" xfId="670"/>
    <cellStyle name="원_0107문화재복원용목재-8월6일_호남지역본부-" xfId="671"/>
    <cellStyle name="원_0107포천영중수배전반(제조,설치)" xfId="672"/>
    <cellStyle name="원_0107포천영중수배전반(제조,설치)_강원지역본부(2006년_060109)" xfId="673"/>
    <cellStyle name="원_0107포천영중수배전반(제조,설치)_경남지역본부-" xfId="674"/>
    <cellStyle name="원_0107포천영중수배전반(제조,설치)_경북지역본부-" xfId="675"/>
    <cellStyle name="원_0107포천영중수배전반(제조,설치)_중부지역본부-" xfId="676"/>
    <cellStyle name="원_0107포천영중수배전반(제조,설치)_충청지역본부-" xfId="677"/>
    <cellStyle name="원_0107포천영중수배전반(제조,설치)_통행료면탈방지시스템(최종)" xfId="678"/>
    <cellStyle name="원_0107포천영중수배전반(제조,설치)_호남지역본부-" xfId="679"/>
    <cellStyle name="원_0108농기반미곡건조기제작설치" xfId="680"/>
    <cellStyle name="원_0108담배인삼공사영업춘추복" xfId="681"/>
    <cellStyle name="원_0108한국전기교통-LED교통신호등((원본))" xfId="682"/>
    <cellStyle name="원_0108한국전기교통-LED교통신호등((원본))_강원지역본부(2006년_060109)" xfId="683"/>
    <cellStyle name="원_0108한국전기교통-LED교통신호등((원본))_경남지역본부-" xfId="684"/>
    <cellStyle name="원_0108한국전기교통-LED교통신호등((원본))_경북지역본부-" xfId="685"/>
    <cellStyle name="원_0108한국전기교통-LED교통신호등((원본))_중부지역본부-" xfId="686"/>
    <cellStyle name="원_0108한국전기교통-LED교통신호등((원본))_충청지역본부-" xfId="687"/>
    <cellStyle name="원_0108한국전기교통-LED교통신호등((원본))_통행료면탈방지시스템(최종)" xfId="688"/>
    <cellStyle name="원_0108한국전기교통-LED교통신호등((원본))_호남지역본부-" xfId="689"/>
    <cellStyle name="원_0111해양수산부등명기제작" xfId="690"/>
    <cellStyle name="원_0111해양수산부등명기제작_강원지역본부(2006년_060109)" xfId="691"/>
    <cellStyle name="원_0111해양수산부등명기제작_경남지역본부-" xfId="692"/>
    <cellStyle name="원_0111해양수산부등명기제작_경북지역본부-" xfId="693"/>
    <cellStyle name="원_0111해양수산부등명기제작_중부지역본부-" xfId="694"/>
    <cellStyle name="원_0111해양수산부등명기제작_충청지역본부-" xfId="695"/>
    <cellStyle name="원_0111해양수산부등명기제작_통행료면탈방지시스템(최종)" xfId="696"/>
    <cellStyle name="원_0111해양수산부등명기제작_호남지역본부-" xfId="697"/>
    <cellStyle name="원_0111핸디소프트-전자표준문서시스템" xfId="698"/>
    <cellStyle name="원_0112금감원사무자동화시스템" xfId="699"/>
    <cellStyle name="원_0112금감원사무자동화시스템_강원지역본부(2006년_060109)" xfId="700"/>
    <cellStyle name="원_0112금감원사무자동화시스템_경남지역본부-" xfId="701"/>
    <cellStyle name="원_0112금감원사무자동화시스템_경북지역본부-" xfId="702"/>
    <cellStyle name="원_0112금감원사무자동화시스템_중부지역본부-" xfId="703"/>
    <cellStyle name="원_0112금감원사무자동화시스템_충청지역본부-" xfId="704"/>
    <cellStyle name="원_0112금감원사무자동화시스템_통행료면탈방지시스템(최종)" xfId="705"/>
    <cellStyle name="원_0112금감원사무자동화시스템_호남지역본부-" xfId="706"/>
    <cellStyle name="원_0112수도권매립지SW원가" xfId="707"/>
    <cellStyle name="원_0112수도권매립지SW원가_강원지역본부(2006년_060109)" xfId="708"/>
    <cellStyle name="원_0112수도권매립지SW원가_경남지역본부-" xfId="709"/>
    <cellStyle name="원_0112수도권매립지SW원가_경북지역본부-" xfId="710"/>
    <cellStyle name="원_0112수도권매립지SW원가_중부지역본부-" xfId="711"/>
    <cellStyle name="원_0112수도권매립지SW원가_충청지역본부-" xfId="712"/>
    <cellStyle name="원_0112수도권매립지SW원가_통행료면탈방지시스템(최종)" xfId="713"/>
    <cellStyle name="원_0112수도권매립지SW원가_호남지역본부-" xfId="714"/>
    <cellStyle name="원_0112중고원-HRD종합정보망구축(完)" xfId="715"/>
    <cellStyle name="원_0201종합예술회관의자제작설치" xfId="716"/>
    <cellStyle name="원_0201종합예술회관의자제작설치-1" xfId="717"/>
    <cellStyle name="원_0202마사회근무복" xfId="718"/>
    <cellStyle name="원_0202마사회근무복_강원지역본부(2006년_060109)" xfId="719"/>
    <cellStyle name="원_0202마사회근무복_경남지역본부-" xfId="720"/>
    <cellStyle name="원_0202마사회근무복_경북지역본부-" xfId="721"/>
    <cellStyle name="원_0202마사회근무복_중부지역본부-" xfId="722"/>
    <cellStyle name="원_0202마사회근무복_충청지역본부-" xfId="723"/>
    <cellStyle name="원_0202마사회근무복_통행료면탈방지시스템(최종)" xfId="724"/>
    <cellStyle name="원_0202마사회근무복_호남지역본부-" xfId="725"/>
    <cellStyle name="원_0202부경교재-승강칠판" xfId="726"/>
    <cellStyle name="원_0202부경교재-승강칠판_강원지역본부(2006년_060109)" xfId="727"/>
    <cellStyle name="원_0202부경교재-승강칠판_경남지역본부-" xfId="728"/>
    <cellStyle name="원_0202부경교재-승강칠판_경북지역본부-" xfId="729"/>
    <cellStyle name="원_0202부경교재-승강칠판_중부지역본부-" xfId="730"/>
    <cellStyle name="원_0202부경교재-승강칠판_충청지역본부-" xfId="731"/>
    <cellStyle name="원_0202부경교재-승강칠판_통행료면탈방지시스템(최종)" xfId="732"/>
    <cellStyle name="원_0202부경교재-승강칠판_호남지역본부-" xfId="733"/>
    <cellStyle name="원_0204한국석묘납골함-1규격" xfId="734"/>
    <cellStyle name="원_0204한국석묘납골함-1규격_강원지역본부(2006년_060109)" xfId="735"/>
    <cellStyle name="원_0204한국석묘납골함-1규격_경남지역본부-" xfId="736"/>
    <cellStyle name="원_0204한국석묘납골함-1규격_경북지역본부-" xfId="737"/>
    <cellStyle name="원_0204한국석묘납골함-1규격_중부지역본부-" xfId="738"/>
    <cellStyle name="원_0204한국석묘납골함-1규격_충청지역본부-" xfId="739"/>
    <cellStyle name="원_0204한국석묘납골함-1규격_통행료면탈방지시스템(최종)" xfId="740"/>
    <cellStyle name="원_0204한국석묘납골함-1규격_호남지역본부-" xfId="741"/>
    <cellStyle name="원_0205TTMS-긴급전화기&amp;전체총괄" xfId="742"/>
    <cellStyle name="원_0206금감원금융정보교환망재구축" xfId="743"/>
    <cellStyle name="원_0206정통부수납장표기기제작설치" xfId="744"/>
    <cellStyle name="원_0207담배인삼공사-담요" xfId="745"/>
    <cellStyle name="원_0208레비텍-다층여과기설계변경" xfId="746"/>
    <cellStyle name="원_0209이산화염소발생기-설치(50K)" xfId="747"/>
    <cellStyle name="원_0210현대정보기술-TD이중계" xfId="748"/>
    <cellStyle name="원_0211조달청-#1대북지원사업정산(1월7일)" xfId="749"/>
    <cellStyle name="원_0212금감원-법규정보시스템(完)" xfId="750"/>
    <cellStyle name="원_0301교통방송-CCTV유지보수" xfId="751"/>
    <cellStyle name="원_0302인천경찰청-무인단속기위탁관리" xfId="752"/>
    <cellStyle name="원_0302조달청-대북지원2차(안성연)" xfId="753"/>
    <cellStyle name="원_0302조달청-대북지원2차(최수현)" xfId="754"/>
    <cellStyle name="원_0302표준문서-쌍용정보통신(신)" xfId="755"/>
    <cellStyle name="원_0304소프트파워-정부표준전자문서시스템" xfId="756"/>
    <cellStyle name="원_0304소프트파워-정부표준전자문서시스템(完)" xfId="757"/>
    <cellStyle name="원_0304철도청-주변환장치-1" xfId="758"/>
    <cellStyle name="원_0305금감원-금융통계정보시스템구축(完)" xfId="759"/>
    <cellStyle name="원_0305제낭조합-면범포지" xfId="760"/>
    <cellStyle name="원_0306제낭공업협동조합-면범포지원단(경비까지)" xfId="761"/>
    <cellStyle name="원_0307경찰청-무인교통단속표준SW개발용역(完)" xfId="762"/>
    <cellStyle name="원_0308조달청-#8대북지원사업정산" xfId="763"/>
    <cellStyle name="원_0309두합크린텍-설치원가" xfId="764"/>
    <cellStyle name="원_0309조달청-#9대북지원사업정산" xfId="765"/>
    <cellStyle name="원_0310여주상수도-탈수기(유천ENG)" xfId="766"/>
    <cellStyle name="원_0311대기해양작업시간" xfId="767"/>
    <cellStyle name="원_0311대기해양중형등명기" xfId="768"/>
    <cellStyle name="원_0312국민체육진흥공단-전기부문" xfId="769"/>
    <cellStyle name="원_0312대기해양-중형등명기제작설치" xfId="770"/>
    <cellStyle name="원_0312라이준-칼라아스콘4규격" xfId="771"/>
    <cellStyle name="원_0401집진기프로그램SW개발비산정" xfId="772"/>
    <cellStyle name="원_13. 관리동" xfId="773"/>
    <cellStyle name="원_2001-06조달청신성-한냉지형" xfId="774"/>
    <cellStyle name="원_2002-03경찰대학-졸업식" xfId="775"/>
    <cellStyle name="원_2002-03경찰청-경찰표지장" xfId="776"/>
    <cellStyle name="원_2002-03반디-가로등(열주형)" xfId="777"/>
    <cellStyle name="원_2002-03신화전자-감지기" xfId="778"/>
    <cellStyle name="원_2002-04강원랜드-슬러트머신" xfId="779"/>
    <cellStyle name="원_2002-04메가컴-외주무대" xfId="780"/>
    <cellStyle name="원_2002-04엘지애드-무대" xfId="781"/>
    <cellStyle name="원_2002-05강원랜드-슬러트머신(넥스터)" xfId="782"/>
    <cellStyle name="원_2002-05경기경찰청-냉온수기공사" xfId="783"/>
    <cellStyle name="원_2002-05대통령비서실-카페트" xfId="784"/>
    <cellStyle name="원_2002결과표" xfId="785"/>
    <cellStyle name="원_2002결과표_강원지역본부(2006년_060109)" xfId="786"/>
    <cellStyle name="원_2002결과표_경남지역본부-" xfId="787"/>
    <cellStyle name="원_2002결과표_경북지역본부-" xfId="788"/>
    <cellStyle name="원_2002결과표_중부지역본부-" xfId="789"/>
    <cellStyle name="원_2002결과표_충청지역본부-" xfId="790"/>
    <cellStyle name="원_2002결과표_통행료면탈방지시스템(최종)" xfId="791"/>
    <cellStyle name="원_2002결과표_호남지역본부-" xfId="792"/>
    <cellStyle name="원_2002결과표1" xfId="793"/>
    <cellStyle name="원_2003-01정일사-표창5종" xfId="794"/>
    <cellStyle name="원_간지,목차,페이지,표지" xfId="795"/>
    <cellStyle name="원_강원지역본부(2006년_060109)" xfId="796"/>
    <cellStyle name="원_경남지역본부-" xfId="797"/>
    <cellStyle name="원_경북지역본부-" xfId="798"/>
    <cellStyle name="원_경찰청-근무,기동복" xfId="799"/>
    <cellStyle name="원_공사일반관리비양식" xfId="800"/>
    <cellStyle name="원_관리동sw" xfId="801"/>
    <cellStyle name="원_기초공사" xfId="802"/>
    <cellStyle name="원_네인텍정보기술-회로카드(수현)" xfId="803"/>
    <cellStyle name="원_대기해양노무비" xfId="804"/>
    <cellStyle name="원_대북자재8월분" xfId="805"/>
    <cellStyle name="원_대북자재8월분-1" xfId="806"/>
    <cellStyle name="원_동산용사촌수현(원본)" xfId="807"/>
    <cellStyle name="원_동산용사촌수현(원본)_강원지역본부(2006년_060109)" xfId="808"/>
    <cellStyle name="원_동산용사촌수현(원본)_경남지역본부-" xfId="809"/>
    <cellStyle name="원_동산용사촌수현(원본)_경북지역본부-" xfId="810"/>
    <cellStyle name="원_동산용사촌수현(원본)_중부지역본부-" xfId="811"/>
    <cellStyle name="원_동산용사촌수현(원본)_충청지역본부-" xfId="812"/>
    <cellStyle name="원_동산용사촌수현(원본)_통행료면탈방지시스템(최종)" xfId="813"/>
    <cellStyle name="원_동산용사촌수현(원본)_호남지역본부-" xfId="814"/>
    <cellStyle name="원_목차" xfId="815"/>
    <cellStyle name="원_백제군사전시1" xfId="816"/>
    <cellStyle name="원_수초제거기(대양기계)" xfId="817"/>
    <cellStyle name="원_수초제거기(대양기계)_강원지역본부(2006년_060109)" xfId="818"/>
    <cellStyle name="원_수초제거기(대양기계)_경남지역본부-" xfId="819"/>
    <cellStyle name="원_수초제거기(대양기계)_경북지역본부-" xfId="820"/>
    <cellStyle name="원_수초제거기(대양기계)_중부지역본부-" xfId="821"/>
    <cellStyle name="원_수초제거기(대양기계)_충청지역본부-" xfId="822"/>
    <cellStyle name="원_수초제거기(대양기계)_통행료면탈방지시스템(최종)" xfId="823"/>
    <cellStyle name="원_수초제거기(대양기계)_호남지역본부-" xfId="824"/>
    <cellStyle name="원_시설용역" xfId="825"/>
    <cellStyle name="원_암전정밀실체현미경(수현)" xfId="826"/>
    <cellStyle name="원_오리엔탈" xfId="827"/>
    <cellStyle name="원_원본 - 한국전기교통-개선형신호등 4종" xfId="828"/>
    <cellStyle name="원_원본 - 한국전기교통-개선형신호등 4종_강원지역본부(2006년_060109)" xfId="829"/>
    <cellStyle name="원_원본 - 한국전기교통-개선형신호등 4종_경남지역본부-" xfId="830"/>
    <cellStyle name="원_원본 - 한국전기교통-개선형신호등 4종_경북지역본부-" xfId="831"/>
    <cellStyle name="원_원본 - 한국전기교통-개선형신호등 4종_중부지역본부-" xfId="832"/>
    <cellStyle name="원_원본 - 한국전기교통-개선형신호등 4종_충청지역본부-" xfId="833"/>
    <cellStyle name="원_원본 - 한국전기교통-개선형신호등 4종_통행료면탈방지시스템(최종)" xfId="834"/>
    <cellStyle name="원_원본 - 한국전기교통-개선형신호등 4종_호남지역본부-" xfId="835"/>
    <cellStyle name="원_제경비율모음" xfId="836"/>
    <cellStyle name="원_제조원가" xfId="837"/>
    <cellStyle name="원_조달청-대북지원3차(최수현)" xfId="838"/>
    <cellStyle name="원_조달청-대북지원4차(최수현)" xfId="839"/>
    <cellStyle name="원_조달청-대북지원5차(최수현)" xfId="840"/>
    <cellStyle name="원_조달청-대북지원6차(번호)" xfId="841"/>
    <cellStyle name="원_조달청-대북지원6차(최수현)" xfId="842"/>
    <cellStyle name="원_조달청-대북지원7차(최수현)" xfId="843"/>
    <cellStyle name="원_조달청-대북지원8차(최수현)" xfId="844"/>
    <cellStyle name="원_조달청-대북지원9차(최수현)" xfId="845"/>
    <cellStyle name="원_조달청-B판사천강교제작(최종본)" xfId="846"/>
    <cellStyle name="원_중부지역본부-" xfId="847"/>
    <cellStyle name="원_중앙선관위(투표,개표)" xfId="848"/>
    <cellStyle name="원_중앙선관위(투표,개표)_강원지역본부(2006년_060109)" xfId="849"/>
    <cellStyle name="원_중앙선관위(투표,개표)_경남지역본부-" xfId="850"/>
    <cellStyle name="원_중앙선관위(투표,개표)_경북지역본부-" xfId="851"/>
    <cellStyle name="원_중앙선관위(투표,개표)_중부지역본부-" xfId="852"/>
    <cellStyle name="원_중앙선관위(투표,개표)_충청지역본부-" xfId="853"/>
    <cellStyle name="원_중앙선관위(투표,개표)_통행료면탈방지시스템(최종)" xfId="854"/>
    <cellStyle name="원_중앙선관위(투표,개표)_호남지역본부-" xfId="855"/>
    <cellStyle name="원_중앙선관위(투표,개표)-사본" xfId="856"/>
    <cellStyle name="원_철공가공조립" xfId="857"/>
    <cellStyle name="원_최종-한국전기교통-개선형신호등 4종(공수조정)" xfId="858"/>
    <cellStyle name="원_최종-한국전기교통-개선형신호등 4종(공수조정)_강원지역본부(2006년_060109)" xfId="859"/>
    <cellStyle name="원_최종-한국전기교통-개선형신호등 4종(공수조정)_경남지역본부-" xfId="860"/>
    <cellStyle name="원_최종-한국전기교통-개선형신호등 4종(공수조정)_경북지역본부-" xfId="861"/>
    <cellStyle name="원_최종-한국전기교통-개선형신호등 4종(공수조정)_중부지역본부-" xfId="862"/>
    <cellStyle name="원_최종-한국전기교통-개선형신호등 4종(공수조정)_충청지역본부-" xfId="863"/>
    <cellStyle name="원_최종-한국전기교통-개선형신호등 4종(공수조정)_통행료면탈방지시스템(최종)" xfId="864"/>
    <cellStyle name="원_최종-한국전기교통-개선형신호등 4종(공수조정)_호남지역본부-" xfId="865"/>
    <cellStyle name="원_충청지역본부-" xfId="866"/>
    <cellStyle name="원_코솔라-제조원가" xfId="867"/>
    <cellStyle name="원_토지공사-간접비" xfId="868"/>
    <cellStyle name="원_통행료면탈방지시스템(최종)" xfId="869"/>
    <cellStyle name="원_한국도로공사" xfId="870"/>
    <cellStyle name="원_한전내역서-최종" xfId="871"/>
    <cellStyle name="원_호남지역본부-" xfId="872"/>
    <cellStyle name="원_Pilot플랜트-계변경" xfId="873"/>
    <cellStyle name="원_Pilot플랜트이전설치-변경최종" xfId="874"/>
    <cellStyle name="원_SW(케이비)" xfId="875"/>
    <cellStyle name="유영" xfId="876"/>
    <cellStyle name="일위대가" xfId="877"/>
    <cellStyle name="입력" xfId="878"/>
    <cellStyle name="자리수" xfId="879"/>
    <cellStyle name="자리수0" xfId="880"/>
    <cellStyle name="점선" xfId="881"/>
    <cellStyle name="제목" xfId="882"/>
    <cellStyle name="제목 1" xfId="883"/>
    <cellStyle name="제목 2" xfId="884"/>
    <cellStyle name="제목 3" xfId="885"/>
    <cellStyle name="제목 4" xfId="886"/>
    <cellStyle name="제목[1 줄]" xfId="887"/>
    <cellStyle name="제목[2줄 아래]" xfId="888"/>
    <cellStyle name="제목[2줄 위]" xfId="889"/>
    <cellStyle name="제목1" xfId="890"/>
    <cellStyle name="좋음" xfId="891"/>
    <cellStyle name="지정되지 않음" xfId="892"/>
    <cellStyle name="출력" xfId="893"/>
    <cellStyle name="콤마 [#]" xfId="894"/>
    <cellStyle name="콤마 []" xfId="895"/>
    <cellStyle name="콤마 [0]" xfId="896"/>
    <cellStyle name="콤마 [0]_경비" xfId="897"/>
    <cellStyle name="콤마 [0]_국영테크" xfId="898"/>
    <cellStyle name="콤마 [0]_모형제조" xfId="899"/>
    <cellStyle name="콤마 [0]기기자재비" xfId="900"/>
    <cellStyle name="콤마 [2]" xfId="901"/>
    <cellStyle name="콤마 [금액]" xfId="902"/>
    <cellStyle name="콤마 [소수]" xfId="903"/>
    <cellStyle name="콤마 [수량]" xfId="904"/>
    <cellStyle name="콤마[ ]" xfId="905"/>
    <cellStyle name="콤마[*]" xfId="906"/>
    <cellStyle name="콤마[.]" xfId="907"/>
    <cellStyle name="콤마[0]" xfId="908"/>
    <cellStyle name="콤마_  종  합  " xfId="909"/>
    <cellStyle name="Currency" xfId="910"/>
    <cellStyle name="Currency [0]" xfId="911"/>
    <cellStyle name="퍼센트" xfId="912"/>
    <cellStyle name="표준_1(1).청사경비용역" xfId="913"/>
    <cellStyle name="표준_1. 경기지역본부" xfId="914"/>
    <cellStyle name="표준_2. 냉온수" xfId="915"/>
    <cellStyle name="표준_2.지도사인" xfId="916"/>
    <cellStyle name="표준_가변형_신성금고제작" xfId="917"/>
    <cellStyle name="표준_국영공사" xfId="918"/>
    <cellStyle name="표준_단말기" xfId="919"/>
    <cellStyle name="표준_마권용지" xfId="920"/>
    <cellStyle name="표준_모형제조" xfId="921"/>
    <cellStyle name="표준_모형제조_2-사인공사조정" xfId="922"/>
    <cellStyle name="표준_배부율" xfId="923"/>
    <cellStyle name="표준_비닐백" xfId="924"/>
    <cellStyle name="표준_원가" xfId="925"/>
    <cellStyle name="표준_일반관리비" xfId="926"/>
    <cellStyle name="標準_Akia(F）-8" xfId="927"/>
    <cellStyle name="표준1" xfId="928"/>
    <cellStyle name="표준날짜" xfId="929"/>
    <cellStyle name="표준숫자" xfId="930"/>
    <cellStyle name="Hyperlink" xfId="931"/>
    <cellStyle name="합산" xfId="932"/>
    <cellStyle name="화폐기호" xfId="933"/>
    <cellStyle name="화폐기호0" xfId="934"/>
    <cellStyle name="aa" xfId="935"/>
    <cellStyle name="Actual Date" xfId="936"/>
    <cellStyle name="Åë" xfId="937"/>
    <cellStyle name="Aee­ " xfId="938"/>
    <cellStyle name="Åëè­ [" xfId="939"/>
    <cellStyle name="ÅëÈ­ [0]_¸ðÇü¸·" xfId="940"/>
    <cellStyle name="AeE­ [0]_±a¼uAe½A " xfId="941"/>
    <cellStyle name="ÅëÈ­ [0]_laroux" xfId="942"/>
    <cellStyle name="Aee­ _06년)하이패스_점검내역" xfId="943"/>
    <cellStyle name="ÅëÈ­_¸ðÇü¸·" xfId="944"/>
    <cellStyle name="AeE­_±a¼uAe½A " xfId="945"/>
    <cellStyle name="ÅëÈ­_laroux" xfId="946"/>
    <cellStyle name="Æu¼¾æR" xfId="947"/>
    <cellStyle name="ALIGNMENT" xfId="948"/>
    <cellStyle name="Äþ" xfId="949"/>
    <cellStyle name="Äþ¸¶ [" xfId="950"/>
    <cellStyle name="ÄÞ¸¶ [0]_¸ðÇü¸·" xfId="951"/>
    <cellStyle name="AÞ¸¶ [0]_±a¼uAe½A " xfId="952"/>
    <cellStyle name="ÄÞ¸¶ [0]_laroux" xfId="953"/>
    <cellStyle name="ÄÞ¸¶_¸ðÇü¸·" xfId="954"/>
    <cellStyle name="AÞ¸¶_±a¼uAe½A " xfId="955"/>
    <cellStyle name="ÄÞ¸¶_laroux" xfId="956"/>
    <cellStyle name="Au¸R¼o" xfId="957"/>
    <cellStyle name="Au¸R¼o0" xfId="958"/>
    <cellStyle name="b?þ?b?þ?b?þ?b?þ?b?þ?b?þ?b?þ?b?þ?b?þ?b?þ?b灌þ?b?þ?&lt;?b?þ?b濬þ?b?þ?b?þ昰_x0018_?þ????_x0008_" xfId="959"/>
    <cellStyle name="b?þ?b?þ?b?þ?b灌þ?b?þ?&lt;?b?þ?b濬þ?b?þ?b?þ昰_x0018_?þ????_x0008_" xfId="960"/>
    <cellStyle name="b␌þකb濰þඪb瀠þයb灌þ්b炈þ宐&lt;෢b濈þෲb濬þขb瀐þฒb瀰þ昰_x0018_⋸þ㤕䰀ጤܕ_x0008_" xfId="961"/>
    <cellStyle name="b嬜þപb嬼þഺb孬þൊb⍜þ൚b⍼þ൪b⎨þൺb⏜þඊb␌þකb濰þඪb瀠þයb灌þ්b炈þ宐&lt;෢b濈þෲb濬þขb瀐þฒb瀰þ昰_x0018_⋸þ㤕䰀ጤܕ_x0008_" xfId="962"/>
    <cellStyle name="body" xfId="963"/>
    <cellStyle name="C¡IA¨ª_Sheet1 (2)" xfId="964"/>
    <cellStyle name="Ç¥" xfId="965"/>
    <cellStyle name="C￥AØ_  FAB AIA¤  " xfId="966"/>
    <cellStyle name="Ç¥ÁØ_¸ðÇü¸·" xfId="967"/>
    <cellStyle name="C￥AØ_¿μ¾÷CoE² " xfId="968"/>
    <cellStyle name="Ç¥ÁØ_°­´ç (2)" xfId="969"/>
    <cellStyle name="C￥AØ_°A·¡≫oE²" xfId="970"/>
    <cellStyle name="Calc Currency (0)" xfId="971"/>
    <cellStyle name="category" xfId="972"/>
    <cellStyle name="CIAIÆU¸μAⓒ" xfId="973"/>
    <cellStyle name="Co≫e" xfId="974"/>
    <cellStyle name="Comma" xfId="975"/>
    <cellStyle name="Comma [0]" xfId="976"/>
    <cellStyle name="comma zerodec" xfId="977"/>
    <cellStyle name="Comma_ SG&amp;A Bridge " xfId="978"/>
    <cellStyle name="Comma0" xfId="979"/>
    <cellStyle name="Copied" xfId="980"/>
    <cellStyle name="Curren?_x0012_퐀_x0017_?" xfId="981"/>
    <cellStyle name="Currency" xfId="982"/>
    <cellStyle name="Currency [0]" xfId="983"/>
    <cellStyle name="Currency_ SG&amp;A Bridge " xfId="984"/>
    <cellStyle name="Currency0" xfId="985"/>
    <cellStyle name="Currency1" xfId="986"/>
    <cellStyle name="Date" xfId="987"/>
    <cellStyle name="Dezimal [0]_Ausdruck RUND (D)" xfId="988"/>
    <cellStyle name="Dezimal_Ausdruck RUND (D)" xfId="989"/>
    <cellStyle name="Dollar (zero dec)" xfId="990"/>
    <cellStyle name="E­æo±ae￡" xfId="991"/>
    <cellStyle name="E­æo±ae￡0" xfId="992"/>
    <cellStyle name="Entered" xfId="993"/>
    <cellStyle name="Euro" xfId="994"/>
    <cellStyle name="F2" xfId="995"/>
    <cellStyle name="F3" xfId="996"/>
    <cellStyle name="F4" xfId="997"/>
    <cellStyle name="F5" xfId="998"/>
    <cellStyle name="F6" xfId="999"/>
    <cellStyle name="F7" xfId="1000"/>
    <cellStyle name="F8" xfId="1001"/>
    <cellStyle name="Fixed" xfId="1002"/>
    <cellStyle name="G/표준" xfId="1003"/>
    <cellStyle name="Grey" xfId="1004"/>
    <cellStyle name="head" xfId="1005"/>
    <cellStyle name="head 1" xfId="1006"/>
    <cellStyle name="head 1-1" xfId="1007"/>
    <cellStyle name="HEADER" xfId="1008"/>
    <cellStyle name="Header1" xfId="1009"/>
    <cellStyle name="Header2" xfId="1010"/>
    <cellStyle name="Heading 1" xfId="1011"/>
    <cellStyle name="Heading 2" xfId="1012"/>
    <cellStyle name="Heading1" xfId="1013"/>
    <cellStyle name="Heading2" xfId="1014"/>
    <cellStyle name="Helv8_PFD4.XLS" xfId="1015"/>
    <cellStyle name="HIGHLIGHT" xfId="1016"/>
    <cellStyle name="Hyperlink_NEGS" xfId="1017"/>
    <cellStyle name="Input [yellow]" xfId="1018"/>
    <cellStyle name="Milliers [0]_Arabian Spec" xfId="1019"/>
    <cellStyle name="Milliers_Arabian Spec" xfId="1020"/>
    <cellStyle name="Model" xfId="1021"/>
    <cellStyle name="Mon?aire [0]_Arabian Spec" xfId="1022"/>
    <cellStyle name="Mon?aire_Arabian Spec" xfId="1023"/>
    <cellStyle name="no dec" xfId="1024"/>
    <cellStyle name="Normal - 유형1" xfId="1025"/>
    <cellStyle name="Normal - Style1" xfId="1026"/>
    <cellStyle name="Normal - Style2" xfId="1027"/>
    <cellStyle name="Normal - Style3" xfId="1028"/>
    <cellStyle name="Normal - Style4" xfId="1029"/>
    <cellStyle name="Normal - Style5" xfId="1030"/>
    <cellStyle name="Normal - Style6" xfId="1031"/>
    <cellStyle name="Normal - Style7" xfId="1032"/>
    <cellStyle name="Normal - Style8" xfId="1033"/>
    <cellStyle name="Normal_ SG&amp;A Bridge" xfId="1034"/>
    <cellStyle name="Œ…?æ맖?e [0.00]_laroux" xfId="1035"/>
    <cellStyle name="Œ…?æ맖?e_laroux" xfId="1036"/>
    <cellStyle name="oft Excel]&#13;&#10;Comment=The open=/f lines load custom functions into the Paste Function list.&#13;&#10;Maximized=3&#13;&#10;AutoFormat=" xfId="1037"/>
    <cellStyle name="Percent" xfId="1038"/>
    <cellStyle name="Percent [2]" xfId="1039"/>
    <cellStyle name="Percent_06년)하이패스_점검내역" xfId="1040"/>
    <cellStyle name="RevList" xfId="1041"/>
    <cellStyle name="STANDARD" xfId="1042"/>
    <cellStyle name="STD" xfId="1043"/>
    <cellStyle name="subhead" xfId="1044"/>
    <cellStyle name="Subtotal" xfId="1045"/>
    <cellStyle name="þ?b?þ?b?þ?b?þ?b?þ?b?þ?b?þ?b灌þ?b?þ?&lt;?b?þ?b濬þ?b?þ?b?þ昰_x0018_?þ????_x0008_" xfId="1046"/>
    <cellStyle name="þ൚b⍼þ൪b⎨þൺb⏜þඊb␌þකb濰þඪb瀠þයb灌þ්b炈þ宐&lt;෢b濈þෲb濬þขb瀐þฒb瀰þ昰_x0018_⋸þ㤕䰀ጤܕ_x0008_" xfId="1047"/>
    <cellStyle name="Title" xfId="1048"/>
    <cellStyle name="title [1]" xfId="1049"/>
    <cellStyle name="title [2]" xfId="1050"/>
    <cellStyle name="Total" xfId="1051"/>
    <cellStyle name="UM" xfId="1052"/>
    <cellStyle name="Unprot" xfId="1053"/>
    <cellStyle name="Unprot$" xfId="1054"/>
    <cellStyle name="Unprotect" xfId="1055"/>
    <cellStyle name="W?rung [0]_Ausdruck RUND (D)" xfId="1056"/>
    <cellStyle name="W?rung_Ausdruck RUND (D)" xfId="1057"/>
    <cellStyle name="μU¿¡ ¿A´A CIAIÆU¸μAⓒ" xfId="10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5</xdr:col>
      <xdr:colOff>114300</xdr:colOff>
      <xdr:row>5</xdr:row>
      <xdr:rowOff>266700</xdr:rowOff>
    </xdr:to>
    <xdr:sp>
      <xdr:nvSpPr>
        <xdr:cNvPr id="1" name="Line 5"/>
        <xdr:cNvSpPr>
          <a:spLocks/>
        </xdr:cNvSpPr>
      </xdr:nvSpPr>
      <xdr:spPr>
        <a:xfrm flipH="1" flipV="1">
          <a:off x="0" y="1257300"/>
          <a:ext cx="2486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6</xdr:col>
      <xdr:colOff>9525</xdr:colOff>
      <xdr:row>39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9677400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6</xdr:col>
      <xdr:colOff>9525</xdr:colOff>
      <xdr:row>72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18107025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6</xdr:col>
      <xdr:colOff>9525</xdr:colOff>
      <xdr:row>105</xdr:row>
      <xdr:rowOff>0</xdr:rowOff>
    </xdr:to>
    <xdr:sp>
      <xdr:nvSpPr>
        <xdr:cNvPr id="3" name="Line 9"/>
        <xdr:cNvSpPr>
          <a:spLocks/>
        </xdr:cNvSpPr>
      </xdr:nvSpPr>
      <xdr:spPr>
        <a:xfrm>
          <a:off x="0" y="26536650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9525</xdr:colOff>
      <xdr:row>138</xdr:row>
      <xdr:rowOff>0</xdr:rowOff>
    </xdr:to>
    <xdr:sp>
      <xdr:nvSpPr>
        <xdr:cNvPr id="4" name="Line 10"/>
        <xdr:cNvSpPr>
          <a:spLocks/>
        </xdr:cNvSpPr>
      </xdr:nvSpPr>
      <xdr:spPr>
        <a:xfrm>
          <a:off x="0" y="34966275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6</xdr:col>
      <xdr:colOff>9525</xdr:colOff>
      <xdr:row>171</xdr:row>
      <xdr:rowOff>0</xdr:rowOff>
    </xdr:to>
    <xdr:sp>
      <xdr:nvSpPr>
        <xdr:cNvPr id="5" name="Line 11"/>
        <xdr:cNvSpPr>
          <a:spLocks/>
        </xdr:cNvSpPr>
      </xdr:nvSpPr>
      <xdr:spPr>
        <a:xfrm>
          <a:off x="0" y="43395900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6</xdr:col>
      <xdr:colOff>9525</xdr:colOff>
      <xdr:row>204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1825525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6</xdr:col>
      <xdr:colOff>9525</xdr:colOff>
      <xdr:row>237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60255150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6</xdr:col>
      <xdr:colOff>9525</xdr:colOff>
      <xdr:row>270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68684775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>
      <xdr:nvSpPr>
        <xdr:cNvPr id="9" name="Line 22"/>
        <xdr:cNvSpPr>
          <a:spLocks/>
        </xdr:cNvSpPr>
      </xdr:nvSpPr>
      <xdr:spPr>
        <a:xfrm>
          <a:off x="0" y="1247775"/>
          <a:ext cx="242887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3" name="Line 3"/>
        <xdr:cNvSpPr>
          <a:spLocks/>
        </xdr:cNvSpPr>
      </xdr:nvSpPr>
      <xdr:spPr>
        <a:xfrm>
          <a:off x="1400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123825</xdr:rowOff>
    </xdr:from>
    <xdr:to>
      <xdr:col>4</xdr:col>
      <xdr:colOff>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323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247650</xdr:rowOff>
    </xdr:from>
    <xdr:to>
      <xdr:col>4</xdr:col>
      <xdr:colOff>0</xdr:colOff>
      <xdr:row>3</xdr:row>
      <xdr:rowOff>247650</xdr:rowOff>
    </xdr:to>
    <xdr:sp>
      <xdr:nvSpPr>
        <xdr:cNvPr id="3" name="Line 3"/>
        <xdr:cNvSpPr>
          <a:spLocks/>
        </xdr:cNvSpPr>
      </xdr:nvSpPr>
      <xdr:spPr>
        <a:xfrm>
          <a:off x="1809750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tabSelected="1" view="pageBreakPreview" zoomScaleSheetLayoutView="100" zoomScalePageLayoutView="0" workbookViewId="0" topLeftCell="A1">
      <selection activeCell="P12" sqref="P12"/>
    </sheetView>
  </sheetViews>
  <sheetFormatPr defaultColWidth="9.140625" defaultRowHeight="12"/>
  <cols>
    <col min="1" max="1" width="5.7109375" style="280" customWidth="1"/>
    <col min="2" max="2" width="1.7109375" style="280" customWidth="1"/>
    <col min="3" max="3" width="12.7109375" style="281" customWidth="1"/>
    <col min="4" max="5" width="1.7109375" style="281" customWidth="1"/>
    <col min="6" max="6" width="14.7109375" style="281" customWidth="1"/>
    <col min="7" max="7" width="1.7109375" style="281" customWidth="1"/>
    <col min="8" max="8" width="5.7109375" style="280" customWidth="1"/>
    <col min="9" max="9" width="1.1484375" style="281" customWidth="1"/>
    <col min="10" max="10" width="12.7109375" style="281" customWidth="1"/>
    <col min="11" max="11" width="12.7109375" style="291" customWidth="1"/>
    <col min="12" max="12" width="6.7109375" style="291" customWidth="1"/>
    <col min="13" max="13" width="1.7109375" style="282" customWidth="1"/>
    <col min="14" max="14" width="15.7109375" style="282" customWidth="1"/>
    <col min="15" max="15" width="17.8515625" style="280" bestFit="1" customWidth="1"/>
    <col min="16" max="16" width="16.57421875" style="280" customWidth="1"/>
    <col min="17" max="16384" width="9.140625" style="280" customWidth="1"/>
  </cols>
  <sheetData>
    <row r="1" ht="19.5" customHeight="1">
      <c r="A1" s="223" t="s">
        <v>350</v>
      </c>
    </row>
    <row r="2" spans="1:14" ht="39.75" customHeight="1">
      <c r="A2" s="165" t="s">
        <v>389</v>
      </c>
      <c r="B2" s="165"/>
      <c r="C2" s="166"/>
      <c r="D2" s="166"/>
      <c r="E2" s="166"/>
      <c r="F2" s="166"/>
      <c r="G2" s="166"/>
      <c r="H2" s="165"/>
      <c r="I2" s="166"/>
      <c r="J2" s="166"/>
      <c r="K2" s="166"/>
      <c r="L2" s="166"/>
      <c r="M2" s="165"/>
      <c r="N2" s="165"/>
    </row>
    <row r="3" spans="1:14" ht="19.5" customHeight="1">
      <c r="A3" s="168"/>
      <c r="B3" s="168"/>
      <c r="C3" s="283"/>
      <c r="D3" s="283"/>
      <c r="E3" s="283"/>
      <c r="F3" s="283"/>
      <c r="G3" s="283"/>
      <c r="H3" s="168"/>
      <c r="I3" s="283"/>
      <c r="J3" s="283"/>
      <c r="K3" s="283"/>
      <c r="L3" s="283"/>
      <c r="M3" s="168"/>
      <c r="N3" s="168"/>
    </row>
    <row r="4" spans="1:14" ht="19.5" customHeight="1">
      <c r="A4" s="597" t="s">
        <v>573</v>
      </c>
      <c r="N4" s="306" t="s">
        <v>214</v>
      </c>
    </row>
    <row r="5" spans="1:14" ht="39.75" customHeight="1">
      <c r="A5" s="407" t="s">
        <v>319</v>
      </c>
      <c r="B5" s="284" t="s">
        <v>321</v>
      </c>
      <c r="C5" s="284"/>
      <c r="D5" s="284"/>
      <c r="E5" s="285"/>
      <c r="F5" s="408" t="s">
        <v>320</v>
      </c>
      <c r="G5" s="286"/>
      <c r="H5" s="299" t="s">
        <v>213</v>
      </c>
      <c r="I5" s="296"/>
      <c r="J5" s="297" t="s">
        <v>8</v>
      </c>
      <c r="K5" s="298" t="s">
        <v>9</v>
      </c>
      <c r="L5" s="302" t="s">
        <v>10</v>
      </c>
      <c r="M5" s="296"/>
      <c r="N5" s="298" t="s">
        <v>11</v>
      </c>
    </row>
    <row r="6" spans="1:14" ht="24.75" customHeight="1">
      <c r="A6" s="588"/>
      <c r="B6" s="589"/>
      <c r="C6" s="590"/>
      <c r="D6" s="590"/>
      <c r="E6" s="591"/>
      <c r="F6" s="590"/>
      <c r="G6" s="286"/>
      <c r="H6" s="299" t="s">
        <v>12</v>
      </c>
      <c r="I6" s="296"/>
      <c r="J6" s="296" t="s">
        <v>13</v>
      </c>
      <c r="K6" s="296" t="s">
        <v>14</v>
      </c>
      <c r="L6" s="299" t="s">
        <v>15</v>
      </c>
      <c r="M6" s="296"/>
      <c r="N6" s="296" t="s">
        <v>16</v>
      </c>
    </row>
    <row r="7" spans="1:14" s="281" customFormat="1" ht="30" customHeight="1">
      <c r="A7" s="684" t="s">
        <v>348</v>
      </c>
      <c r="B7" s="409"/>
      <c r="C7" s="410" t="str">
        <f>인집!B7</f>
        <v>전기반장</v>
      </c>
      <c r="D7" s="410"/>
      <c r="E7" s="411"/>
      <c r="F7" s="515" t="str">
        <f>인집!E7</f>
        <v>전기기능사</v>
      </c>
      <c r="G7" s="412"/>
      <c r="H7" s="416">
        <f>투입인원!G5</f>
        <v>1</v>
      </c>
      <c r="I7" s="414"/>
      <c r="J7" s="415">
        <f>원가!G33</f>
        <v>3006384</v>
      </c>
      <c r="K7" s="415">
        <f>TRUNC(J7*H7,0)</f>
        <v>3006384</v>
      </c>
      <c r="L7" s="667">
        <v>12</v>
      </c>
      <c r="M7" s="668"/>
      <c r="N7" s="415">
        <f>TRUNC(K7*L7,0)</f>
        <v>36076608</v>
      </c>
    </row>
    <row r="8" spans="1:14" s="281" customFormat="1" ht="30" customHeight="1">
      <c r="A8" s="685"/>
      <c r="C8" s="27" t="str">
        <f>인집!B8</f>
        <v>전기기사</v>
      </c>
      <c r="D8" s="27"/>
      <c r="E8" s="404"/>
      <c r="F8" s="516" t="str">
        <f>인집!E8</f>
        <v>전기정비공</v>
      </c>
      <c r="G8" s="287"/>
      <c r="H8" s="303">
        <f>투입인원!G6</f>
        <v>1</v>
      </c>
      <c r="I8" s="292"/>
      <c r="J8" s="97">
        <f>원가!G66</f>
        <v>2881613</v>
      </c>
      <c r="K8" s="97">
        <f>TRUNC(J8*H8,0)</f>
        <v>2881613</v>
      </c>
      <c r="L8" s="669">
        <v>12</v>
      </c>
      <c r="M8" s="670"/>
      <c r="N8" s="97">
        <f>TRUNC(K8*L8,0)</f>
        <v>34579356</v>
      </c>
    </row>
    <row r="9" spans="1:14" ht="30" customHeight="1">
      <c r="A9" s="685"/>
      <c r="B9" s="281"/>
      <c r="C9" s="27" t="str">
        <f>인집!B9</f>
        <v>기계반장</v>
      </c>
      <c r="D9" s="27"/>
      <c r="E9" s="404"/>
      <c r="F9" s="516" t="str">
        <f>인집!E9</f>
        <v>보일러공</v>
      </c>
      <c r="G9" s="287"/>
      <c r="H9" s="303">
        <f>투입인원!G7</f>
        <v>1</v>
      </c>
      <c r="I9" s="292"/>
      <c r="J9" s="97">
        <f>원가!G99</f>
        <v>2864838</v>
      </c>
      <c r="K9" s="97">
        <f>TRUNC(J9*H9,0)</f>
        <v>2864838</v>
      </c>
      <c r="L9" s="303">
        <v>12</v>
      </c>
      <c r="M9" s="292"/>
      <c r="N9" s="97">
        <f>TRUNC(K9*L9,0)</f>
        <v>34378056</v>
      </c>
    </row>
    <row r="10" spans="1:15" ht="30" customHeight="1">
      <c r="A10" s="686"/>
      <c r="B10" s="406"/>
      <c r="C10" s="279" t="str">
        <f>인집!B10</f>
        <v>기계기사</v>
      </c>
      <c r="D10" s="279"/>
      <c r="E10" s="405"/>
      <c r="F10" s="517" t="str">
        <f>인집!E10</f>
        <v>기계정비공</v>
      </c>
      <c r="G10" s="288"/>
      <c r="H10" s="304">
        <f>투입인원!G8</f>
        <v>1</v>
      </c>
      <c r="I10" s="293"/>
      <c r="J10" s="293">
        <f>원가!G132</f>
        <v>2826188</v>
      </c>
      <c r="K10" s="149">
        <f>TRUNC(J10*H10,0)</f>
        <v>2826188</v>
      </c>
      <c r="L10" s="303">
        <v>12</v>
      </c>
      <c r="M10" s="293"/>
      <c r="N10" s="149">
        <f>TRUNC(K10*L10,0)</f>
        <v>33914256</v>
      </c>
      <c r="O10" s="665"/>
    </row>
    <row r="11" spans="1:14" ht="30" customHeight="1">
      <c r="A11" s="687" t="s">
        <v>558</v>
      </c>
      <c r="B11" s="409"/>
      <c r="C11" s="410" t="str">
        <f>인집!B11</f>
        <v>미화반장</v>
      </c>
      <c r="D11" s="410"/>
      <c r="E11" s="411"/>
      <c r="F11" s="410" t="str">
        <f>인집!E11</f>
        <v>보통인부</v>
      </c>
      <c r="G11" s="412"/>
      <c r="H11" s="413">
        <f>투입인원!G9</f>
        <v>1</v>
      </c>
      <c r="I11" s="414"/>
      <c r="J11" s="414">
        <f>원가!G165</f>
        <v>2229920</v>
      </c>
      <c r="K11" s="415">
        <f>TRUNC(J11*H11,0)</f>
        <v>2229920</v>
      </c>
      <c r="L11" s="416">
        <v>12</v>
      </c>
      <c r="M11" s="414"/>
      <c r="N11" s="415">
        <f>TRUNC(K11*L11,0)</f>
        <v>26759040</v>
      </c>
    </row>
    <row r="12" spans="1:15" ht="30" customHeight="1">
      <c r="A12" s="688"/>
      <c r="B12" s="406"/>
      <c r="C12" s="279" t="str">
        <f>인집!B12</f>
        <v>미화원</v>
      </c>
      <c r="D12" s="279"/>
      <c r="E12" s="405"/>
      <c r="F12" s="279" t="str">
        <f>인집!E12</f>
        <v>보통인부</v>
      </c>
      <c r="G12" s="288"/>
      <c r="H12" s="300">
        <f>투입인원!G10</f>
        <v>7</v>
      </c>
      <c r="I12" s="293"/>
      <c r="J12" s="293">
        <f>원가!G198</f>
        <v>2229920</v>
      </c>
      <c r="K12" s="149">
        <f>TRUNC(J12*H12,0)</f>
        <v>15609440</v>
      </c>
      <c r="L12" s="304">
        <v>12</v>
      </c>
      <c r="M12" s="293"/>
      <c r="N12" s="149">
        <f>TRUNC(K12*L12,0)</f>
        <v>187313280</v>
      </c>
      <c r="O12" s="665"/>
    </row>
    <row r="13" spans="1:15" ht="30" customHeight="1">
      <c r="A13" s="651"/>
      <c r="B13" s="406"/>
      <c r="C13" s="279"/>
      <c r="D13" s="279"/>
      <c r="E13" s="405"/>
      <c r="F13" s="279"/>
      <c r="G13" s="288"/>
      <c r="H13" s="300"/>
      <c r="I13" s="293"/>
      <c r="J13" s="293"/>
      <c r="K13" s="149"/>
      <c r="L13" s="304"/>
      <c r="M13" s="293"/>
      <c r="N13" s="149"/>
      <c r="O13" s="665"/>
    </row>
    <row r="14" spans="1:16" ht="30" customHeight="1">
      <c r="A14" s="298" t="s">
        <v>17</v>
      </c>
      <c r="B14" s="289"/>
      <c r="C14" s="289"/>
      <c r="D14" s="289"/>
      <c r="E14" s="290"/>
      <c r="F14" s="25"/>
      <c r="G14" s="26"/>
      <c r="H14" s="301">
        <f>SUM(H7:H13)</f>
        <v>12</v>
      </c>
      <c r="I14" s="294"/>
      <c r="J14" s="294"/>
      <c r="K14" s="295">
        <f>SUM(K7:K13)</f>
        <v>29418383</v>
      </c>
      <c r="L14" s="305">
        <v>12</v>
      </c>
      <c r="M14" s="294"/>
      <c r="N14" s="595">
        <v>353020000</v>
      </c>
      <c r="O14" s="341"/>
      <c r="P14" s="342"/>
    </row>
    <row r="15" spans="1:15" ht="19.5" customHeight="1">
      <c r="A15" s="228" t="str">
        <f>"주 1) 소요인원 : "&amp;투입인원!A1&amp;투입인원!A2&amp;" 참조"</f>
        <v>주 1) 소요인원 : &lt; 표 : 10 &gt; 적용직종 및 소요인원산정표 참조</v>
      </c>
      <c r="B15" s="228"/>
      <c r="C15" s="228"/>
      <c r="D15" s="228"/>
      <c r="E15" s="28"/>
      <c r="F15" s="27"/>
      <c r="G15" s="28"/>
      <c r="H15" s="28"/>
      <c r="I15" s="28"/>
      <c r="J15" s="28"/>
      <c r="M15" s="291"/>
      <c r="N15" s="291"/>
      <c r="O15" s="341"/>
    </row>
    <row r="16" spans="1:14" ht="19.5" customHeight="1">
      <c r="A16" s="228" t="str">
        <f>"   2) 단위(1인)당용역비 : "&amp;원가집계!A1&amp;원가집계!A2&amp;" 참조(부가가치세 포함)"</f>
        <v>   2) 단위(1인)당용역비 : &lt; 표 : 2 &gt; 용역원가계산서 참조(부가가치세 포함)</v>
      </c>
      <c r="B16" s="228"/>
      <c r="C16" s="228"/>
      <c r="D16" s="228"/>
      <c r="E16" s="28"/>
      <c r="F16" s="27"/>
      <c r="G16" s="28"/>
      <c r="H16" s="28"/>
      <c r="I16" s="28"/>
      <c r="J16" s="28"/>
      <c r="M16" s="291"/>
      <c r="N16" s="504"/>
    </row>
    <row r="17" spans="1:14" ht="19.5" customHeight="1">
      <c r="A17" s="253" t="s">
        <v>215</v>
      </c>
      <c r="B17" s="253"/>
      <c r="C17" s="228"/>
      <c r="D17" s="228"/>
      <c r="E17" s="28"/>
      <c r="F17" s="27"/>
      <c r="G17" s="28"/>
      <c r="H17" s="28"/>
      <c r="I17" s="28"/>
      <c r="J17" s="28"/>
      <c r="M17" s="291"/>
      <c r="N17" s="504"/>
    </row>
    <row r="18" spans="1:14" ht="19.5" customHeight="1">
      <c r="A18" s="598" t="s">
        <v>568</v>
      </c>
      <c r="B18" s="253"/>
      <c r="C18" s="228"/>
      <c r="D18" s="228"/>
      <c r="E18" s="28"/>
      <c r="F18" s="27"/>
      <c r="G18" s="28"/>
      <c r="H18" s="28"/>
      <c r="I18" s="28"/>
      <c r="J18" s="28"/>
      <c r="M18" s="291"/>
      <c r="N18" s="504"/>
    </row>
    <row r="19" spans="1:14" ht="19.5" customHeight="1">
      <c r="A19" s="253" t="s">
        <v>489</v>
      </c>
      <c r="B19" s="253"/>
      <c r="C19" s="228"/>
      <c r="D19" s="228"/>
      <c r="E19" s="28"/>
      <c r="F19" s="27"/>
      <c r="G19" s="28"/>
      <c r="H19" s="28"/>
      <c r="I19" s="28"/>
      <c r="J19" s="28"/>
      <c r="M19" s="291"/>
      <c r="N19" s="291"/>
    </row>
  </sheetData>
  <sheetProtection/>
  <mergeCells count="2">
    <mergeCell ref="A7:A10"/>
    <mergeCell ref="A11:A12"/>
  </mergeCells>
  <printOptions horizontalCentered="1"/>
  <pageMargins left="0.7874015748031497" right="0.708661417322834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SheetLayoutView="100" zoomScalePageLayoutView="0" workbookViewId="0" topLeftCell="A1">
      <selection activeCell="N16" sqref="N16"/>
    </sheetView>
  </sheetViews>
  <sheetFormatPr defaultColWidth="9.140625" defaultRowHeight="12"/>
  <cols>
    <col min="1" max="2" width="3.7109375" style="10" customWidth="1"/>
    <col min="3" max="3" width="10.7109375" style="10" customWidth="1"/>
    <col min="4" max="4" width="1.7109375" style="10" customWidth="1"/>
    <col min="5" max="5" width="13.7109375" style="10" customWidth="1"/>
    <col min="6" max="6" width="1.7109375" style="10" customWidth="1"/>
    <col min="7" max="7" width="5.7109375" style="152" customWidth="1"/>
    <col min="8" max="8" width="0.85546875" style="152" customWidth="1"/>
    <col min="9" max="9" width="34.7109375" style="152" customWidth="1"/>
    <col min="10" max="10" width="0.85546875" style="152" customWidth="1"/>
    <col min="11" max="11" width="17.7109375" style="152" customWidth="1"/>
    <col min="12" max="13" width="9.140625" style="152" customWidth="1"/>
    <col min="14" max="14" width="37.28125" style="152" customWidth="1"/>
    <col min="15" max="16384" width="9.140625" style="152" customWidth="1"/>
  </cols>
  <sheetData>
    <row r="1" spans="1:3" ht="19.5" customHeight="1">
      <c r="A1" s="222" t="s">
        <v>467</v>
      </c>
      <c r="B1" s="222"/>
      <c r="C1" s="222"/>
    </row>
    <row r="2" spans="1:11" s="168" customFormat="1" ht="39.75" customHeight="1">
      <c r="A2" s="165" t="s">
        <v>63</v>
      </c>
      <c r="B2" s="165"/>
      <c r="C2" s="165"/>
      <c r="D2" s="166"/>
      <c r="E2" s="166"/>
      <c r="F2" s="166"/>
      <c r="G2" s="165"/>
      <c r="H2" s="165"/>
      <c r="I2" s="165"/>
      <c r="J2" s="165"/>
      <c r="K2" s="165"/>
    </row>
    <row r="3" ht="9.75" customHeight="1"/>
    <row r="4" spans="1:11" ht="30" customHeight="1">
      <c r="A4" s="176" t="s">
        <v>64</v>
      </c>
      <c r="B4" s="647"/>
      <c r="C4" s="647"/>
      <c r="D4" s="648" t="s">
        <v>209</v>
      </c>
      <c r="E4" s="649"/>
      <c r="F4" s="650"/>
      <c r="G4" s="648" t="s">
        <v>302</v>
      </c>
      <c r="H4" s="648" t="s">
        <v>65</v>
      </c>
      <c r="I4" s="650"/>
      <c r="J4" s="649" t="s">
        <v>300</v>
      </c>
      <c r="K4" s="650"/>
    </row>
    <row r="5" spans="1:11" s="10" customFormat="1" ht="22.5" customHeight="1">
      <c r="A5" s="767" t="s">
        <v>562</v>
      </c>
      <c r="B5" s="767" t="s">
        <v>545</v>
      </c>
      <c r="C5" s="640" t="s">
        <v>482</v>
      </c>
      <c r="D5" s="640"/>
      <c r="E5" s="654" t="s">
        <v>477</v>
      </c>
      <c r="F5" s="641"/>
      <c r="G5" s="642">
        <v>1</v>
      </c>
      <c r="H5" s="23"/>
      <c r="I5" s="653" t="s">
        <v>546</v>
      </c>
      <c r="J5" s="655"/>
      <c r="K5" s="656" t="s">
        <v>547</v>
      </c>
    </row>
    <row r="6" spans="1:14" s="10" customFormat="1" ht="22.5" customHeight="1">
      <c r="A6" s="768"/>
      <c r="B6" s="767"/>
      <c r="C6" s="640" t="s">
        <v>483</v>
      </c>
      <c r="D6" s="640"/>
      <c r="E6" s="654" t="s">
        <v>479</v>
      </c>
      <c r="F6" s="641"/>
      <c r="G6" s="652">
        <v>1</v>
      </c>
      <c r="H6" s="174"/>
      <c r="I6" s="735" t="s">
        <v>549</v>
      </c>
      <c r="J6" s="170"/>
      <c r="K6" s="763" t="s">
        <v>548</v>
      </c>
      <c r="N6" s="657"/>
    </row>
    <row r="7" spans="1:11" s="10" customFormat="1" ht="22.5" customHeight="1">
      <c r="A7" s="768"/>
      <c r="B7" s="767"/>
      <c r="C7" s="640" t="s">
        <v>484</v>
      </c>
      <c r="D7" s="640"/>
      <c r="E7" s="654" t="s">
        <v>485</v>
      </c>
      <c r="F7" s="641"/>
      <c r="G7" s="652">
        <v>1</v>
      </c>
      <c r="H7" s="174"/>
      <c r="I7" s="736"/>
      <c r="J7" s="170"/>
      <c r="K7" s="740"/>
    </row>
    <row r="8" spans="1:11" s="10" customFormat="1" ht="22.5" customHeight="1">
      <c r="A8" s="768"/>
      <c r="B8" s="770"/>
      <c r="C8" s="640" t="s">
        <v>486</v>
      </c>
      <c r="D8" s="640"/>
      <c r="E8" s="654" t="s">
        <v>487</v>
      </c>
      <c r="F8" s="641"/>
      <c r="G8" s="652">
        <v>1</v>
      </c>
      <c r="H8" s="3"/>
      <c r="I8" s="764"/>
      <c r="J8" s="351"/>
      <c r="K8" s="741"/>
    </row>
    <row r="9" spans="1:11" s="10" customFormat="1" ht="34.5" customHeight="1">
      <c r="A9" s="768"/>
      <c r="B9" s="767" t="s">
        <v>349</v>
      </c>
      <c r="C9" s="13" t="s">
        <v>237</v>
      </c>
      <c r="D9" s="13"/>
      <c r="E9" s="37" t="s">
        <v>301</v>
      </c>
      <c r="F9" s="12"/>
      <c r="G9" s="23">
        <v>1</v>
      </c>
      <c r="H9" s="23"/>
      <c r="I9" s="661" t="s">
        <v>550</v>
      </c>
      <c r="J9" s="659"/>
      <c r="K9" s="660" t="s">
        <v>305</v>
      </c>
    </row>
    <row r="10" spans="1:11" s="10" customFormat="1" ht="24.75" customHeight="1">
      <c r="A10" s="768"/>
      <c r="B10" s="768"/>
      <c r="C10" s="757" t="s">
        <v>295</v>
      </c>
      <c r="D10" s="708"/>
      <c r="E10" s="759" t="s">
        <v>301</v>
      </c>
      <c r="F10" s="709"/>
      <c r="G10" s="716">
        <v>7</v>
      </c>
      <c r="H10" s="174"/>
      <c r="I10" s="735" t="s">
        <v>552</v>
      </c>
      <c r="J10" s="170"/>
      <c r="K10" s="739" t="s">
        <v>306</v>
      </c>
    </row>
    <row r="11" spans="1:14" s="10" customFormat="1" ht="24.75" customHeight="1">
      <c r="A11" s="768"/>
      <c r="B11" s="768"/>
      <c r="C11" s="758"/>
      <c r="D11" s="748"/>
      <c r="E11" s="760"/>
      <c r="F11" s="761"/>
      <c r="G11" s="717"/>
      <c r="H11" s="174"/>
      <c r="I11" s="736"/>
      <c r="J11" s="170"/>
      <c r="K11" s="740"/>
      <c r="N11" s="662"/>
    </row>
    <row r="12" spans="1:14" s="10" customFormat="1" ht="22.5" customHeight="1">
      <c r="A12" s="768"/>
      <c r="B12" s="771" t="s">
        <v>544</v>
      </c>
      <c r="C12" s="13" t="s">
        <v>298</v>
      </c>
      <c r="D12" s="13"/>
      <c r="E12" s="37" t="s">
        <v>301</v>
      </c>
      <c r="F12" s="12"/>
      <c r="G12" s="23">
        <v>1</v>
      </c>
      <c r="H12" s="23"/>
      <c r="I12" s="658" t="s">
        <v>303</v>
      </c>
      <c r="J12" s="659"/>
      <c r="K12" s="656" t="s">
        <v>305</v>
      </c>
      <c r="N12" s="657"/>
    </row>
    <row r="13" spans="1:11" s="10" customFormat="1" ht="19.5" customHeight="1">
      <c r="A13" s="768"/>
      <c r="B13" s="772"/>
      <c r="C13" s="757" t="s">
        <v>299</v>
      </c>
      <c r="D13" s="708"/>
      <c r="E13" s="759" t="s">
        <v>301</v>
      </c>
      <c r="F13" s="709"/>
      <c r="G13" s="716">
        <v>3</v>
      </c>
      <c r="H13" s="174"/>
      <c r="I13" s="735" t="s">
        <v>551</v>
      </c>
      <c r="J13" s="170"/>
      <c r="K13" s="739" t="s">
        <v>306</v>
      </c>
    </row>
    <row r="14" spans="1:11" s="10" customFormat="1" ht="19.5" customHeight="1">
      <c r="A14" s="768"/>
      <c r="B14" s="772"/>
      <c r="C14" s="758"/>
      <c r="D14" s="748"/>
      <c r="E14" s="765"/>
      <c r="F14" s="761"/>
      <c r="G14" s="717"/>
      <c r="H14" s="174"/>
      <c r="I14" s="737"/>
      <c r="J14" s="170"/>
      <c r="K14" s="740"/>
    </row>
    <row r="15" spans="1:11" s="10" customFormat="1" ht="19.5" customHeight="1">
      <c r="A15" s="768"/>
      <c r="B15" s="772"/>
      <c r="C15" s="758"/>
      <c r="D15" s="748"/>
      <c r="E15" s="765"/>
      <c r="F15" s="761"/>
      <c r="G15" s="717"/>
      <c r="H15" s="174"/>
      <c r="I15" s="737"/>
      <c r="J15" s="170"/>
      <c r="K15" s="740"/>
    </row>
    <row r="16" spans="1:11" s="10" customFormat="1" ht="19.5" customHeight="1">
      <c r="A16" s="768"/>
      <c r="B16" s="772"/>
      <c r="C16" s="762"/>
      <c r="D16" s="710"/>
      <c r="E16" s="766"/>
      <c r="F16" s="711"/>
      <c r="G16" s="749"/>
      <c r="H16" s="3"/>
      <c r="I16" s="738"/>
      <c r="J16" s="351"/>
      <c r="K16" s="741"/>
    </row>
    <row r="17" spans="1:11" s="424" customFormat="1" ht="19.5" customHeight="1">
      <c r="A17" s="768"/>
      <c r="B17" s="771" t="s">
        <v>559</v>
      </c>
      <c r="C17" s="744" t="s">
        <v>559</v>
      </c>
      <c r="D17" s="746"/>
      <c r="E17" s="754" t="s">
        <v>488</v>
      </c>
      <c r="F17" s="750"/>
      <c r="G17" s="752">
        <v>2</v>
      </c>
      <c r="H17" s="435"/>
      <c r="I17" s="735" t="s">
        <v>561</v>
      </c>
      <c r="J17" s="423"/>
      <c r="K17" s="742" t="s">
        <v>304</v>
      </c>
    </row>
    <row r="18" spans="1:11" s="424" customFormat="1" ht="19.5" customHeight="1">
      <c r="A18" s="768"/>
      <c r="B18" s="772"/>
      <c r="C18" s="745"/>
      <c r="D18" s="747"/>
      <c r="E18" s="755"/>
      <c r="F18" s="751"/>
      <c r="G18" s="753"/>
      <c r="H18" s="435"/>
      <c r="I18" s="736"/>
      <c r="J18" s="423"/>
      <c r="K18" s="743"/>
    </row>
    <row r="19" spans="1:11" s="424" customFormat="1" ht="19.5" customHeight="1">
      <c r="A19" s="768"/>
      <c r="B19" s="772"/>
      <c r="C19" s="745"/>
      <c r="D19" s="747"/>
      <c r="E19" s="755"/>
      <c r="F19" s="751"/>
      <c r="G19" s="753"/>
      <c r="H19" s="435"/>
      <c r="I19" s="736"/>
      <c r="J19" s="423"/>
      <c r="K19" s="743"/>
    </row>
    <row r="20" spans="1:11" s="424" customFormat="1" ht="19.5" customHeight="1">
      <c r="A20" s="768"/>
      <c r="B20" s="772"/>
      <c r="C20" s="745"/>
      <c r="D20" s="747"/>
      <c r="E20" s="756"/>
      <c r="F20" s="751"/>
      <c r="G20" s="753"/>
      <c r="H20" s="435"/>
      <c r="I20" s="736"/>
      <c r="J20" s="423"/>
      <c r="K20" s="743"/>
    </row>
    <row r="21" spans="1:11" s="424" customFormat="1" ht="22.5" customHeight="1">
      <c r="A21" s="769"/>
      <c r="B21" s="773" t="s">
        <v>543</v>
      </c>
      <c r="C21" s="774"/>
      <c r="D21" s="774"/>
      <c r="E21" s="774"/>
      <c r="F21" s="775"/>
      <c r="G21" s="642">
        <f>SUM(G5:G20)</f>
        <v>18</v>
      </c>
      <c r="H21" s="642"/>
      <c r="I21" s="643"/>
      <c r="J21" s="644"/>
      <c r="K21" s="645"/>
    </row>
    <row r="22" spans="1:3" ht="19.5" customHeight="1">
      <c r="A22" s="169" t="s">
        <v>324</v>
      </c>
      <c r="B22" s="169"/>
      <c r="C22" s="169"/>
    </row>
  </sheetData>
  <sheetProtection/>
  <mergeCells count="29">
    <mergeCell ref="K6:K8"/>
    <mergeCell ref="I6:I8"/>
    <mergeCell ref="E13:E16"/>
    <mergeCell ref="F13:F16"/>
    <mergeCell ref="A5:A21"/>
    <mergeCell ref="B5:B8"/>
    <mergeCell ref="B9:B11"/>
    <mergeCell ref="B12:B16"/>
    <mergeCell ref="B17:B20"/>
    <mergeCell ref="B21:F21"/>
    <mergeCell ref="F17:F20"/>
    <mergeCell ref="G17:G20"/>
    <mergeCell ref="E17:E20"/>
    <mergeCell ref="C10:C11"/>
    <mergeCell ref="D10:D11"/>
    <mergeCell ref="E10:E11"/>
    <mergeCell ref="F10:F11"/>
    <mergeCell ref="G10:G11"/>
    <mergeCell ref="C13:C16"/>
    <mergeCell ref="I10:I11"/>
    <mergeCell ref="I13:I16"/>
    <mergeCell ref="I17:I20"/>
    <mergeCell ref="K13:K16"/>
    <mergeCell ref="K17:K20"/>
    <mergeCell ref="C17:C20"/>
    <mergeCell ref="D17:D20"/>
    <mergeCell ref="D13:D16"/>
    <mergeCell ref="G13:G16"/>
    <mergeCell ref="K10:K1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&amp;C- &amp;P+26 -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view="pageBreakPreview" zoomScaleSheetLayoutView="100" zoomScalePageLayoutView="0" workbookViewId="0" topLeftCell="A1">
      <selection activeCell="E10" sqref="E10"/>
    </sheetView>
  </sheetViews>
  <sheetFormatPr defaultColWidth="10.28125" defaultRowHeight="33.75" customHeight="1"/>
  <cols>
    <col min="1" max="1" width="5.7109375" style="194" customWidth="1"/>
    <col min="2" max="2" width="1.7109375" style="193" customWidth="1"/>
    <col min="3" max="3" width="20.7109375" style="193" customWidth="1"/>
    <col min="4" max="4" width="1.7109375" style="193" customWidth="1"/>
    <col min="5" max="8" width="13.7109375" style="194" customWidth="1"/>
    <col min="9" max="9" width="10.57421875" style="194" customWidth="1"/>
    <col min="10" max="10" width="26.28125" style="193" customWidth="1"/>
    <col min="11" max="16384" width="10.28125" style="193" customWidth="1"/>
  </cols>
  <sheetData>
    <row r="1" ht="19.5" customHeight="1">
      <c r="A1" s="193" t="s">
        <v>468</v>
      </c>
    </row>
    <row r="2" spans="1:9" s="197" customFormat="1" ht="39.75" customHeight="1">
      <c r="A2" s="195" t="s">
        <v>66</v>
      </c>
      <c r="B2" s="195"/>
      <c r="C2" s="195"/>
      <c r="D2" s="195"/>
      <c r="E2" s="196"/>
      <c r="F2" s="196"/>
      <c r="G2" s="196"/>
      <c r="H2" s="196"/>
      <c r="I2" s="196"/>
    </row>
    <row r="3" spans="1:9" ht="19.5" customHeight="1">
      <c r="A3" s="199"/>
      <c r="B3" s="198"/>
      <c r="C3" s="198"/>
      <c r="D3" s="198"/>
      <c r="E3" s="199"/>
      <c r="F3" s="199"/>
      <c r="G3" s="199"/>
      <c r="H3" s="199"/>
      <c r="I3" s="199"/>
    </row>
    <row r="4" spans="1:9" ht="19.5" customHeight="1">
      <c r="A4" s="199"/>
      <c r="C4" s="198"/>
      <c r="D4" s="200"/>
      <c r="E4" s="199"/>
      <c r="F4" s="199"/>
      <c r="G4" s="199"/>
      <c r="H4" s="199"/>
      <c r="I4" s="155" t="s">
        <v>36</v>
      </c>
    </row>
    <row r="5" spans="1:9" ht="24.75" customHeight="1">
      <c r="A5" s="781" t="s">
        <v>67</v>
      </c>
      <c r="B5" s="782"/>
      <c r="C5" s="782"/>
      <c r="D5" s="783"/>
      <c r="E5" s="398" t="str">
        <f>인집!B7</f>
        <v>전기반장</v>
      </c>
      <c r="F5" s="398" t="str">
        <f>인집!B8</f>
        <v>전기기사</v>
      </c>
      <c r="G5" s="398" t="str">
        <f>인집!B9</f>
        <v>기계반장</v>
      </c>
      <c r="H5" s="398" t="str">
        <f>인집!B10</f>
        <v>기계기사</v>
      </c>
      <c r="I5" s="776" t="s">
        <v>315</v>
      </c>
    </row>
    <row r="6" spans="1:9" ht="24.75" customHeight="1">
      <c r="A6" s="784"/>
      <c r="B6" s="785"/>
      <c r="C6" s="785"/>
      <c r="D6" s="786"/>
      <c r="E6" s="519" t="str">
        <f>"("&amp;인집!E7&amp;")"</f>
        <v>(전기기능사)</v>
      </c>
      <c r="F6" s="519" t="str">
        <f>"("&amp;인집!E8&amp;")"</f>
        <v>(전기정비공)</v>
      </c>
      <c r="G6" s="519" t="str">
        <f>"("&amp;인집!E9&amp;")"</f>
        <v>(보일러공)</v>
      </c>
      <c r="H6" s="519" t="str">
        <f>"("&amp;인집!E10&amp;")"</f>
        <v>(기계정비공)</v>
      </c>
      <c r="I6" s="777"/>
    </row>
    <row r="7" spans="1:9" ht="34.5" customHeight="1">
      <c r="A7" s="787" t="s">
        <v>68</v>
      </c>
      <c r="B7" s="201"/>
      <c r="C7" s="202" t="s">
        <v>30</v>
      </c>
      <c r="D7" s="203"/>
      <c r="E7" s="232">
        <f>보험료!I9</f>
        <v>42664</v>
      </c>
      <c r="F7" s="232">
        <f>보험료!I29</f>
        <v>40841</v>
      </c>
      <c r="G7" s="232">
        <f>보험료!I50</f>
        <v>40595</v>
      </c>
      <c r="H7" s="232">
        <f>보험료!I71</f>
        <v>40031</v>
      </c>
      <c r="I7" s="235" t="s">
        <v>69</v>
      </c>
    </row>
    <row r="8" spans="1:9" ht="34.5" customHeight="1">
      <c r="A8" s="788"/>
      <c r="B8" s="201"/>
      <c r="C8" s="202" t="s">
        <v>80</v>
      </c>
      <c r="D8" s="203"/>
      <c r="E8" s="232">
        <f>보험료!I10</f>
        <v>91423</v>
      </c>
      <c r="F8" s="232">
        <f>보험료!I30</f>
        <v>87516</v>
      </c>
      <c r="G8" s="232">
        <f>보험료!I51</f>
        <v>86991</v>
      </c>
      <c r="H8" s="232">
        <f>보험료!I72</f>
        <v>85781</v>
      </c>
      <c r="I8" s="236"/>
    </row>
    <row r="9" spans="1:9" ht="34.5" customHeight="1">
      <c r="A9" s="788"/>
      <c r="B9" s="201"/>
      <c r="C9" s="202" t="s">
        <v>226</v>
      </c>
      <c r="D9" s="203"/>
      <c r="E9" s="232">
        <f>보험료!I11</f>
        <v>14221</v>
      </c>
      <c r="F9" s="232">
        <f>보험료!I31</f>
        <v>13613</v>
      </c>
      <c r="G9" s="232">
        <f>보험료!I52</f>
        <v>13531</v>
      </c>
      <c r="H9" s="232">
        <f>보험료!I73</f>
        <v>13343</v>
      </c>
      <c r="I9" s="236"/>
    </row>
    <row r="10" spans="1:9" ht="34.5" customHeight="1">
      <c r="A10" s="788"/>
      <c r="B10" s="201"/>
      <c r="C10" s="202" t="s">
        <v>82</v>
      </c>
      <c r="D10" s="203"/>
      <c r="E10" s="232">
        <f>보험료!I12</f>
        <v>54142</v>
      </c>
      <c r="F10" s="232">
        <f>보험료!I32</f>
        <v>51829</v>
      </c>
      <c r="G10" s="232">
        <f>보험료!I53</f>
        <v>51518</v>
      </c>
      <c r="H10" s="232">
        <f>보험료!I74</f>
        <v>50801</v>
      </c>
      <c r="I10" s="236"/>
    </row>
    <row r="11" spans="1:9" ht="34.5" customHeight="1">
      <c r="A11" s="788"/>
      <c r="B11" s="201"/>
      <c r="C11" s="202" t="s">
        <v>307</v>
      </c>
      <c r="D11" s="203"/>
      <c r="E11" s="232">
        <f>보험료!I13</f>
        <v>3546</v>
      </c>
      <c r="F11" s="232">
        <f>보험료!I33</f>
        <v>3394</v>
      </c>
      <c r="G11" s="232">
        <f>보험료!I54</f>
        <v>3374</v>
      </c>
      <c r="H11" s="232">
        <f>보험료!I75</f>
        <v>3327</v>
      </c>
      <c r="I11" s="236"/>
    </row>
    <row r="12" spans="1:9" ht="34.5" customHeight="1">
      <c r="A12" s="788"/>
      <c r="B12" s="201"/>
      <c r="C12" s="202" t="s">
        <v>83</v>
      </c>
      <c r="D12" s="203"/>
      <c r="E12" s="232">
        <f>보험료!I14</f>
        <v>1625</v>
      </c>
      <c r="F12" s="232">
        <f>보험료!I34</f>
        <v>1555</v>
      </c>
      <c r="G12" s="232">
        <f>보험료!I55</f>
        <v>1546</v>
      </c>
      <c r="H12" s="232">
        <f>보험료!I76</f>
        <v>1524</v>
      </c>
      <c r="I12" s="237"/>
    </row>
    <row r="13" spans="1:9" ht="34.5" customHeight="1">
      <c r="A13" s="789"/>
      <c r="B13" s="201"/>
      <c r="C13" s="330" t="s">
        <v>4</v>
      </c>
      <c r="D13" s="203"/>
      <c r="E13" s="232">
        <f>SUM(E7:E12)</f>
        <v>207621</v>
      </c>
      <c r="F13" s="232">
        <f>SUM(F7:F12)</f>
        <v>198748</v>
      </c>
      <c r="G13" s="232">
        <f>SUM(G7:G12)</f>
        <v>197555</v>
      </c>
      <c r="H13" s="232">
        <f>SUM(H7:H12)</f>
        <v>194807</v>
      </c>
      <c r="I13" s="236"/>
    </row>
    <row r="14" spans="1:9" ht="34.5" customHeight="1">
      <c r="A14" s="787" t="s">
        <v>70</v>
      </c>
      <c r="B14" s="234"/>
      <c r="C14" s="202" t="s">
        <v>71</v>
      </c>
      <c r="D14" s="203"/>
      <c r="E14" s="232">
        <f>복리후생비!I7</f>
        <v>63000</v>
      </c>
      <c r="F14" s="232">
        <f>복리후생비!G8</f>
        <v>63000</v>
      </c>
      <c r="G14" s="232">
        <f>복리후생비!G9</f>
        <v>63000</v>
      </c>
      <c r="H14" s="232">
        <f>복리후생비!G10</f>
        <v>63000</v>
      </c>
      <c r="I14" s="235" t="s">
        <v>72</v>
      </c>
    </row>
    <row r="15" spans="1:9" ht="34.5" customHeight="1">
      <c r="A15" s="789"/>
      <c r="B15" s="234"/>
      <c r="C15" s="330" t="s">
        <v>4</v>
      </c>
      <c r="D15" s="203"/>
      <c r="E15" s="232">
        <f>SUM(E14:E14)</f>
        <v>63000</v>
      </c>
      <c r="F15" s="232">
        <f>SUM(F14:F14)</f>
        <v>63000</v>
      </c>
      <c r="G15" s="232">
        <f>SUM(G14:G14)</f>
        <v>63000</v>
      </c>
      <c r="H15" s="232">
        <f>SUM(H14:H14)</f>
        <v>63000</v>
      </c>
      <c r="I15" s="237"/>
    </row>
    <row r="16" spans="1:9" ht="34.5" customHeight="1">
      <c r="A16" s="778" t="s">
        <v>553</v>
      </c>
      <c r="B16" s="779"/>
      <c r="C16" s="779"/>
      <c r="D16" s="780"/>
      <c r="E16" s="232">
        <f>'지방소득세(종업원분)'!J8</f>
        <v>0</v>
      </c>
      <c r="F16" s="232">
        <f>'지방소득세(종업원분)'!J9</f>
        <v>0</v>
      </c>
      <c r="G16" s="232">
        <f>'지방소득세(종업원분)'!J10</f>
        <v>0</v>
      </c>
      <c r="H16" s="232">
        <f>'지방소득세(종업원분)'!J11</f>
        <v>0</v>
      </c>
      <c r="I16" s="237" t="s">
        <v>259</v>
      </c>
    </row>
    <row r="17" spans="1:9" ht="34.5" customHeight="1">
      <c r="A17" s="778" t="s">
        <v>554</v>
      </c>
      <c r="B17" s="779"/>
      <c r="C17" s="779"/>
      <c r="D17" s="780"/>
      <c r="E17" s="232">
        <f>교육비!J7</f>
        <v>8333</v>
      </c>
      <c r="F17" s="232">
        <f>교육비!J8</f>
        <v>8333</v>
      </c>
      <c r="G17" s="232">
        <f>교육비!J9</f>
        <v>8333</v>
      </c>
      <c r="H17" s="232">
        <f>교육비!J10</f>
        <v>8333</v>
      </c>
      <c r="I17" s="467" t="s">
        <v>15</v>
      </c>
    </row>
    <row r="18" spans="1:9" ht="39.75" customHeight="1">
      <c r="A18" s="233" t="s">
        <v>208</v>
      </c>
      <c r="B18" s="201"/>
      <c r="C18" s="234"/>
      <c r="D18" s="203"/>
      <c r="E18" s="232">
        <f>SUM(E13,E15,E16,E17)</f>
        <v>278954</v>
      </c>
      <c r="F18" s="232">
        <f>SUM(F13,F15,F16,F17)</f>
        <v>270081</v>
      </c>
      <c r="G18" s="232">
        <f>SUM(G13,G15,G16,G17)</f>
        <v>268888</v>
      </c>
      <c r="H18" s="232">
        <f>SUM(H13,H15,H16,H17)</f>
        <v>266140</v>
      </c>
      <c r="I18" s="1"/>
    </row>
    <row r="19" ht="24.75" customHeight="1">
      <c r="A19" s="204" t="str">
        <f>"주 1) 보험료 : "&amp;보험료!$A$1&amp;보험료!$A$2&amp;" 참조"</f>
        <v>주 1) 보험료 : &lt; 표 : 12 &gt; 보험료산출표 참조</v>
      </c>
    </row>
    <row r="20" ht="24.75" customHeight="1">
      <c r="A20" s="204" t="str">
        <f>"   2) 복리후생비 : "&amp;복리후생비!$A$1&amp;복리후생비!$A$2&amp;" 참조"</f>
        <v>   2) 복리후생비 : &lt; 표 : 15 &gt; 복리후생비집계표 참조</v>
      </c>
    </row>
    <row r="21" ht="24.75" customHeight="1">
      <c r="A21" s="204" t="str">
        <f>"   3) 사업소세 : "&amp;'지방소득세(종업원분)'!$A$1&amp;'지방소득세(종업원분)'!$A$2&amp;" 참조"</f>
        <v>   3) 사업소세 : &lt; 표 : 17 &gt; 지방소득세(종업원분)산출표 참조</v>
      </c>
    </row>
    <row r="22" ht="24.75" customHeight="1">
      <c r="A22" s="204" t="str">
        <f>"   4) 교육비 : "&amp;교육비!$A$1&amp;교육비!$A$2&amp;" 참조"</f>
        <v>   4) 교육비 : &lt; 표 : 18 &gt; 교육비산출표 참조</v>
      </c>
    </row>
    <row r="23" ht="19.5" customHeight="1">
      <c r="A23" s="193"/>
    </row>
    <row r="24" spans="1:9" s="197" customFormat="1" ht="39.75" customHeight="1">
      <c r="A24" s="195" t="s">
        <v>66</v>
      </c>
      <c r="B24" s="195"/>
      <c r="C24" s="195"/>
      <c r="D24" s="195"/>
      <c r="E24" s="196"/>
      <c r="F24" s="196"/>
      <c r="G24" s="196"/>
      <c r="H24" s="196"/>
      <c r="I24" s="196"/>
    </row>
    <row r="25" spans="1:9" ht="19.5" customHeight="1">
      <c r="A25" s="199"/>
      <c r="B25" s="198"/>
      <c r="C25" s="198"/>
      <c r="D25" s="198"/>
      <c r="E25" s="199"/>
      <c r="F25" s="199"/>
      <c r="G25" s="199"/>
      <c r="H25" s="199"/>
      <c r="I25" s="199"/>
    </row>
    <row r="26" spans="1:9" ht="19.5" customHeight="1">
      <c r="A26" s="199"/>
      <c r="C26" s="198"/>
      <c r="D26" s="200"/>
      <c r="E26" s="199"/>
      <c r="F26" s="199"/>
      <c r="G26" s="199"/>
      <c r="H26" s="199"/>
      <c r="I26" s="155" t="s">
        <v>36</v>
      </c>
    </row>
    <row r="27" spans="1:9" ht="24.75" customHeight="1">
      <c r="A27" s="781" t="s">
        <v>67</v>
      </c>
      <c r="B27" s="782"/>
      <c r="C27" s="782"/>
      <c r="D27" s="783"/>
      <c r="E27" s="398" t="str">
        <f>인집!B11</f>
        <v>미화반장</v>
      </c>
      <c r="F27" s="398" t="str">
        <f>인집!B12</f>
        <v>미화원</v>
      </c>
      <c r="G27" s="398" t="str">
        <f>인집!B13</f>
        <v>경비반장</v>
      </c>
      <c r="H27" s="398" t="str">
        <f>인집!B14</f>
        <v>경비원</v>
      </c>
      <c r="I27" s="776" t="s">
        <v>315</v>
      </c>
    </row>
    <row r="28" spans="1:9" ht="24.75" customHeight="1">
      <c r="A28" s="784"/>
      <c r="B28" s="785"/>
      <c r="C28" s="785"/>
      <c r="D28" s="786"/>
      <c r="E28" s="519" t="str">
        <f>"("&amp;인집!E11&amp;")"</f>
        <v>(보통인부)</v>
      </c>
      <c r="F28" s="519" t="str">
        <f>"("&amp;인집!E12&amp;")"</f>
        <v>(보통인부)</v>
      </c>
      <c r="G28" s="519" t="str">
        <f>"("&amp;인집!E13&amp;")"</f>
        <v>(보통인부)</v>
      </c>
      <c r="H28" s="519" t="str">
        <f>"("&amp;인집!E14&amp;")"</f>
        <v>(보통인부)</v>
      </c>
      <c r="I28" s="777"/>
    </row>
    <row r="29" spans="1:9" ht="34.5" customHeight="1">
      <c r="A29" s="787" t="s">
        <v>68</v>
      </c>
      <c r="B29" s="201"/>
      <c r="C29" s="202" t="s">
        <v>30</v>
      </c>
      <c r="D29" s="203"/>
      <c r="E29" s="232">
        <f>보험료!I92</f>
        <v>31466</v>
      </c>
      <c r="F29" s="232">
        <f>보험료!I113</f>
        <v>31466</v>
      </c>
      <c r="G29" s="232">
        <f>보험료!I134</f>
        <v>31466</v>
      </c>
      <c r="H29" s="232">
        <f>보험료!I155</f>
        <v>31466</v>
      </c>
      <c r="I29" s="235" t="s">
        <v>69</v>
      </c>
    </row>
    <row r="30" spans="1:9" ht="34.5" customHeight="1">
      <c r="A30" s="788"/>
      <c r="B30" s="201"/>
      <c r="C30" s="202" t="s">
        <v>80</v>
      </c>
      <c r="D30" s="203"/>
      <c r="E30" s="232">
        <f>보험료!I93</f>
        <v>67428</v>
      </c>
      <c r="F30" s="232">
        <f>보험료!I114</f>
        <v>67428</v>
      </c>
      <c r="G30" s="232">
        <f>보험료!I135</f>
        <v>67428</v>
      </c>
      <c r="H30" s="232">
        <f>보험료!I156</f>
        <v>67428</v>
      </c>
      <c r="I30" s="236"/>
    </row>
    <row r="31" spans="1:9" ht="34.5" customHeight="1">
      <c r="A31" s="788"/>
      <c r="B31" s="201"/>
      <c r="C31" s="202" t="s">
        <v>226</v>
      </c>
      <c r="D31" s="203"/>
      <c r="E31" s="232">
        <f>보험료!I94</f>
        <v>10488</v>
      </c>
      <c r="F31" s="232">
        <f>보험료!I115</f>
        <v>10488</v>
      </c>
      <c r="G31" s="232">
        <f>보험료!I136</f>
        <v>10488</v>
      </c>
      <c r="H31" s="232">
        <f>보험료!I157</f>
        <v>10488</v>
      </c>
      <c r="I31" s="236"/>
    </row>
    <row r="32" spans="1:9" ht="34.5" customHeight="1">
      <c r="A32" s="788"/>
      <c r="B32" s="201"/>
      <c r="C32" s="202" t="s">
        <v>82</v>
      </c>
      <c r="D32" s="203"/>
      <c r="E32" s="232">
        <f>보험료!I95</f>
        <v>39932</v>
      </c>
      <c r="F32" s="232">
        <f>보험료!I116</f>
        <v>39932</v>
      </c>
      <c r="G32" s="232">
        <f>보험료!I137</f>
        <v>39932</v>
      </c>
      <c r="H32" s="232">
        <f>보험료!I158</f>
        <v>39932</v>
      </c>
      <c r="I32" s="236"/>
    </row>
    <row r="33" spans="1:9" ht="34.5" customHeight="1">
      <c r="A33" s="788"/>
      <c r="B33" s="201"/>
      <c r="C33" s="202" t="s">
        <v>307</v>
      </c>
      <c r="D33" s="203"/>
      <c r="E33" s="232">
        <f>보험료!I96</f>
        <v>2615</v>
      </c>
      <c r="F33" s="232">
        <f>보험료!I117</f>
        <v>2615</v>
      </c>
      <c r="G33" s="232">
        <f>보험료!I138</f>
        <v>2615</v>
      </c>
      <c r="H33" s="232">
        <f>보험료!I159</f>
        <v>2615</v>
      </c>
      <c r="I33" s="236"/>
    </row>
    <row r="34" spans="1:9" ht="34.5" customHeight="1">
      <c r="A34" s="788"/>
      <c r="B34" s="201"/>
      <c r="C34" s="202" t="s">
        <v>83</v>
      </c>
      <c r="D34" s="203"/>
      <c r="E34" s="232">
        <f>보험료!I97</f>
        <v>1198</v>
      </c>
      <c r="F34" s="232">
        <f>보험료!I118</f>
        <v>1198</v>
      </c>
      <c r="G34" s="232">
        <f>보험료!I139</f>
        <v>1198</v>
      </c>
      <c r="H34" s="232">
        <f>보험료!I160</f>
        <v>1198</v>
      </c>
      <c r="I34" s="237"/>
    </row>
    <row r="35" spans="1:9" ht="34.5" customHeight="1">
      <c r="A35" s="789"/>
      <c r="B35" s="201"/>
      <c r="C35" s="330" t="s">
        <v>4</v>
      </c>
      <c r="D35" s="203"/>
      <c r="E35" s="232">
        <f>SUM(E29:E34)</f>
        <v>153127</v>
      </c>
      <c r="F35" s="232">
        <f>SUM(F29:F34)</f>
        <v>153127</v>
      </c>
      <c r="G35" s="232">
        <f>SUM(G29:G34)</f>
        <v>153127</v>
      </c>
      <c r="H35" s="232">
        <f>SUM(H29:H34)</f>
        <v>153127</v>
      </c>
      <c r="I35" s="236"/>
    </row>
    <row r="36" spans="1:9" ht="34.5" customHeight="1">
      <c r="A36" s="787" t="s">
        <v>70</v>
      </c>
      <c r="B36" s="234"/>
      <c r="C36" s="202" t="s">
        <v>71</v>
      </c>
      <c r="D36" s="203"/>
      <c r="E36" s="232">
        <f>복리후생비!G11</f>
        <v>63000</v>
      </c>
      <c r="F36" s="232">
        <f>복리후생비!G12</f>
        <v>63000</v>
      </c>
      <c r="G36" s="232">
        <f>복리후생비!G13</f>
        <v>63000</v>
      </c>
      <c r="H36" s="232">
        <f>복리후생비!G14</f>
        <v>63000</v>
      </c>
      <c r="I36" s="235" t="s">
        <v>72</v>
      </c>
    </row>
    <row r="37" spans="1:9" ht="34.5" customHeight="1">
      <c r="A37" s="789"/>
      <c r="B37" s="234"/>
      <c r="C37" s="330" t="s">
        <v>4</v>
      </c>
      <c r="D37" s="203"/>
      <c r="E37" s="232">
        <f>SUM(E36:E36)</f>
        <v>63000</v>
      </c>
      <c r="F37" s="232">
        <f>SUM(F36:F36)</f>
        <v>63000</v>
      </c>
      <c r="G37" s="232">
        <f>SUM(G36:G36)</f>
        <v>63000</v>
      </c>
      <c r="H37" s="232">
        <f>SUM(H36:H36)</f>
        <v>63000</v>
      </c>
      <c r="I37" s="237"/>
    </row>
    <row r="38" spans="1:9" ht="34.5" customHeight="1">
      <c r="A38" s="778" t="s">
        <v>553</v>
      </c>
      <c r="B38" s="790"/>
      <c r="C38" s="790"/>
      <c r="D38" s="791"/>
      <c r="E38" s="232">
        <f>'지방소득세(종업원분)'!J12</f>
        <v>0</v>
      </c>
      <c r="F38" s="232">
        <f>'지방소득세(종업원분)'!J13</f>
        <v>0</v>
      </c>
      <c r="G38" s="232">
        <f>'지방소득세(종업원분)'!J14</f>
        <v>0</v>
      </c>
      <c r="H38" s="232">
        <f>'지방소득세(종업원분)'!J15</f>
        <v>0</v>
      </c>
      <c r="I38" s="237" t="s">
        <v>259</v>
      </c>
    </row>
    <row r="39" spans="1:9" ht="34.5" customHeight="1">
      <c r="A39" s="778" t="s">
        <v>554</v>
      </c>
      <c r="B39" s="779"/>
      <c r="C39" s="779"/>
      <c r="D39" s="780"/>
      <c r="E39" s="232">
        <f>교육비!J11</f>
        <v>0</v>
      </c>
      <c r="F39" s="232">
        <f>교육비!J12</f>
        <v>0</v>
      </c>
      <c r="G39" s="232">
        <f>교육비!J13</f>
        <v>8333</v>
      </c>
      <c r="H39" s="232">
        <f>교육비!J14</f>
        <v>0</v>
      </c>
      <c r="I39" s="467" t="s">
        <v>15</v>
      </c>
    </row>
    <row r="40" spans="1:9" ht="39.75" customHeight="1">
      <c r="A40" s="233" t="s">
        <v>208</v>
      </c>
      <c r="B40" s="201"/>
      <c r="C40" s="234"/>
      <c r="D40" s="203"/>
      <c r="E40" s="232">
        <f>SUM(E35,E37,E38,E39)</f>
        <v>216127</v>
      </c>
      <c r="F40" s="232">
        <f>SUM(F35,F37,F38,F39)</f>
        <v>216127</v>
      </c>
      <c r="G40" s="232">
        <f>SUM(G35,G37,G38,G39)</f>
        <v>224460</v>
      </c>
      <c r="H40" s="232">
        <f>SUM(H35,H37,H38,H39)</f>
        <v>216127</v>
      </c>
      <c r="I40" s="1"/>
    </row>
    <row r="41" ht="24.75" customHeight="1">
      <c r="A41" s="204" t="str">
        <f>"주 1) 보험료 : "&amp;보험료!$A$1&amp;보험료!$A$2&amp;" 참조"</f>
        <v>주 1) 보험료 : &lt; 표 : 12 &gt; 보험료산출표 참조</v>
      </c>
    </row>
    <row r="42" ht="24.75" customHeight="1">
      <c r="A42" s="204" t="str">
        <f>"   2) 복리후생비 : "&amp;복리후생비!$A$1&amp;복리후생비!$A$2&amp;" 참조"</f>
        <v>   2) 복리후생비 : &lt; 표 : 15 &gt; 복리후생비집계표 참조</v>
      </c>
    </row>
    <row r="43" ht="24.75" customHeight="1">
      <c r="A43" s="204" t="str">
        <f>"   3) 사업소세 : "&amp;'지방소득세(종업원분)'!$A$1&amp;'지방소득세(종업원분)'!$A$2&amp;" 참조"</f>
        <v>   3) 사업소세 : &lt; 표 : 17 &gt; 지방소득세(종업원분)산출표 참조</v>
      </c>
    </row>
    <row r="44" ht="24.75" customHeight="1">
      <c r="A44" s="204" t="str">
        <f>"   4) 교육비 : "&amp;교육비!$A$1&amp;교육비!$A$2&amp;" 참조"</f>
        <v>   4) 교육비 : &lt; 표 : 18 &gt; 교육비산출표 참조</v>
      </c>
    </row>
    <row r="45" ht="19.5" customHeight="1">
      <c r="A45" s="193"/>
    </row>
    <row r="46" spans="1:9" s="197" customFormat="1" ht="39.75" customHeight="1">
      <c r="A46" s="195" t="s">
        <v>66</v>
      </c>
      <c r="B46" s="195"/>
      <c r="C46" s="195"/>
      <c r="D46" s="195"/>
      <c r="E46" s="196"/>
      <c r="F46" s="196"/>
      <c r="G46" s="196"/>
      <c r="H46" s="196"/>
      <c r="I46" s="196"/>
    </row>
    <row r="47" spans="1:9" ht="19.5" customHeight="1">
      <c r="A47" s="199"/>
      <c r="B47" s="198"/>
      <c r="C47" s="198"/>
      <c r="D47" s="198"/>
      <c r="E47" s="199"/>
      <c r="F47" s="199"/>
      <c r="G47" s="199"/>
      <c r="H47" s="199"/>
      <c r="I47" s="199"/>
    </row>
    <row r="48" spans="1:9" ht="19.5" customHeight="1">
      <c r="A48" s="199"/>
      <c r="C48" s="198"/>
      <c r="D48" s="200"/>
      <c r="E48" s="199"/>
      <c r="F48" s="199"/>
      <c r="G48" s="199"/>
      <c r="H48" s="199"/>
      <c r="I48" s="155" t="s">
        <v>36</v>
      </c>
    </row>
    <row r="49" spans="1:9" ht="24.75" customHeight="1">
      <c r="A49" s="781" t="s">
        <v>67</v>
      </c>
      <c r="B49" s="782"/>
      <c r="C49" s="782"/>
      <c r="D49" s="783"/>
      <c r="E49" s="398" t="str">
        <f>인집!B15</f>
        <v>주차관리</v>
      </c>
      <c r="F49" s="398"/>
      <c r="G49" s="398"/>
      <c r="H49" s="398"/>
      <c r="I49" s="776" t="s">
        <v>315</v>
      </c>
    </row>
    <row r="50" spans="1:9" ht="24.75" customHeight="1">
      <c r="A50" s="784"/>
      <c r="B50" s="785"/>
      <c r="C50" s="785"/>
      <c r="D50" s="786"/>
      <c r="E50" s="519" t="str">
        <f>"("&amp;인집!E15&amp;")"</f>
        <v>(보통인부)</v>
      </c>
      <c r="F50" s="519"/>
      <c r="G50" s="519"/>
      <c r="H50" s="519"/>
      <c r="I50" s="777"/>
    </row>
    <row r="51" spans="1:9" ht="34.5" customHeight="1">
      <c r="A51" s="787" t="s">
        <v>68</v>
      </c>
      <c r="B51" s="201"/>
      <c r="C51" s="202" t="s">
        <v>30</v>
      </c>
      <c r="D51" s="203"/>
      <c r="E51" s="232">
        <f>보험료!I176</f>
        <v>31466</v>
      </c>
      <c r="F51" s="232"/>
      <c r="G51" s="232"/>
      <c r="H51" s="232"/>
      <c r="I51" s="235" t="s">
        <v>69</v>
      </c>
    </row>
    <row r="52" spans="1:9" ht="34.5" customHeight="1">
      <c r="A52" s="788"/>
      <c r="B52" s="201"/>
      <c r="C52" s="202" t="s">
        <v>80</v>
      </c>
      <c r="D52" s="203"/>
      <c r="E52" s="232">
        <f>보험료!I177</f>
        <v>67428</v>
      </c>
      <c r="F52" s="232"/>
      <c r="G52" s="232"/>
      <c r="H52" s="232"/>
      <c r="I52" s="236"/>
    </row>
    <row r="53" spans="1:9" ht="34.5" customHeight="1">
      <c r="A53" s="788"/>
      <c r="B53" s="201"/>
      <c r="C53" s="202" t="s">
        <v>226</v>
      </c>
      <c r="D53" s="203"/>
      <c r="E53" s="232">
        <f>보험료!I178</f>
        <v>10488</v>
      </c>
      <c r="F53" s="232"/>
      <c r="G53" s="232"/>
      <c r="H53" s="232"/>
      <c r="I53" s="236"/>
    </row>
    <row r="54" spans="1:9" ht="34.5" customHeight="1">
      <c r="A54" s="788"/>
      <c r="B54" s="201"/>
      <c r="C54" s="202" t="s">
        <v>82</v>
      </c>
      <c r="D54" s="203"/>
      <c r="E54" s="232">
        <f>보험료!I179</f>
        <v>39932</v>
      </c>
      <c r="F54" s="232"/>
      <c r="G54" s="232"/>
      <c r="H54" s="232"/>
      <c r="I54" s="236"/>
    </row>
    <row r="55" spans="1:9" ht="34.5" customHeight="1">
      <c r="A55" s="788"/>
      <c r="B55" s="201"/>
      <c r="C55" s="202" t="s">
        <v>307</v>
      </c>
      <c r="D55" s="203"/>
      <c r="E55" s="232">
        <f>보험료!I180</f>
        <v>2615</v>
      </c>
      <c r="F55" s="232"/>
      <c r="G55" s="232"/>
      <c r="H55" s="232"/>
      <c r="I55" s="236"/>
    </row>
    <row r="56" spans="1:9" ht="34.5" customHeight="1">
      <c r="A56" s="788"/>
      <c r="B56" s="201"/>
      <c r="C56" s="202" t="s">
        <v>83</v>
      </c>
      <c r="D56" s="203"/>
      <c r="E56" s="232">
        <f>보험료!I181</f>
        <v>1198</v>
      </c>
      <c r="F56" s="232"/>
      <c r="G56" s="232"/>
      <c r="H56" s="232"/>
      <c r="I56" s="237"/>
    </row>
    <row r="57" spans="1:9" ht="34.5" customHeight="1">
      <c r="A57" s="789"/>
      <c r="B57" s="201"/>
      <c r="C57" s="330" t="s">
        <v>4</v>
      </c>
      <c r="D57" s="203"/>
      <c r="E57" s="232">
        <f>SUM(E51:E56)</f>
        <v>153127</v>
      </c>
      <c r="F57" s="232"/>
      <c r="G57" s="232"/>
      <c r="H57" s="232"/>
      <c r="I57" s="236"/>
    </row>
    <row r="58" spans="1:9" ht="34.5" customHeight="1">
      <c r="A58" s="787" t="s">
        <v>70</v>
      </c>
      <c r="B58" s="234"/>
      <c r="C58" s="202" t="s">
        <v>71</v>
      </c>
      <c r="D58" s="203"/>
      <c r="E58" s="232">
        <f>복리후생비!G15</f>
        <v>63000</v>
      </c>
      <c r="F58" s="232"/>
      <c r="G58" s="232"/>
      <c r="H58" s="232"/>
      <c r="I58" s="235" t="s">
        <v>72</v>
      </c>
    </row>
    <row r="59" spans="1:9" ht="34.5" customHeight="1">
      <c r="A59" s="789"/>
      <c r="B59" s="234"/>
      <c r="C59" s="330" t="s">
        <v>4</v>
      </c>
      <c r="D59" s="203"/>
      <c r="E59" s="232">
        <f>SUM(E58:E58)</f>
        <v>63000</v>
      </c>
      <c r="F59" s="232"/>
      <c r="G59" s="232"/>
      <c r="H59" s="232"/>
      <c r="I59" s="237"/>
    </row>
    <row r="60" spans="1:9" ht="34.5" customHeight="1">
      <c r="A60" s="778" t="s">
        <v>553</v>
      </c>
      <c r="B60" s="790"/>
      <c r="C60" s="790"/>
      <c r="D60" s="791"/>
      <c r="E60" s="232">
        <f>'지방소득세(종업원분)'!J16</f>
        <v>0</v>
      </c>
      <c r="F60" s="232"/>
      <c r="G60" s="232"/>
      <c r="H60" s="232"/>
      <c r="I60" s="237" t="s">
        <v>259</v>
      </c>
    </row>
    <row r="61" spans="1:9" ht="34.5" customHeight="1">
      <c r="A61" s="778" t="s">
        <v>554</v>
      </c>
      <c r="B61" s="779"/>
      <c r="C61" s="779"/>
      <c r="D61" s="780"/>
      <c r="E61" s="232">
        <f>교육비!J15</f>
        <v>0</v>
      </c>
      <c r="F61" s="232"/>
      <c r="G61" s="232"/>
      <c r="H61" s="232"/>
      <c r="I61" s="467" t="s">
        <v>15</v>
      </c>
    </row>
    <row r="62" spans="1:9" ht="39.75" customHeight="1">
      <c r="A62" s="233" t="s">
        <v>208</v>
      </c>
      <c r="B62" s="201"/>
      <c r="C62" s="234"/>
      <c r="D62" s="203"/>
      <c r="E62" s="232">
        <f>SUM(E57,E59,E60,E61)</f>
        <v>216127</v>
      </c>
      <c r="F62" s="232"/>
      <c r="G62" s="232"/>
      <c r="H62" s="232"/>
      <c r="I62" s="1"/>
    </row>
    <row r="63" ht="24.75" customHeight="1">
      <c r="A63" s="204" t="str">
        <f>"주 1) 보험료 : "&amp;보험료!$A$1&amp;보험료!$A$2&amp;" 참조"</f>
        <v>주 1) 보험료 : &lt; 표 : 12 &gt; 보험료산출표 참조</v>
      </c>
    </row>
    <row r="64" ht="24.75" customHeight="1">
      <c r="A64" s="204" t="str">
        <f>"   2) 복리후생비 : "&amp;복리후생비!$A$1&amp;복리후생비!$A$2&amp;" 참조"</f>
        <v>   2) 복리후생비 : &lt; 표 : 15 &gt; 복리후생비집계표 참조</v>
      </c>
    </row>
    <row r="65" ht="24.75" customHeight="1">
      <c r="A65" s="204" t="str">
        <f>"   3) 지방소득세(종업원분) : "&amp;'지방소득세(종업원분)'!$A$1&amp;'지방소득세(종업원분)'!$A$2&amp;" 참조"</f>
        <v>   3) 지방소득세(종업원분) : &lt; 표 : 17 &gt; 지방소득세(종업원분)산출표 참조</v>
      </c>
    </row>
    <row r="66" ht="24.75" customHeight="1">
      <c r="A66" s="204" t="str">
        <f>"   4) 교육비 : "&amp;교육비!$A$1&amp;교육비!$A$2&amp;" 참조"</f>
        <v>   4) 교육비 : &lt; 표 : 18 &gt; 교육비산출표 참조</v>
      </c>
    </row>
  </sheetData>
  <sheetProtection/>
  <mergeCells count="18">
    <mergeCell ref="A17:D17"/>
    <mergeCell ref="A51:A57"/>
    <mergeCell ref="A58:A59"/>
    <mergeCell ref="A60:D60"/>
    <mergeCell ref="A61:D61"/>
    <mergeCell ref="A36:A37"/>
    <mergeCell ref="A38:D38"/>
    <mergeCell ref="A49:D50"/>
    <mergeCell ref="I49:I50"/>
    <mergeCell ref="A39:D39"/>
    <mergeCell ref="I5:I6"/>
    <mergeCell ref="A27:D28"/>
    <mergeCell ref="I27:I28"/>
    <mergeCell ref="A29:A35"/>
    <mergeCell ref="A14:A15"/>
    <mergeCell ref="A7:A13"/>
    <mergeCell ref="A16:D16"/>
    <mergeCell ref="A5:D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&amp;P+27 -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1"/>
  <sheetViews>
    <sheetView showGridLines="0" showZeros="0" view="pageBreakPreview" zoomScaleSheetLayoutView="100" zoomScalePageLayoutView="0" workbookViewId="0" topLeftCell="A174">
      <selection activeCell="L177" sqref="L177"/>
    </sheetView>
  </sheetViews>
  <sheetFormatPr defaultColWidth="9.140625" defaultRowHeight="12"/>
  <cols>
    <col min="1" max="1" width="1.7109375" style="151" customWidth="1"/>
    <col min="2" max="2" width="19.7109375" style="151" customWidth="1"/>
    <col min="3" max="3" width="1.7109375" style="151" customWidth="1"/>
    <col min="4" max="4" width="11.7109375" style="182" customWidth="1"/>
    <col min="5" max="5" width="11.7109375" style="33" customWidth="1"/>
    <col min="6" max="6" width="9.7109375" style="33" customWidth="1"/>
    <col min="7" max="7" width="11.7109375" style="33" customWidth="1"/>
    <col min="8" max="8" width="7.7109375" style="33" customWidth="1"/>
    <col min="9" max="9" width="10.7109375" style="33" customWidth="1"/>
    <col min="10" max="10" width="9.00390625" style="10" customWidth="1"/>
    <col min="11" max="16384" width="9.140625" style="152" customWidth="1"/>
  </cols>
  <sheetData>
    <row r="1" spans="1:4" ht="19.5" customHeight="1">
      <c r="A1" s="222" t="s">
        <v>469</v>
      </c>
      <c r="B1" s="223"/>
      <c r="C1" s="223"/>
      <c r="D1" s="222"/>
    </row>
    <row r="2" spans="1:10" s="168" customFormat="1" ht="39.75" customHeight="1">
      <c r="A2" s="165" t="s">
        <v>254</v>
      </c>
      <c r="B2" s="225"/>
      <c r="C2" s="225"/>
      <c r="D2" s="224"/>
      <c r="E2" s="153"/>
      <c r="F2" s="30"/>
      <c r="G2" s="153"/>
      <c r="H2" s="153"/>
      <c r="I2" s="153"/>
      <c r="J2" s="166"/>
    </row>
    <row r="3" spans="1:10" s="168" customFormat="1" ht="19.5" customHeight="1">
      <c r="A3" s="225"/>
      <c r="B3" s="225"/>
      <c r="C3" s="225"/>
      <c r="D3" s="224"/>
      <c r="E3" s="153"/>
      <c r="F3" s="30"/>
      <c r="G3" s="153"/>
      <c r="H3" s="153"/>
      <c r="I3" s="153"/>
      <c r="J3" s="166"/>
    </row>
    <row r="4" spans="1:10" ht="19.5" customHeight="1">
      <c r="A4" s="169" t="str">
        <f>원가!A4</f>
        <v>구 분 : 전기반장                       직종명 : 전기기능사</v>
      </c>
      <c r="B4" s="170"/>
      <c r="C4" s="170"/>
      <c r="D4" s="169"/>
      <c r="I4" s="226"/>
      <c r="J4" s="226" t="s">
        <v>39</v>
      </c>
    </row>
    <row r="5" spans="1:10" ht="24.75" customHeight="1">
      <c r="A5" s="730" t="s">
        <v>73</v>
      </c>
      <c r="B5" s="714"/>
      <c r="C5" s="731"/>
      <c r="D5" s="712" t="s">
        <v>74</v>
      </c>
      <c r="E5" s="729"/>
      <c r="F5" s="729"/>
      <c r="G5" s="713"/>
      <c r="H5" s="792" t="s">
        <v>249</v>
      </c>
      <c r="I5" s="757" t="s">
        <v>75</v>
      </c>
      <c r="J5" s="716" t="s">
        <v>76</v>
      </c>
    </row>
    <row r="6" spans="1:10" ht="24.75" customHeight="1">
      <c r="A6" s="732"/>
      <c r="B6" s="733"/>
      <c r="C6" s="734"/>
      <c r="D6" s="156" t="s">
        <v>77</v>
      </c>
      <c r="E6" s="36" t="s">
        <v>78</v>
      </c>
      <c r="F6" s="36" t="s">
        <v>79</v>
      </c>
      <c r="G6" s="36" t="s">
        <v>58</v>
      </c>
      <c r="H6" s="793"/>
      <c r="I6" s="762"/>
      <c r="J6" s="749"/>
    </row>
    <row r="7" spans="1:10" ht="19.5" customHeight="1">
      <c r="A7" s="5"/>
      <c r="B7" s="11"/>
      <c r="C7" s="4"/>
      <c r="D7" s="9"/>
      <c r="E7" s="185"/>
      <c r="F7" s="185"/>
      <c r="G7" s="15"/>
      <c r="H7" s="325"/>
      <c r="I7" s="185"/>
      <c r="J7" s="9"/>
    </row>
    <row r="8" spans="1:10" ht="39.75" customHeight="1">
      <c r="A8" s="174"/>
      <c r="B8" s="10"/>
      <c r="C8" s="164"/>
      <c r="D8" s="8"/>
      <c r="E8" s="35"/>
      <c r="F8" s="35"/>
      <c r="G8" s="42"/>
      <c r="H8" s="328" t="s">
        <v>3</v>
      </c>
      <c r="I8" s="35"/>
      <c r="J8" s="8"/>
    </row>
    <row r="9" spans="1:10" ht="39.75" customHeight="1">
      <c r="A9" s="326"/>
      <c r="B9" s="189" t="s">
        <v>30</v>
      </c>
      <c r="C9" s="175"/>
      <c r="D9" s="331">
        <f>인집!G7</f>
        <v>1412229</v>
      </c>
      <c r="E9" s="331">
        <f>인집!H7</f>
        <v>148654</v>
      </c>
      <c r="F9" s="331">
        <f>인집!I7</f>
        <v>470743</v>
      </c>
      <c r="G9" s="332">
        <f>SUM(D9:F9)</f>
        <v>2031626</v>
      </c>
      <c r="H9" s="340">
        <f>보험료산출기준!$I$7</f>
        <v>2.1</v>
      </c>
      <c r="I9" s="333">
        <f>TRUNC(G9*H9%,0)</f>
        <v>42664</v>
      </c>
      <c r="J9" s="35"/>
    </row>
    <row r="10" spans="1:10" ht="39.75" customHeight="1">
      <c r="A10" s="174"/>
      <c r="B10" s="189" t="s">
        <v>80</v>
      </c>
      <c r="C10" s="164"/>
      <c r="D10" s="331">
        <f aca="true" t="shared" si="0" ref="D10:F12">D9</f>
        <v>1412229</v>
      </c>
      <c r="E10" s="331">
        <f t="shared" si="0"/>
        <v>148654</v>
      </c>
      <c r="F10" s="331">
        <f t="shared" si="0"/>
        <v>470743</v>
      </c>
      <c r="G10" s="332">
        <f>SUM(D10:F10)</f>
        <v>2031626</v>
      </c>
      <c r="H10" s="340">
        <f>보험료산출기준!$I$8</f>
        <v>4.5</v>
      </c>
      <c r="I10" s="333">
        <f>TRUNC(G10*H10%,0)</f>
        <v>91423</v>
      </c>
      <c r="J10" s="35"/>
    </row>
    <row r="11" spans="1:10" ht="39.75" customHeight="1">
      <c r="A11" s="174"/>
      <c r="B11" s="189" t="s">
        <v>81</v>
      </c>
      <c r="C11" s="164"/>
      <c r="D11" s="331">
        <f t="shared" si="0"/>
        <v>1412229</v>
      </c>
      <c r="E11" s="331">
        <f t="shared" si="0"/>
        <v>148654</v>
      </c>
      <c r="F11" s="331">
        <f t="shared" si="0"/>
        <v>470743</v>
      </c>
      <c r="G11" s="332">
        <f>SUM(D11:F11)</f>
        <v>2031626</v>
      </c>
      <c r="H11" s="340">
        <f>보험료산출기준!$I$9</f>
        <v>0.7</v>
      </c>
      <c r="I11" s="333">
        <f>TRUNC(G11*H11%,0)</f>
        <v>14221</v>
      </c>
      <c r="J11" s="35"/>
    </row>
    <row r="12" spans="1:10" ht="39.75" customHeight="1">
      <c r="A12" s="174"/>
      <c r="B12" s="189" t="s">
        <v>82</v>
      </c>
      <c r="C12" s="164"/>
      <c r="D12" s="331">
        <f t="shared" si="0"/>
        <v>1412229</v>
      </c>
      <c r="E12" s="331">
        <f t="shared" si="0"/>
        <v>148654</v>
      </c>
      <c r="F12" s="331">
        <f t="shared" si="0"/>
        <v>470743</v>
      </c>
      <c r="G12" s="332">
        <f>SUM(D12:F12)</f>
        <v>2031626</v>
      </c>
      <c r="H12" s="340">
        <v>2.665</v>
      </c>
      <c r="I12" s="333">
        <f>TRUNC(G12*H12%,0)</f>
        <v>54142</v>
      </c>
      <c r="J12" s="35"/>
    </row>
    <row r="13" spans="1:10" ht="39.75" customHeight="1">
      <c r="A13" s="174"/>
      <c r="B13" s="189" t="s">
        <v>307</v>
      </c>
      <c r="C13" s="164"/>
      <c r="D13" s="331"/>
      <c r="E13" s="331"/>
      <c r="F13" s="331"/>
      <c r="G13" s="331"/>
      <c r="H13" s="340">
        <v>6.55</v>
      </c>
      <c r="I13" s="333">
        <f>TRUNC(I12*H13%,0)</f>
        <v>3546</v>
      </c>
      <c r="J13" s="35" t="s">
        <v>259</v>
      </c>
    </row>
    <row r="14" spans="1:10" ht="39.75" customHeight="1">
      <c r="A14" s="20"/>
      <c r="B14" s="329" t="s">
        <v>83</v>
      </c>
      <c r="C14" s="19"/>
      <c r="D14" s="331">
        <f>D12</f>
        <v>1412229</v>
      </c>
      <c r="E14" s="331">
        <f>E12</f>
        <v>148654</v>
      </c>
      <c r="F14" s="331">
        <f>F12</f>
        <v>470743</v>
      </c>
      <c r="G14" s="332">
        <f>SUM(D14:F14)</f>
        <v>2031626</v>
      </c>
      <c r="H14" s="340">
        <v>0.08</v>
      </c>
      <c r="I14" s="333">
        <f>TRUNC(G14*H14%,0)</f>
        <v>1625</v>
      </c>
      <c r="J14" s="35"/>
    </row>
    <row r="15" spans="1:10" ht="19.5" customHeight="1">
      <c r="A15" s="18"/>
      <c r="B15" s="327"/>
      <c r="C15" s="17"/>
      <c r="D15" s="334"/>
      <c r="E15" s="334"/>
      <c r="F15" s="334"/>
      <c r="G15" s="335"/>
      <c r="H15" s="350"/>
      <c r="I15" s="336"/>
      <c r="J15" s="36"/>
    </row>
    <row r="16" spans="1:10" ht="45" customHeight="1">
      <c r="A16" s="38"/>
      <c r="B16" s="39" t="s">
        <v>208</v>
      </c>
      <c r="C16" s="40"/>
      <c r="D16" s="337"/>
      <c r="E16" s="338"/>
      <c r="F16" s="338"/>
      <c r="G16" s="339"/>
      <c r="H16" s="339"/>
      <c r="I16" s="338">
        <f>SUM(I9:I15)</f>
        <v>207621</v>
      </c>
      <c r="J16" s="227"/>
    </row>
    <row r="17" spans="1:10" s="181" customFormat="1" ht="24.75" customHeight="1">
      <c r="A17" s="228" t="str">
        <f>"주 1) 적용대상액 : "&amp;인집!$A$1&amp;인집!$A$2&amp;" 참조"</f>
        <v>주 1) 적용대상액 : &lt; 표 : 4 &gt; 단위당인건비집계표 참조</v>
      </c>
      <c r="C17" s="228"/>
      <c r="D17" s="228"/>
      <c r="E17" s="179"/>
      <c r="F17" s="179"/>
      <c r="G17" s="180"/>
      <c r="H17" s="180"/>
      <c r="I17" s="180"/>
      <c r="J17" s="229"/>
    </row>
    <row r="18" spans="1:10" s="181" customFormat="1" ht="24.75" customHeight="1">
      <c r="A18" s="228" t="str">
        <f>"   2) 비율(%) : "&amp;보험료산출기준!$A$1&amp;보험료산출기준!$A$2&amp;" 참조"</f>
        <v>   2) 비율(%) : &lt; 표 : 13 &gt; 보험료산정기준표 참조</v>
      </c>
      <c r="C18" s="228"/>
      <c r="D18" s="228"/>
      <c r="E18" s="179"/>
      <c r="F18" s="179"/>
      <c r="G18" s="180"/>
      <c r="H18" s="180"/>
      <c r="I18" s="180"/>
      <c r="J18" s="229"/>
    </row>
    <row r="19" spans="1:9" s="181" customFormat="1" ht="24.75" customHeight="1">
      <c r="A19" s="253" t="s">
        <v>283</v>
      </c>
      <c r="C19" s="228"/>
      <c r="D19" s="230"/>
      <c r="E19" s="160"/>
      <c r="F19" s="160"/>
      <c r="G19" s="159"/>
      <c r="H19" s="159"/>
      <c r="I19" s="159"/>
    </row>
    <row r="20" spans="1:9" s="181" customFormat="1" ht="24.75" customHeight="1">
      <c r="A20" s="253"/>
      <c r="C20" s="228"/>
      <c r="D20" s="230"/>
      <c r="E20" s="160"/>
      <c r="F20" s="160"/>
      <c r="G20" s="159"/>
      <c r="H20" s="159"/>
      <c r="I20" s="159"/>
    </row>
    <row r="21" spans="1:9" s="181" customFormat="1" ht="24.75" customHeight="1">
      <c r="A21" s="253"/>
      <c r="C21" s="228"/>
      <c r="D21" s="230"/>
      <c r="E21" s="160"/>
      <c r="F21" s="160"/>
      <c r="G21" s="159"/>
      <c r="H21" s="159"/>
      <c r="I21" s="159"/>
    </row>
    <row r="22" spans="1:9" s="181" customFormat="1" ht="24.75" customHeight="1">
      <c r="A22" s="253"/>
      <c r="C22" s="228"/>
      <c r="D22" s="230"/>
      <c r="E22" s="160"/>
      <c r="F22" s="160"/>
      <c r="G22" s="159"/>
      <c r="H22" s="159"/>
      <c r="I22" s="159"/>
    </row>
    <row r="23" spans="1:4" ht="19.5" customHeight="1">
      <c r="A23" s="223"/>
      <c r="B23" s="223"/>
      <c r="C23" s="223"/>
      <c r="D23" s="222"/>
    </row>
    <row r="24" spans="1:10" ht="19.5" customHeight="1">
      <c r="A24" s="169" t="str">
        <f>원가!A37</f>
        <v>구 분 : 전기기사                       직종명 : 전기정비공</v>
      </c>
      <c r="B24" s="170"/>
      <c r="C24" s="170"/>
      <c r="D24" s="169"/>
      <c r="I24" s="226"/>
      <c r="J24" s="226" t="s">
        <v>39</v>
      </c>
    </row>
    <row r="25" spans="1:10" ht="24.75" customHeight="1">
      <c r="A25" s="730" t="s">
        <v>73</v>
      </c>
      <c r="B25" s="714"/>
      <c r="C25" s="731"/>
      <c r="D25" s="712" t="s">
        <v>74</v>
      </c>
      <c r="E25" s="729"/>
      <c r="F25" s="729"/>
      <c r="G25" s="713"/>
      <c r="H25" s="792" t="s">
        <v>249</v>
      </c>
      <c r="I25" s="757" t="s">
        <v>75</v>
      </c>
      <c r="J25" s="716" t="s">
        <v>76</v>
      </c>
    </row>
    <row r="26" spans="1:10" ht="24.75" customHeight="1">
      <c r="A26" s="732"/>
      <c r="B26" s="733"/>
      <c r="C26" s="734"/>
      <c r="D26" s="156" t="s">
        <v>77</v>
      </c>
      <c r="E26" s="36" t="s">
        <v>78</v>
      </c>
      <c r="F26" s="36" t="s">
        <v>79</v>
      </c>
      <c r="G26" s="36" t="s">
        <v>58</v>
      </c>
      <c r="H26" s="793"/>
      <c r="I26" s="762"/>
      <c r="J26" s="749"/>
    </row>
    <row r="27" spans="1:10" ht="19.5" customHeight="1">
      <c r="A27" s="5"/>
      <c r="B27" s="11"/>
      <c r="C27" s="4"/>
      <c r="D27" s="9"/>
      <c r="E27" s="185"/>
      <c r="F27" s="185"/>
      <c r="G27" s="15"/>
      <c r="H27" s="325"/>
      <c r="I27" s="185"/>
      <c r="J27" s="9"/>
    </row>
    <row r="28" spans="1:10" ht="39.75" customHeight="1">
      <c r="A28" s="174"/>
      <c r="B28" s="10"/>
      <c r="C28" s="164"/>
      <c r="D28" s="8"/>
      <c r="E28" s="35"/>
      <c r="F28" s="35"/>
      <c r="G28" s="42"/>
      <c r="H28" s="328" t="s">
        <v>3</v>
      </c>
      <c r="I28" s="35"/>
      <c r="J28" s="8"/>
    </row>
    <row r="29" spans="1:10" ht="39.75" customHeight="1">
      <c r="A29" s="326"/>
      <c r="B29" s="189" t="s">
        <v>30</v>
      </c>
      <c r="C29" s="175"/>
      <c r="D29" s="331">
        <f>인집!G8</f>
        <v>1347024</v>
      </c>
      <c r="E29" s="331">
        <f>인집!H8</f>
        <v>148783</v>
      </c>
      <c r="F29" s="331">
        <f>인집!I8</f>
        <v>449008</v>
      </c>
      <c r="G29" s="332">
        <f>SUM(D29:F29)</f>
        <v>1944815</v>
      </c>
      <c r="H29" s="340">
        <f>보험료산출기준!$I$7</f>
        <v>2.1</v>
      </c>
      <c r="I29" s="333">
        <f>TRUNC(G29*H29%,0)</f>
        <v>40841</v>
      </c>
      <c r="J29" s="35"/>
    </row>
    <row r="30" spans="1:10" ht="39.75" customHeight="1">
      <c r="A30" s="174"/>
      <c r="B30" s="189" t="s">
        <v>80</v>
      </c>
      <c r="C30" s="164"/>
      <c r="D30" s="331">
        <f aca="true" t="shared" si="1" ref="D30:F32">D29</f>
        <v>1347024</v>
      </c>
      <c r="E30" s="331">
        <f t="shared" si="1"/>
        <v>148783</v>
      </c>
      <c r="F30" s="331">
        <f t="shared" si="1"/>
        <v>449008</v>
      </c>
      <c r="G30" s="332">
        <f>SUM(D30:F30)</f>
        <v>1944815</v>
      </c>
      <c r="H30" s="340">
        <f>보험료산출기준!$I$8</f>
        <v>4.5</v>
      </c>
      <c r="I30" s="333">
        <f>TRUNC(G30*H30%,0)</f>
        <v>87516</v>
      </c>
      <c r="J30" s="35"/>
    </row>
    <row r="31" spans="1:10" ht="39.75" customHeight="1">
      <c r="A31" s="174"/>
      <c r="B31" s="189" t="s">
        <v>81</v>
      </c>
      <c r="C31" s="164"/>
      <c r="D31" s="331">
        <f t="shared" si="1"/>
        <v>1347024</v>
      </c>
      <c r="E31" s="331">
        <f t="shared" si="1"/>
        <v>148783</v>
      </c>
      <c r="F31" s="331">
        <f t="shared" si="1"/>
        <v>449008</v>
      </c>
      <c r="G31" s="332">
        <f>SUM(D31:F31)</f>
        <v>1944815</v>
      </c>
      <c r="H31" s="340">
        <f>보험료산출기준!$I$9</f>
        <v>0.7</v>
      </c>
      <c r="I31" s="333">
        <f>TRUNC(G31*H31%,0)</f>
        <v>13613</v>
      </c>
      <c r="J31" s="35"/>
    </row>
    <row r="32" spans="1:10" ht="39.75" customHeight="1">
      <c r="A32" s="174"/>
      <c r="B32" s="189" t="s">
        <v>82</v>
      </c>
      <c r="C32" s="164"/>
      <c r="D32" s="331">
        <f t="shared" si="1"/>
        <v>1347024</v>
      </c>
      <c r="E32" s="331">
        <f t="shared" si="1"/>
        <v>148783</v>
      </c>
      <c r="F32" s="331">
        <f t="shared" si="1"/>
        <v>449008</v>
      </c>
      <c r="G32" s="332">
        <f>SUM(D32:F32)</f>
        <v>1944815</v>
      </c>
      <c r="H32" s="340">
        <v>2.665</v>
      </c>
      <c r="I32" s="333">
        <f>TRUNC(G32*H32%,0)</f>
        <v>51829</v>
      </c>
      <c r="J32" s="35"/>
    </row>
    <row r="33" spans="1:10" ht="39.75" customHeight="1">
      <c r="A33" s="174"/>
      <c r="B33" s="189" t="s">
        <v>307</v>
      </c>
      <c r="C33" s="164"/>
      <c r="D33" s="331"/>
      <c r="E33" s="331"/>
      <c r="F33" s="331"/>
      <c r="G33" s="331"/>
      <c r="H33" s="340">
        <v>6.55</v>
      </c>
      <c r="I33" s="333">
        <f>TRUNC(I32*H33%,0)</f>
        <v>3394</v>
      </c>
      <c r="J33" s="35" t="s">
        <v>259</v>
      </c>
    </row>
    <row r="34" spans="1:10" ht="39.75" customHeight="1">
      <c r="A34" s="20"/>
      <c r="B34" s="329" t="s">
        <v>83</v>
      </c>
      <c r="C34" s="19"/>
      <c r="D34" s="331">
        <f>D32</f>
        <v>1347024</v>
      </c>
      <c r="E34" s="331">
        <f>E32</f>
        <v>148783</v>
      </c>
      <c r="F34" s="331">
        <f>F32</f>
        <v>449008</v>
      </c>
      <c r="G34" s="332">
        <f>SUM(D34:F34)</f>
        <v>1944815</v>
      </c>
      <c r="H34" s="340">
        <v>0.08</v>
      </c>
      <c r="I34" s="333">
        <f>TRUNC(G34*H34%,0)</f>
        <v>1555</v>
      </c>
      <c r="J34" s="35"/>
    </row>
    <row r="35" spans="1:10" ht="19.5" customHeight="1">
      <c r="A35" s="18"/>
      <c r="B35" s="327"/>
      <c r="C35" s="17"/>
      <c r="D35" s="334"/>
      <c r="E35" s="334"/>
      <c r="F35" s="334"/>
      <c r="G35" s="335"/>
      <c r="H35" s="350"/>
      <c r="I35" s="336"/>
      <c r="J35" s="36"/>
    </row>
    <row r="36" spans="1:10" ht="45" customHeight="1">
      <c r="A36" s="38"/>
      <c r="B36" s="39" t="s">
        <v>208</v>
      </c>
      <c r="C36" s="40"/>
      <c r="D36" s="337"/>
      <c r="E36" s="338"/>
      <c r="F36" s="338"/>
      <c r="G36" s="339"/>
      <c r="H36" s="339"/>
      <c r="I36" s="338">
        <f>SUM(I29:I35)</f>
        <v>198748</v>
      </c>
      <c r="J36" s="227"/>
    </row>
    <row r="37" spans="1:10" s="181" customFormat="1" ht="24.75" customHeight="1">
      <c r="A37" s="228" t="str">
        <f>"주 1) 적용대상액 : "&amp;인집!$A$1&amp;인집!$A$2&amp;" 참조"</f>
        <v>주 1) 적용대상액 : &lt; 표 : 4 &gt; 단위당인건비집계표 참조</v>
      </c>
      <c r="C37" s="228"/>
      <c r="D37" s="228"/>
      <c r="E37" s="179"/>
      <c r="F37" s="179"/>
      <c r="G37" s="180"/>
      <c r="H37" s="180"/>
      <c r="I37" s="180"/>
      <c r="J37" s="229"/>
    </row>
    <row r="38" spans="1:10" s="181" customFormat="1" ht="24.75" customHeight="1">
      <c r="A38" s="228" t="str">
        <f>"   2) 비율(%) : "&amp;보험료산출기준!$A$1&amp;보험료산출기준!$A$2&amp;" 참조"</f>
        <v>   2) 비율(%) : &lt; 표 : 13 &gt; 보험료산정기준표 참조</v>
      </c>
      <c r="C38" s="228"/>
      <c r="D38" s="228"/>
      <c r="E38" s="179"/>
      <c r="F38" s="179"/>
      <c r="G38" s="180"/>
      <c r="H38" s="180"/>
      <c r="I38" s="180"/>
      <c r="J38" s="229"/>
    </row>
    <row r="39" spans="1:9" s="181" customFormat="1" ht="24.75" customHeight="1">
      <c r="A39" s="253" t="s">
        <v>283</v>
      </c>
      <c r="C39" s="228"/>
      <c r="D39" s="230"/>
      <c r="E39" s="160"/>
      <c r="F39" s="160"/>
      <c r="G39" s="159"/>
      <c r="H39" s="159"/>
      <c r="I39" s="159"/>
    </row>
    <row r="40" spans="1:9" s="181" customFormat="1" ht="24.75" customHeight="1">
      <c r="A40" s="253"/>
      <c r="C40" s="228"/>
      <c r="D40" s="230"/>
      <c r="E40" s="160"/>
      <c r="F40" s="160"/>
      <c r="G40" s="159"/>
      <c r="H40" s="159"/>
      <c r="I40" s="159"/>
    </row>
    <row r="41" spans="1:9" s="181" customFormat="1" ht="24.75" customHeight="1">
      <c r="A41" s="253"/>
      <c r="C41" s="228"/>
      <c r="D41" s="230"/>
      <c r="E41" s="160"/>
      <c r="F41" s="160"/>
      <c r="G41" s="159"/>
      <c r="H41" s="159"/>
      <c r="I41" s="159"/>
    </row>
    <row r="42" spans="1:9" s="181" customFormat="1" ht="24.75" customHeight="1">
      <c r="A42" s="253"/>
      <c r="C42" s="228"/>
      <c r="D42" s="230"/>
      <c r="E42" s="160"/>
      <c r="F42" s="160"/>
      <c r="G42" s="159"/>
      <c r="H42" s="159"/>
      <c r="I42" s="159"/>
    </row>
    <row r="43" spans="1:4" ht="19.5" customHeight="1">
      <c r="A43" s="223"/>
      <c r="B43" s="223"/>
      <c r="C43" s="223"/>
      <c r="D43" s="222"/>
    </row>
    <row r="44" spans="1:4" ht="19.5" customHeight="1">
      <c r="A44" s="223"/>
      <c r="B44" s="223"/>
      <c r="C44" s="223"/>
      <c r="D44" s="222"/>
    </row>
    <row r="45" spans="1:10" ht="19.5" customHeight="1">
      <c r="A45" s="169" t="str">
        <f>원가!A70</f>
        <v>구 분 : 기계반장                       직종명 : 보일러공</v>
      </c>
      <c r="B45" s="170"/>
      <c r="C45" s="170"/>
      <c r="D45" s="169"/>
      <c r="I45" s="226"/>
      <c r="J45" s="226" t="s">
        <v>39</v>
      </c>
    </row>
    <row r="46" spans="1:10" ht="24.75" customHeight="1">
      <c r="A46" s="730" t="s">
        <v>73</v>
      </c>
      <c r="B46" s="714"/>
      <c r="C46" s="731"/>
      <c r="D46" s="712" t="s">
        <v>74</v>
      </c>
      <c r="E46" s="729"/>
      <c r="F46" s="729"/>
      <c r="G46" s="713"/>
      <c r="H46" s="792" t="s">
        <v>249</v>
      </c>
      <c r="I46" s="757" t="s">
        <v>75</v>
      </c>
      <c r="J46" s="716" t="s">
        <v>76</v>
      </c>
    </row>
    <row r="47" spans="1:10" ht="24.75" customHeight="1">
      <c r="A47" s="732"/>
      <c r="B47" s="733"/>
      <c r="C47" s="734"/>
      <c r="D47" s="156" t="s">
        <v>77</v>
      </c>
      <c r="E47" s="36" t="s">
        <v>78</v>
      </c>
      <c r="F47" s="36" t="s">
        <v>79</v>
      </c>
      <c r="G47" s="36" t="s">
        <v>58</v>
      </c>
      <c r="H47" s="793"/>
      <c r="I47" s="762"/>
      <c r="J47" s="749"/>
    </row>
    <row r="48" spans="1:10" ht="19.5" customHeight="1">
      <c r="A48" s="5"/>
      <c r="B48" s="11"/>
      <c r="C48" s="4"/>
      <c r="D48" s="9"/>
      <c r="E48" s="185"/>
      <c r="F48" s="185"/>
      <c r="G48" s="15"/>
      <c r="H48" s="325"/>
      <c r="I48" s="185"/>
      <c r="J48" s="9"/>
    </row>
    <row r="49" spans="1:10" ht="39.75" customHeight="1">
      <c r="A49" s="174"/>
      <c r="B49" s="10"/>
      <c r="C49" s="164"/>
      <c r="D49" s="8"/>
      <c r="E49" s="35"/>
      <c r="F49" s="35"/>
      <c r="G49" s="42"/>
      <c r="H49" s="328" t="s">
        <v>3</v>
      </c>
      <c r="I49" s="35"/>
      <c r="J49" s="8"/>
    </row>
    <row r="50" spans="1:10" ht="39.75" customHeight="1">
      <c r="A50" s="326"/>
      <c r="B50" s="189" t="s">
        <v>30</v>
      </c>
      <c r="C50" s="175"/>
      <c r="D50" s="331">
        <f>인집!G9</f>
        <v>1338939</v>
      </c>
      <c r="E50" s="331">
        <f>인집!H9</f>
        <v>147890</v>
      </c>
      <c r="F50" s="331">
        <f>인집!I9</f>
        <v>446313</v>
      </c>
      <c r="G50" s="332">
        <f>SUM(D50:F50)</f>
        <v>1933142</v>
      </c>
      <c r="H50" s="340">
        <f>보험료산출기준!$I$7</f>
        <v>2.1</v>
      </c>
      <c r="I50" s="333">
        <f>TRUNC(G50*H50%,0)</f>
        <v>40595</v>
      </c>
      <c r="J50" s="35"/>
    </row>
    <row r="51" spans="1:10" ht="39.75" customHeight="1">
      <c r="A51" s="174"/>
      <c r="B51" s="189" t="s">
        <v>80</v>
      </c>
      <c r="C51" s="164"/>
      <c r="D51" s="331">
        <f aca="true" t="shared" si="2" ref="D51:F53">D50</f>
        <v>1338939</v>
      </c>
      <c r="E51" s="331">
        <f t="shared" si="2"/>
        <v>147890</v>
      </c>
      <c r="F51" s="331">
        <f t="shared" si="2"/>
        <v>446313</v>
      </c>
      <c r="G51" s="332">
        <f>SUM(D51:F51)</f>
        <v>1933142</v>
      </c>
      <c r="H51" s="340">
        <f>보험료산출기준!$I$8</f>
        <v>4.5</v>
      </c>
      <c r="I51" s="333">
        <f>TRUNC(G51*H51%,0)</f>
        <v>86991</v>
      </c>
      <c r="J51" s="35"/>
    </row>
    <row r="52" spans="1:10" ht="39.75" customHeight="1">
      <c r="A52" s="174"/>
      <c r="B52" s="189" t="s">
        <v>81</v>
      </c>
      <c r="C52" s="164"/>
      <c r="D52" s="331">
        <f t="shared" si="2"/>
        <v>1338939</v>
      </c>
      <c r="E52" s="331">
        <f t="shared" si="2"/>
        <v>147890</v>
      </c>
      <c r="F52" s="331">
        <f t="shared" si="2"/>
        <v>446313</v>
      </c>
      <c r="G52" s="332">
        <f>SUM(D52:F52)</f>
        <v>1933142</v>
      </c>
      <c r="H52" s="340">
        <f>보험료산출기준!$I$9</f>
        <v>0.7</v>
      </c>
      <c r="I52" s="333">
        <f>TRUNC(G52*H52%,0)</f>
        <v>13531</v>
      </c>
      <c r="J52" s="35"/>
    </row>
    <row r="53" spans="1:10" ht="39.75" customHeight="1">
      <c r="A53" s="174"/>
      <c r="B53" s="189" t="s">
        <v>82</v>
      </c>
      <c r="C53" s="164"/>
      <c r="D53" s="331">
        <f t="shared" si="2"/>
        <v>1338939</v>
      </c>
      <c r="E53" s="331">
        <f t="shared" si="2"/>
        <v>147890</v>
      </c>
      <c r="F53" s="331">
        <f t="shared" si="2"/>
        <v>446313</v>
      </c>
      <c r="G53" s="332">
        <f>SUM(D53:F53)</f>
        <v>1933142</v>
      </c>
      <c r="H53" s="340">
        <v>2.665</v>
      </c>
      <c r="I53" s="333">
        <f>TRUNC(G53*H53%,0)</f>
        <v>51518</v>
      </c>
      <c r="J53" s="35"/>
    </row>
    <row r="54" spans="1:10" ht="39.75" customHeight="1">
      <c r="A54" s="174"/>
      <c r="B54" s="189" t="s">
        <v>307</v>
      </c>
      <c r="C54" s="164"/>
      <c r="D54" s="331"/>
      <c r="E54" s="331"/>
      <c r="F54" s="331"/>
      <c r="G54" s="331"/>
      <c r="H54" s="340">
        <v>6.55</v>
      </c>
      <c r="I54" s="333">
        <f>TRUNC(I53*H54%,0)</f>
        <v>3374</v>
      </c>
      <c r="J54" s="35" t="s">
        <v>259</v>
      </c>
    </row>
    <row r="55" spans="1:10" ht="39.75" customHeight="1">
      <c r="A55" s="20"/>
      <c r="B55" s="329" t="s">
        <v>83</v>
      </c>
      <c r="C55" s="19"/>
      <c r="D55" s="331">
        <f>D53</f>
        <v>1338939</v>
      </c>
      <c r="E55" s="331">
        <f>E53</f>
        <v>147890</v>
      </c>
      <c r="F55" s="331">
        <f>F53</f>
        <v>446313</v>
      </c>
      <c r="G55" s="332">
        <f>SUM(D55:F55)</f>
        <v>1933142</v>
      </c>
      <c r="H55" s="340">
        <v>0.08</v>
      </c>
      <c r="I55" s="333">
        <f>TRUNC(G55*H55%,0)</f>
        <v>1546</v>
      </c>
      <c r="J55" s="35"/>
    </row>
    <row r="56" spans="1:10" ht="19.5" customHeight="1">
      <c r="A56" s="18"/>
      <c r="B56" s="327"/>
      <c r="C56" s="17"/>
      <c r="D56" s="334"/>
      <c r="E56" s="334"/>
      <c r="F56" s="334"/>
      <c r="G56" s="335"/>
      <c r="H56" s="350"/>
      <c r="I56" s="336"/>
      <c r="J56" s="36"/>
    </row>
    <row r="57" spans="1:10" ht="45" customHeight="1">
      <c r="A57" s="38"/>
      <c r="B57" s="39" t="s">
        <v>208</v>
      </c>
      <c r="C57" s="40"/>
      <c r="D57" s="337"/>
      <c r="E57" s="338"/>
      <c r="F57" s="338"/>
      <c r="G57" s="339"/>
      <c r="H57" s="339"/>
      <c r="I57" s="338">
        <f>SUM(I50:I56)</f>
        <v>197555</v>
      </c>
      <c r="J57" s="227"/>
    </row>
    <row r="58" spans="1:10" s="181" customFormat="1" ht="24.75" customHeight="1">
      <c r="A58" s="228" t="str">
        <f>"주 1) 적용대상액 : "&amp;인집!$A$1&amp;인집!$A$2&amp;" 참조"</f>
        <v>주 1) 적용대상액 : &lt; 표 : 4 &gt; 단위당인건비집계표 참조</v>
      </c>
      <c r="C58" s="228"/>
      <c r="D58" s="228"/>
      <c r="E58" s="179"/>
      <c r="F58" s="179"/>
      <c r="G58" s="180"/>
      <c r="H58" s="180"/>
      <c r="I58" s="180"/>
      <c r="J58" s="229"/>
    </row>
    <row r="59" spans="1:10" s="181" customFormat="1" ht="24.75" customHeight="1">
      <c r="A59" s="228" t="str">
        <f>"   2) 비율(%) : "&amp;보험료산출기준!$A$1&amp;보험료산출기준!$A$2&amp;" 참조"</f>
        <v>   2) 비율(%) : &lt; 표 : 13 &gt; 보험료산정기준표 참조</v>
      </c>
      <c r="C59" s="228"/>
      <c r="D59" s="228"/>
      <c r="E59" s="179"/>
      <c r="F59" s="179"/>
      <c r="G59" s="180"/>
      <c r="H59" s="180"/>
      <c r="I59" s="180"/>
      <c r="J59" s="229"/>
    </row>
    <row r="60" spans="1:9" s="181" customFormat="1" ht="24.75" customHeight="1">
      <c r="A60" s="253" t="s">
        <v>283</v>
      </c>
      <c r="C60" s="228"/>
      <c r="D60" s="230"/>
      <c r="E60" s="160"/>
      <c r="F60" s="160"/>
      <c r="G60" s="159"/>
      <c r="H60" s="159"/>
      <c r="I60" s="159"/>
    </row>
    <row r="61" spans="1:9" s="181" customFormat="1" ht="24.75" customHeight="1">
      <c r="A61" s="253"/>
      <c r="C61" s="228"/>
      <c r="D61" s="230"/>
      <c r="E61" s="160"/>
      <c r="F61" s="160"/>
      <c r="G61" s="159"/>
      <c r="H61" s="159"/>
      <c r="I61" s="159"/>
    </row>
    <row r="62" spans="1:9" s="181" customFormat="1" ht="24.75" customHeight="1">
      <c r="A62" s="253"/>
      <c r="C62" s="228"/>
      <c r="D62" s="230"/>
      <c r="E62" s="160"/>
      <c r="F62" s="160"/>
      <c r="G62" s="159"/>
      <c r="H62" s="159"/>
      <c r="I62" s="159"/>
    </row>
    <row r="63" spans="1:9" s="181" customFormat="1" ht="24.75" customHeight="1">
      <c r="A63" s="253"/>
      <c r="C63" s="228"/>
      <c r="D63" s="230"/>
      <c r="E63" s="160"/>
      <c r="F63" s="160"/>
      <c r="G63" s="159"/>
      <c r="H63" s="159"/>
      <c r="I63" s="159"/>
    </row>
    <row r="64" spans="1:9" s="181" customFormat="1" ht="24.75" customHeight="1">
      <c r="A64" s="253"/>
      <c r="C64" s="228"/>
      <c r="D64" s="230"/>
      <c r="E64" s="160"/>
      <c r="F64" s="160"/>
      <c r="G64" s="159"/>
      <c r="H64" s="159"/>
      <c r="I64" s="159"/>
    </row>
    <row r="65" spans="1:9" s="181" customFormat="1" ht="19.5" customHeight="1">
      <c r="A65" s="253"/>
      <c r="C65" s="228"/>
      <c r="D65" s="230"/>
      <c r="E65" s="160"/>
      <c r="F65" s="160"/>
      <c r="G65" s="159"/>
      <c r="H65" s="159"/>
      <c r="I65" s="159"/>
    </row>
    <row r="66" spans="1:10" ht="19.5" customHeight="1">
      <c r="A66" s="169" t="str">
        <f>원가!A103</f>
        <v>구 분 : 기계기사                       직종명 : 기계정비공</v>
      </c>
      <c r="B66" s="170"/>
      <c r="C66" s="170"/>
      <c r="D66" s="169"/>
      <c r="I66" s="226"/>
      <c r="J66" s="226" t="s">
        <v>39</v>
      </c>
    </row>
    <row r="67" spans="1:10" ht="24.75" customHeight="1">
      <c r="A67" s="730" t="s">
        <v>73</v>
      </c>
      <c r="B67" s="714"/>
      <c r="C67" s="731"/>
      <c r="D67" s="712" t="s">
        <v>74</v>
      </c>
      <c r="E67" s="729"/>
      <c r="F67" s="729"/>
      <c r="G67" s="713"/>
      <c r="H67" s="792" t="s">
        <v>249</v>
      </c>
      <c r="I67" s="757" t="s">
        <v>75</v>
      </c>
      <c r="J67" s="716" t="s">
        <v>76</v>
      </c>
    </row>
    <row r="68" spans="1:10" ht="24.75" customHeight="1">
      <c r="A68" s="732"/>
      <c r="B68" s="733"/>
      <c r="C68" s="734"/>
      <c r="D68" s="156" t="s">
        <v>77</v>
      </c>
      <c r="E68" s="36" t="s">
        <v>78</v>
      </c>
      <c r="F68" s="36" t="s">
        <v>79</v>
      </c>
      <c r="G68" s="36" t="s">
        <v>58</v>
      </c>
      <c r="H68" s="793"/>
      <c r="I68" s="762"/>
      <c r="J68" s="749"/>
    </row>
    <row r="69" spans="1:10" ht="19.5" customHeight="1">
      <c r="A69" s="5"/>
      <c r="B69" s="11"/>
      <c r="C69" s="4"/>
      <c r="D69" s="9"/>
      <c r="E69" s="185"/>
      <c r="F69" s="185"/>
      <c r="G69" s="15"/>
      <c r="H69" s="325"/>
      <c r="I69" s="185"/>
      <c r="J69" s="9"/>
    </row>
    <row r="70" spans="1:10" ht="39.75" customHeight="1">
      <c r="A70" s="174"/>
      <c r="B70" s="10"/>
      <c r="C70" s="164"/>
      <c r="D70" s="8"/>
      <c r="E70" s="35"/>
      <c r="F70" s="35"/>
      <c r="G70" s="42"/>
      <c r="H70" s="328" t="s">
        <v>3</v>
      </c>
      <c r="I70" s="35"/>
      <c r="J70" s="8"/>
    </row>
    <row r="71" spans="1:10" ht="39.75" customHeight="1">
      <c r="A71" s="326"/>
      <c r="B71" s="189" t="s">
        <v>30</v>
      </c>
      <c r="C71" s="175"/>
      <c r="D71" s="331">
        <f>인집!G10</f>
        <v>1320312</v>
      </c>
      <c r="E71" s="331">
        <f>인집!H10</f>
        <v>145833</v>
      </c>
      <c r="F71" s="331">
        <f>인집!I10</f>
        <v>440104</v>
      </c>
      <c r="G71" s="332">
        <f>SUM(D71:F71)</f>
        <v>1906249</v>
      </c>
      <c r="H71" s="340">
        <f>보험료산출기준!$I$7</f>
        <v>2.1</v>
      </c>
      <c r="I71" s="333">
        <f>TRUNC(G71*H71%,0)</f>
        <v>40031</v>
      </c>
      <c r="J71" s="35"/>
    </row>
    <row r="72" spans="1:10" ht="39.75" customHeight="1">
      <c r="A72" s="174"/>
      <c r="B72" s="189" t="s">
        <v>80</v>
      </c>
      <c r="C72" s="164"/>
      <c r="D72" s="331">
        <f aca="true" t="shared" si="3" ref="D72:F74">D71</f>
        <v>1320312</v>
      </c>
      <c r="E72" s="331">
        <f t="shared" si="3"/>
        <v>145833</v>
      </c>
      <c r="F72" s="331">
        <f t="shared" si="3"/>
        <v>440104</v>
      </c>
      <c r="G72" s="332">
        <f>SUM(D72:F72)</f>
        <v>1906249</v>
      </c>
      <c r="H72" s="340">
        <f>보험료산출기준!$I$8</f>
        <v>4.5</v>
      </c>
      <c r="I72" s="333">
        <f>TRUNC(G72*H72%,0)</f>
        <v>85781</v>
      </c>
      <c r="J72" s="35"/>
    </row>
    <row r="73" spans="1:10" ht="39.75" customHeight="1">
      <c r="A73" s="174"/>
      <c r="B73" s="189" t="s">
        <v>81</v>
      </c>
      <c r="C73" s="164"/>
      <c r="D73" s="331">
        <f t="shared" si="3"/>
        <v>1320312</v>
      </c>
      <c r="E73" s="331">
        <f t="shared" si="3"/>
        <v>145833</v>
      </c>
      <c r="F73" s="331">
        <f t="shared" si="3"/>
        <v>440104</v>
      </c>
      <c r="G73" s="332">
        <f>SUM(D73:F73)</f>
        <v>1906249</v>
      </c>
      <c r="H73" s="340">
        <f>보험료산출기준!$I$9</f>
        <v>0.7</v>
      </c>
      <c r="I73" s="333">
        <f>TRUNC(G73*H73%,0)</f>
        <v>13343</v>
      </c>
      <c r="J73" s="35"/>
    </row>
    <row r="74" spans="1:10" ht="39.75" customHeight="1">
      <c r="A74" s="174"/>
      <c r="B74" s="189" t="s">
        <v>82</v>
      </c>
      <c r="C74" s="164"/>
      <c r="D74" s="331">
        <f t="shared" si="3"/>
        <v>1320312</v>
      </c>
      <c r="E74" s="331">
        <f t="shared" si="3"/>
        <v>145833</v>
      </c>
      <c r="F74" s="331">
        <f t="shared" si="3"/>
        <v>440104</v>
      </c>
      <c r="G74" s="332">
        <f>SUM(D74:F74)</f>
        <v>1906249</v>
      </c>
      <c r="H74" s="340">
        <v>2.665</v>
      </c>
      <c r="I74" s="333">
        <f>TRUNC(G74*H74%,0)</f>
        <v>50801</v>
      </c>
      <c r="J74" s="35"/>
    </row>
    <row r="75" spans="1:10" ht="39.75" customHeight="1">
      <c r="A75" s="174"/>
      <c r="B75" s="189" t="s">
        <v>307</v>
      </c>
      <c r="C75" s="164"/>
      <c r="D75" s="331"/>
      <c r="E75" s="331"/>
      <c r="F75" s="331"/>
      <c r="G75" s="331"/>
      <c r="H75" s="340">
        <v>6.55</v>
      </c>
      <c r="I75" s="333">
        <f>TRUNC(I74*H75%,0)</f>
        <v>3327</v>
      </c>
      <c r="J75" s="35" t="s">
        <v>259</v>
      </c>
    </row>
    <row r="76" spans="1:10" ht="39.75" customHeight="1">
      <c r="A76" s="20"/>
      <c r="B76" s="329" t="s">
        <v>83</v>
      </c>
      <c r="C76" s="19"/>
      <c r="D76" s="331">
        <f>D74</f>
        <v>1320312</v>
      </c>
      <c r="E76" s="331">
        <f>E74</f>
        <v>145833</v>
      </c>
      <c r="F76" s="331">
        <f>F74</f>
        <v>440104</v>
      </c>
      <c r="G76" s="332">
        <f>SUM(D76:F76)</f>
        <v>1906249</v>
      </c>
      <c r="H76" s="340">
        <v>0.08</v>
      </c>
      <c r="I76" s="333">
        <f>TRUNC(G76*H76%,0)</f>
        <v>1524</v>
      </c>
      <c r="J76" s="35"/>
    </row>
    <row r="77" spans="1:10" ht="19.5" customHeight="1">
      <c r="A77" s="18"/>
      <c r="B77" s="327"/>
      <c r="C77" s="17"/>
      <c r="D77" s="334"/>
      <c r="E77" s="334"/>
      <c r="F77" s="334"/>
      <c r="G77" s="335"/>
      <c r="H77" s="350"/>
      <c r="I77" s="336"/>
      <c r="J77" s="36"/>
    </row>
    <row r="78" spans="1:10" ht="45" customHeight="1">
      <c r="A78" s="38"/>
      <c r="B78" s="39" t="s">
        <v>208</v>
      </c>
      <c r="C78" s="40"/>
      <c r="D78" s="337"/>
      <c r="E78" s="338"/>
      <c r="F78" s="338"/>
      <c r="G78" s="339"/>
      <c r="H78" s="339"/>
      <c r="I78" s="338">
        <f>SUM(I71:I77)</f>
        <v>194807</v>
      </c>
      <c r="J78" s="227"/>
    </row>
    <row r="79" spans="1:10" s="181" customFormat="1" ht="24.75" customHeight="1">
      <c r="A79" s="228" t="str">
        <f>"주 1) 적용대상액 : "&amp;인집!$A$1&amp;인집!$A$2&amp;" 참조"</f>
        <v>주 1) 적용대상액 : &lt; 표 : 4 &gt; 단위당인건비집계표 참조</v>
      </c>
      <c r="C79" s="228"/>
      <c r="D79" s="228"/>
      <c r="E79" s="179"/>
      <c r="F79" s="179"/>
      <c r="G79" s="180"/>
      <c r="H79" s="180"/>
      <c r="I79" s="180"/>
      <c r="J79" s="229"/>
    </row>
    <row r="80" spans="1:10" s="181" customFormat="1" ht="24.75" customHeight="1">
      <c r="A80" s="228" t="str">
        <f>"   2) 비율(%) : "&amp;보험료산출기준!$A$1&amp;보험료산출기준!$A$2&amp;" 참조"</f>
        <v>   2) 비율(%) : &lt; 표 : 13 &gt; 보험료산정기준표 참조</v>
      </c>
      <c r="C80" s="228"/>
      <c r="D80" s="228"/>
      <c r="E80" s="179"/>
      <c r="F80" s="179"/>
      <c r="G80" s="180"/>
      <c r="H80" s="180"/>
      <c r="I80" s="180"/>
      <c r="J80" s="229"/>
    </row>
    <row r="81" spans="1:9" s="181" customFormat="1" ht="24.75" customHeight="1">
      <c r="A81" s="253" t="s">
        <v>283</v>
      </c>
      <c r="C81" s="228"/>
      <c r="D81" s="230"/>
      <c r="E81" s="160"/>
      <c r="F81" s="160"/>
      <c r="G81" s="159"/>
      <c r="H81" s="159"/>
      <c r="I81" s="159"/>
    </row>
    <row r="82" spans="1:9" s="181" customFormat="1" ht="24.75" customHeight="1">
      <c r="A82" s="253"/>
      <c r="C82" s="228"/>
      <c r="D82" s="230"/>
      <c r="E82" s="160"/>
      <c r="F82" s="160"/>
      <c r="G82" s="159"/>
      <c r="H82" s="159"/>
      <c r="I82" s="159"/>
    </row>
    <row r="83" spans="1:9" s="181" customFormat="1" ht="24.75" customHeight="1">
      <c r="A83" s="253"/>
      <c r="C83" s="228"/>
      <c r="D83" s="230"/>
      <c r="E83" s="160"/>
      <c r="F83" s="160"/>
      <c r="G83" s="159"/>
      <c r="H83" s="159"/>
      <c r="I83" s="159"/>
    </row>
    <row r="84" spans="1:9" s="181" customFormat="1" ht="24.75" customHeight="1">
      <c r="A84" s="253"/>
      <c r="C84" s="228"/>
      <c r="D84" s="230"/>
      <c r="E84" s="160"/>
      <c r="F84" s="160"/>
      <c r="G84" s="159"/>
      <c r="H84" s="159"/>
      <c r="I84" s="159"/>
    </row>
    <row r="85" spans="1:9" s="181" customFormat="1" ht="24.75" customHeight="1">
      <c r="A85" s="253"/>
      <c r="C85" s="228"/>
      <c r="D85" s="230"/>
      <c r="E85" s="160"/>
      <c r="F85" s="160"/>
      <c r="G85" s="159"/>
      <c r="H85" s="159"/>
      <c r="I85" s="159"/>
    </row>
    <row r="86" spans="1:9" s="181" customFormat="1" ht="19.5" customHeight="1">
      <c r="A86" s="253"/>
      <c r="C86" s="228"/>
      <c r="D86" s="230"/>
      <c r="E86" s="160"/>
      <c r="F86" s="160"/>
      <c r="G86" s="159"/>
      <c r="H86" s="159"/>
      <c r="I86" s="159"/>
    </row>
    <row r="87" spans="1:10" ht="19.5" customHeight="1">
      <c r="A87" s="169" t="str">
        <f>원가!A136</f>
        <v>구 분 : 미화반장                       직종명 : 보통인부</v>
      </c>
      <c r="B87" s="170"/>
      <c r="C87" s="170"/>
      <c r="D87" s="169"/>
      <c r="I87" s="226"/>
      <c r="J87" s="226" t="s">
        <v>39</v>
      </c>
    </row>
    <row r="88" spans="1:10" ht="24.75" customHeight="1">
      <c r="A88" s="730" t="s">
        <v>73</v>
      </c>
      <c r="B88" s="714"/>
      <c r="C88" s="731"/>
      <c r="D88" s="712" t="s">
        <v>74</v>
      </c>
      <c r="E88" s="729"/>
      <c r="F88" s="729"/>
      <c r="G88" s="713"/>
      <c r="H88" s="792" t="s">
        <v>249</v>
      </c>
      <c r="I88" s="757" t="s">
        <v>75</v>
      </c>
      <c r="J88" s="716" t="s">
        <v>76</v>
      </c>
    </row>
    <row r="89" spans="1:10" ht="24.75" customHeight="1">
      <c r="A89" s="732"/>
      <c r="B89" s="733"/>
      <c r="C89" s="734"/>
      <c r="D89" s="156" t="s">
        <v>77</v>
      </c>
      <c r="E89" s="36" t="s">
        <v>78</v>
      </c>
      <c r="F89" s="36" t="s">
        <v>79</v>
      </c>
      <c r="G89" s="36" t="s">
        <v>58</v>
      </c>
      <c r="H89" s="793"/>
      <c r="I89" s="762"/>
      <c r="J89" s="749"/>
    </row>
    <row r="90" spans="1:10" ht="19.5" customHeight="1">
      <c r="A90" s="5"/>
      <c r="B90" s="11"/>
      <c r="C90" s="4"/>
      <c r="D90" s="9"/>
      <c r="E90" s="185"/>
      <c r="F90" s="185"/>
      <c r="G90" s="15"/>
      <c r="H90" s="325"/>
      <c r="I90" s="185"/>
      <c r="J90" s="9"/>
    </row>
    <row r="91" spans="1:10" ht="39.75" customHeight="1">
      <c r="A91" s="174"/>
      <c r="B91" s="10"/>
      <c r="C91" s="164"/>
      <c r="D91" s="8"/>
      <c r="E91" s="35"/>
      <c r="F91" s="35"/>
      <c r="G91" s="42"/>
      <c r="H91" s="328" t="s">
        <v>3</v>
      </c>
      <c r="I91" s="35"/>
      <c r="J91" s="8"/>
    </row>
    <row r="92" spans="1:10" ht="39.75" customHeight="1">
      <c r="A92" s="326"/>
      <c r="B92" s="189" t="s">
        <v>30</v>
      </c>
      <c r="C92" s="175"/>
      <c r="D92" s="331">
        <f>인집!G11</f>
        <v>1038030</v>
      </c>
      <c r="E92" s="331">
        <f>인집!H11</f>
        <v>114365</v>
      </c>
      <c r="F92" s="331">
        <f>인집!I11</f>
        <v>346010</v>
      </c>
      <c r="G92" s="332">
        <f>SUM(D92:F92)</f>
        <v>1498405</v>
      </c>
      <c r="H92" s="340">
        <f>보험료산출기준!$I$7</f>
        <v>2.1</v>
      </c>
      <c r="I92" s="333">
        <f>TRUNC(G92*H92%,0)</f>
        <v>31466</v>
      </c>
      <c r="J92" s="35"/>
    </row>
    <row r="93" spans="1:10" ht="39.75" customHeight="1">
      <c r="A93" s="174"/>
      <c r="B93" s="189" t="s">
        <v>80</v>
      </c>
      <c r="C93" s="164"/>
      <c r="D93" s="331">
        <f aca="true" t="shared" si="4" ref="D93:F95">D92</f>
        <v>1038030</v>
      </c>
      <c r="E93" s="331">
        <f t="shared" si="4"/>
        <v>114365</v>
      </c>
      <c r="F93" s="331">
        <f t="shared" si="4"/>
        <v>346010</v>
      </c>
      <c r="G93" s="332">
        <f>SUM(D93:F93)</f>
        <v>1498405</v>
      </c>
      <c r="H93" s="340">
        <f>보험료산출기준!$I$8</f>
        <v>4.5</v>
      </c>
      <c r="I93" s="333">
        <f>TRUNC(G93*H93%,0)</f>
        <v>67428</v>
      </c>
      <c r="J93" s="35"/>
    </row>
    <row r="94" spans="1:10" ht="39.75" customHeight="1">
      <c r="A94" s="174"/>
      <c r="B94" s="189" t="s">
        <v>81</v>
      </c>
      <c r="C94" s="164"/>
      <c r="D94" s="331">
        <f t="shared" si="4"/>
        <v>1038030</v>
      </c>
      <c r="E94" s="331">
        <f t="shared" si="4"/>
        <v>114365</v>
      </c>
      <c r="F94" s="331">
        <f t="shared" si="4"/>
        <v>346010</v>
      </c>
      <c r="G94" s="332">
        <f>SUM(D94:F94)</f>
        <v>1498405</v>
      </c>
      <c r="H94" s="340">
        <f>보험료산출기준!$I$9</f>
        <v>0.7</v>
      </c>
      <c r="I94" s="333">
        <f>TRUNC(G94*H94%,0)</f>
        <v>10488</v>
      </c>
      <c r="J94" s="35"/>
    </row>
    <row r="95" spans="1:10" ht="39.75" customHeight="1">
      <c r="A95" s="174"/>
      <c r="B95" s="189" t="s">
        <v>82</v>
      </c>
      <c r="C95" s="164"/>
      <c r="D95" s="331">
        <f t="shared" si="4"/>
        <v>1038030</v>
      </c>
      <c r="E95" s="331">
        <f t="shared" si="4"/>
        <v>114365</v>
      </c>
      <c r="F95" s="331">
        <f t="shared" si="4"/>
        <v>346010</v>
      </c>
      <c r="G95" s="332">
        <f>SUM(D95:F95)</f>
        <v>1498405</v>
      </c>
      <c r="H95" s="340">
        <v>2.665</v>
      </c>
      <c r="I95" s="333">
        <f>TRUNC(G95*H95%,0)</f>
        <v>39932</v>
      </c>
      <c r="J95" s="35"/>
    </row>
    <row r="96" spans="1:10" ht="39.75" customHeight="1">
      <c r="A96" s="174"/>
      <c r="B96" s="189" t="s">
        <v>307</v>
      </c>
      <c r="C96" s="164"/>
      <c r="D96" s="331"/>
      <c r="E96" s="331"/>
      <c r="F96" s="331"/>
      <c r="G96" s="331"/>
      <c r="H96" s="340">
        <v>6.55</v>
      </c>
      <c r="I96" s="333">
        <f>TRUNC(I95*H96%,0)</f>
        <v>2615</v>
      </c>
      <c r="J96" s="35" t="s">
        <v>259</v>
      </c>
    </row>
    <row r="97" spans="1:10" ht="39.75" customHeight="1">
      <c r="A97" s="20"/>
      <c r="B97" s="329" t="s">
        <v>83</v>
      </c>
      <c r="C97" s="19"/>
      <c r="D97" s="331">
        <f>D95</f>
        <v>1038030</v>
      </c>
      <c r="E97" s="331">
        <f>E95</f>
        <v>114365</v>
      </c>
      <c r="F97" s="331">
        <f>F95</f>
        <v>346010</v>
      </c>
      <c r="G97" s="332">
        <f>SUM(D97:F97)</f>
        <v>1498405</v>
      </c>
      <c r="H97" s="340">
        <v>0.08</v>
      </c>
      <c r="I97" s="333">
        <f>TRUNC(G97*H97%,0)</f>
        <v>1198</v>
      </c>
      <c r="J97" s="35"/>
    </row>
    <row r="98" spans="1:10" ht="19.5" customHeight="1">
      <c r="A98" s="18"/>
      <c r="B98" s="327"/>
      <c r="C98" s="17"/>
      <c r="D98" s="334"/>
      <c r="E98" s="334"/>
      <c r="F98" s="334"/>
      <c r="G98" s="335"/>
      <c r="H98" s="350"/>
      <c r="I98" s="336"/>
      <c r="J98" s="36"/>
    </row>
    <row r="99" spans="1:10" ht="45" customHeight="1">
      <c r="A99" s="38"/>
      <c r="B99" s="39" t="s">
        <v>208</v>
      </c>
      <c r="C99" s="40"/>
      <c r="D99" s="337"/>
      <c r="E99" s="338"/>
      <c r="F99" s="338"/>
      <c r="G99" s="339"/>
      <c r="H99" s="339"/>
      <c r="I99" s="338">
        <f>SUM(I92:I98)</f>
        <v>153127</v>
      </c>
      <c r="J99" s="227"/>
    </row>
    <row r="100" spans="1:10" s="181" customFormat="1" ht="24.75" customHeight="1">
      <c r="A100" s="228" t="str">
        <f>"주 1) 적용대상액 : "&amp;인집!$A$1&amp;인집!$A$2&amp;" 참조"</f>
        <v>주 1) 적용대상액 : &lt; 표 : 4 &gt; 단위당인건비집계표 참조</v>
      </c>
      <c r="C100" s="228"/>
      <c r="D100" s="228"/>
      <c r="E100" s="179"/>
      <c r="F100" s="179"/>
      <c r="G100" s="180"/>
      <c r="H100" s="180"/>
      <c r="I100" s="180"/>
      <c r="J100" s="229"/>
    </row>
    <row r="101" spans="1:10" s="181" customFormat="1" ht="24.75" customHeight="1">
      <c r="A101" s="228" t="str">
        <f>"   2) 비율(%) : "&amp;보험료산출기준!$A$1&amp;보험료산출기준!$A$2&amp;" 참조"</f>
        <v>   2) 비율(%) : &lt; 표 : 13 &gt; 보험료산정기준표 참조</v>
      </c>
      <c r="C101" s="228"/>
      <c r="D101" s="228"/>
      <c r="E101" s="179"/>
      <c r="F101" s="179"/>
      <c r="G101" s="180"/>
      <c r="H101" s="180"/>
      <c r="I101" s="180"/>
      <c r="J101" s="229"/>
    </row>
    <row r="102" spans="1:9" s="181" customFormat="1" ht="24.75" customHeight="1">
      <c r="A102" s="253" t="s">
        <v>283</v>
      </c>
      <c r="C102" s="228"/>
      <c r="D102" s="230"/>
      <c r="E102" s="160"/>
      <c r="F102" s="160"/>
      <c r="G102" s="159"/>
      <c r="H102" s="159"/>
      <c r="I102" s="159"/>
    </row>
    <row r="103" spans="1:9" s="181" customFormat="1" ht="24.75" customHeight="1">
      <c r="A103" s="253"/>
      <c r="C103" s="228"/>
      <c r="D103" s="230"/>
      <c r="E103" s="160"/>
      <c r="F103" s="160"/>
      <c r="G103" s="159"/>
      <c r="H103" s="159"/>
      <c r="I103" s="159"/>
    </row>
    <row r="104" spans="1:9" s="181" customFormat="1" ht="24.75" customHeight="1">
      <c r="A104" s="253"/>
      <c r="C104" s="228"/>
      <c r="D104" s="230"/>
      <c r="E104" s="160"/>
      <c r="F104" s="160"/>
      <c r="G104" s="159"/>
      <c r="H104" s="159"/>
      <c r="I104" s="159"/>
    </row>
    <row r="105" spans="1:9" s="181" customFormat="1" ht="24.75" customHeight="1">
      <c r="A105" s="253"/>
      <c r="C105" s="228"/>
      <c r="D105" s="230"/>
      <c r="E105" s="160"/>
      <c r="F105" s="160"/>
      <c r="G105" s="159"/>
      <c r="H105" s="159"/>
      <c r="I105" s="159"/>
    </row>
    <row r="106" spans="1:9" s="181" customFormat="1" ht="24.75" customHeight="1">
      <c r="A106" s="253"/>
      <c r="C106" s="228"/>
      <c r="D106" s="230"/>
      <c r="E106" s="160"/>
      <c r="F106" s="160"/>
      <c r="G106" s="159"/>
      <c r="H106" s="159"/>
      <c r="I106" s="159"/>
    </row>
    <row r="107" spans="1:9" s="181" customFormat="1" ht="19.5" customHeight="1">
      <c r="A107" s="253"/>
      <c r="C107" s="228"/>
      <c r="D107" s="230"/>
      <c r="E107" s="160"/>
      <c r="F107" s="160"/>
      <c r="G107" s="159"/>
      <c r="H107" s="159"/>
      <c r="I107" s="159"/>
    </row>
    <row r="108" spans="1:10" ht="19.5" customHeight="1">
      <c r="A108" s="169" t="str">
        <f>원가!A169</f>
        <v>구 분 : 미화원                       직종명 : 보통인부</v>
      </c>
      <c r="B108" s="170"/>
      <c r="C108" s="170"/>
      <c r="D108" s="169"/>
      <c r="I108" s="226"/>
      <c r="J108" s="226" t="s">
        <v>39</v>
      </c>
    </row>
    <row r="109" spans="1:10" ht="24.75" customHeight="1">
      <c r="A109" s="730" t="s">
        <v>73</v>
      </c>
      <c r="B109" s="714"/>
      <c r="C109" s="731"/>
      <c r="D109" s="712" t="s">
        <v>74</v>
      </c>
      <c r="E109" s="729"/>
      <c r="F109" s="729"/>
      <c r="G109" s="713"/>
      <c r="H109" s="792" t="s">
        <v>249</v>
      </c>
      <c r="I109" s="757" t="s">
        <v>75</v>
      </c>
      <c r="J109" s="716" t="s">
        <v>76</v>
      </c>
    </row>
    <row r="110" spans="1:10" ht="24.75" customHeight="1">
      <c r="A110" s="732"/>
      <c r="B110" s="733"/>
      <c r="C110" s="734"/>
      <c r="D110" s="156" t="s">
        <v>77</v>
      </c>
      <c r="E110" s="36" t="s">
        <v>78</v>
      </c>
      <c r="F110" s="36" t="s">
        <v>79</v>
      </c>
      <c r="G110" s="36" t="s">
        <v>58</v>
      </c>
      <c r="H110" s="793"/>
      <c r="I110" s="762"/>
      <c r="J110" s="749"/>
    </row>
    <row r="111" spans="1:10" ht="19.5" customHeight="1">
      <c r="A111" s="5"/>
      <c r="B111" s="11"/>
      <c r="C111" s="4"/>
      <c r="D111" s="9"/>
      <c r="E111" s="185"/>
      <c r="F111" s="185"/>
      <c r="G111" s="15"/>
      <c r="H111" s="325"/>
      <c r="I111" s="185"/>
      <c r="J111" s="9"/>
    </row>
    <row r="112" spans="1:10" ht="39.75" customHeight="1">
      <c r="A112" s="174"/>
      <c r="B112" s="10"/>
      <c r="C112" s="164"/>
      <c r="D112" s="8"/>
      <c r="E112" s="35"/>
      <c r="F112" s="35"/>
      <c r="G112" s="42"/>
      <c r="H112" s="328" t="s">
        <v>3</v>
      </c>
      <c r="I112" s="35"/>
      <c r="J112" s="8"/>
    </row>
    <row r="113" spans="1:10" ht="39.75" customHeight="1">
      <c r="A113" s="326"/>
      <c r="B113" s="189" t="s">
        <v>30</v>
      </c>
      <c r="C113" s="175"/>
      <c r="D113" s="331">
        <f>인집!G12</f>
        <v>1038030</v>
      </c>
      <c r="E113" s="331">
        <f>인집!H12</f>
        <v>114365</v>
      </c>
      <c r="F113" s="331">
        <f>인집!I12</f>
        <v>346010</v>
      </c>
      <c r="G113" s="332">
        <f>SUM(D113:F113)</f>
        <v>1498405</v>
      </c>
      <c r="H113" s="340">
        <f>보험료산출기준!$I$7</f>
        <v>2.1</v>
      </c>
      <c r="I113" s="333">
        <f>TRUNC(G113*H113%,0)</f>
        <v>31466</v>
      </c>
      <c r="J113" s="35"/>
    </row>
    <row r="114" spans="1:10" ht="39.75" customHeight="1">
      <c r="A114" s="174"/>
      <c r="B114" s="189" t="s">
        <v>80</v>
      </c>
      <c r="C114" s="164"/>
      <c r="D114" s="331">
        <f aca="true" t="shared" si="5" ref="D114:F116">D113</f>
        <v>1038030</v>
      </c>
      <c r="E114" s="331">
        <f t="shared" si="5"/>
        <v>114365</v>
      </c>
      <c r="F114" s="331">
        <f t="shared" si="5"/>
        <v>346010</v>
      </c>
      <c r="G114" s="332">
        <f>SUM(D114:F114)</f>
        <v>1498405</v>
      </c>
      <c r="H114" s="340">
        <f>보험료산출기준!$I$8</f>
        <v>4.5</v>
      </c>
      <c r="I114" s="333">
        <f>TRUNC(G114*H114%,0)</f>
        <v>67428</v>
      </c>
      <c r="J114" s="35"/>
    </row>
    <row r="115" spans="1:10" ht="39.75" customHeight="1">
      <c r="A115" s="174"/>
      <c r="B115" s="189" t="s">
        <v>81</v>
      </c>
      <c r="C115" s="164"/>
      <c r="D115" s="331">
        <f t="shared" si="5"/>
        <v>1038030</v>
      </c>
      <c r="E115" s="331">
        <f t="shared" si="5"/>
        <v>114365</v>
      </c>
      <c r="F115" s="331">
        <f t="shared" si="5"/>
        <v>346010</v>
      </c>
      <c r="G115" s="332">
        <f>SUM(D115:F115)</f>
        <v>1498405</v>
      </c>
      <c r="H115" s="340">
        <f>보험료산출기준!$I$9</f>
        <v>0.7</v>
      </c>
      <c r="I115" s="333">
        <f>TRUNC(G115*H115%,0)</f>
        <v>10488</v>
      </c>
      <c r="J115" s="35"/>
    </row>
    <row r="116" spans="1:10" ht="39.75" customHeight="1">
      <c r="A116" s="174"/>
      <c r="B116" s="189" t="s">
        <v>82</v>
      </c>
      <c r="C116" s="164"/>
      <c r="D116" s="331">
        <f t="shared" si="5"/>
        <v>1038030</v>
      </c>
      <c r="E116" s="331">
        <f t="shared" si="5"/>
        <v>114365</v>
      </c>
      <c r="F116" s="331">
        <f t="shared" si="5"/>
        <v>346010</v>
      </c>
      <c r="G116" s="332">
        <f>SUM(D116:F116)</f>
        <v>1498405</v>
      </c>
      <c r="H116" s="340">
        <v>2.665</v>
      </c>
      <c r="I116" s="333">
        <f>TRUNC(G116*H116%,0)</f>
        <v>39932</v>
      </c>
      <c r="J116" s="35"/>
    </row>
    <row r="117" spans="1:10" ht="39.75" customHeight="1">
      <c r="A117" s="174"/>
      <c r="B117" s="189" t="s">
        <v>307</v>
      </c>
      <c r="C117" s="164"/>
      <c r="D117" s="331"/>
      <c r="E117" s="331"/>
      <c r="F117" s="331"/>
      <c r="G117" s="331"/>
      <c r="H117" s="340">
        <v>6.55</v>
      </c>
      <c r="I117" s="333">
        <f>TRUNC(I116*H117%,0)</f>
        <v>2615</v>
      </c>
      <c r="J117" s="35" t="s">
        <v>259</v>
      </c>
    </row>
    <row r="118" spans="1:10" ht="39.75" customHeight="1">
      <c r="A118" s="20"/>
      <c r="B118" s="329" t="s">
        <v>83</v>
      </c>
      <c r="C118" s="19"/>
      <c r="D118" s="331">
        <f>D116</f>
        <v>1038030</v>
      </c>
      <c r="E118" s="331">
        <f>E116</f>
        <v>114365</v>
      </c>
      <c r="F118" s="331">
        <f>F116</f>
        <v>346010</v>
      </c>
      <c r="G118" s="332">
        <f>SUM(D118:F118)</f>
        <v>1498405</v>
      </c>
      <c r="H118" s="340">
        <v>0.08</v>
      </c>
      <c r="I118" s="333">
        <f>TRUNC(G118*H118%,0)</f>
        <v>1198</v>
      </c>
      <c r="J118" s="35"/>
    </row>
    <row r="119" spans="1:10" ht="19.5" customHeight="1">
      <c r="A119" s="18"/>
      <c r="B119" s="327"/>
      <c r="C119" s="17"/>
      <c r="D119" s="334"/>
      <c r="E119" s="334"/>
      <c r="F119" s="334"/>
      <c r="G119" s="335"/>
      <c r="H119" s="350"/>
      <c r="I119" s="336"/>
      <c r="J119" s="36"/>
    </row>
    <row r="120" spans="1:10" ht="45" customHeight="1">
      <c r="A120" s="38"/>
      <c r="B120" s="39" t="s">
        <v>208</v>
      </c>
      <c r="C120" s="40"/>
      <c r="D120" s="337"/>
      <c r="E120" s="338"/>
      <c r="F120" s="338"/>
      <c r="G120" s="339"/>
      <c r="H120" s="339"/>
      <c r="I120" s="338">
        <f>SUM(I113:I119)</f>
        <v>153127</v>
      </c>
      <c r="J120" s="227"/>
    </row>
    <row r="121" spans="1:10" s="181" customFormat="1" ht="24.75" customHeight="1">
      <c r="A121" s="228" t="str">
        <f>"주 1) 적용대상액 : "&amp;인집!$A$1&amp;인집!$A$2&amp;" 참조"</f>
        <v>주 1) 적용대상액 : &lt; 표 : 4 &gt; 단위당인건비집계표 참조</v>
      </c>
      <c r="C121" s="228"/>
      <c r="D121" s="228"/>
      <c r="E121" s="179"/>
      <c r="F121" s="179"/>
      <c r="G121" s="180"/>
      <c r="H121" s="180"/>
      <c r="I121" s="180"/>
      <c r="J121" s="229"/>
    </row>
    <row r="122" spans="1:10" s="181" customFormat="1" ht="24.75" customHeight="1">
      <c r="A122" s="228" t="str">
        <f>"   2) 비율(%) : "&amp;보험료산출기준!$A$1&amp;보험료산출기준!$A$2&amp;" 참조"</f>
        <v>   2) 비율(%) : &lt; 표 : 13 &gt; 보험료산정기준표 참조</v>
      </c>
      <c r="C122" s="228"/>
      <c r="D122" s="228"/>
      <c r="E122" s="179"/>
      <c r="F122" s="179"/>
      <c r="G122" s="180"/>
      <c r="H122" s="180"/>
      <c r="I122" s="180"/>
      <c r="J122" s="229"/>
    </row>
    <row r="123" spans="1:9" s="181" customFormat="1" ht="24.75" customHeight="1">
      <c r="A123" s="253" t="s">
        <v>283</v>
      </c>
      <c r="C123" s="228"/>
      <c r="D123" s="230"/>
      <c r="E123" s="160"/>
      <c r="F123" s="160"/>
      <c r="G123" s="159"/>
      <c r="H123" s="159"/>
      <c r="I123" s="159"/>
    </row>
    <row r="124" spans="1:9" s="181" customFormat="1" ht="24.75" customHeight="1">
      <c r="A124" s="253"/>
      <c r="C124" s="228"/>
      <c r="D124" s="230"/>
      <c r="E124" s="160"/>
      <c r="F124" s="160"/>
      <c r="G124" s="159"/>
      <c r="H124" s="159"/>
      <c r="I124" s="159"/>
    </row>
    <row r="125" spans="1:9" s="181" customFormat="1" ht="24.75" customHeight="1">
      <c r="A125" s="253"/>
      <c r="C125" s="228"/>
      <c r="D125" s="230"/>
      <c r="E125" s="160"/>
      <c r="F125" s="160"/>
      <c r="G125" s="159"/>
      <c r="H125" s="159"/>
      <c r="I125" s="159"/>
    </row>
    <row r="126" spans="1:9" s="181" customFormat="1" ht="24.75" customHeight="1">
      <c r="A126" s="253"/>
      <c r="C126" s="228"/>
      <c r="D126" s="230"/>
      <c r="E126" s="160"/>
      <c r="F126" s="160"/>
      <c r="G126" s="159"/>
      <c r="H126" s="159"/>
      <c r="I126" s="159"/>
    </row>
    <row r="127" spans="1:9" s="181" customFormat="1" ht="24.75" customHeight="1">
      <c r="A127" s="253"/>
      <c r="C127" s="228"/>
      <c r="D127" s="230"/>
      <c r="E127" s="160"/>
      <c r="F127" s="160"/>
      <c r="G127" s="159"/>
      <c r="H127" s="159"/>
      <c r="I127" s="159"/>
    </row>
    <row r="128" spans="1:9" s="181" customFormat="1" ht="19.5" customHeight="1">
      <c r="A128" s="253"/>
      <c r="C128" s="228"/>
      <c r="D128" s="230"/>
      <c r="E128" s="160"/>
      <c r="F128" s="160"/>
      <c r="G128" s="159"/>
      <c r="H128" s="159"/>
      <c r="I128" s="159"/>
    </row>
    <row r="129" spans="1:10" ht="19.5" customHeight="1">
      <c r="A129" s="169" t="str">
        <f>원가!A202</f>
        <v>구 분 : 경비반장                       직종명 : 보통인부</v>
      </c>
      <c r="B129" s="170"/>
      <c r="C129" s="170"/>
      <c r="D129" s="169"/>
      <c r="I129" s="226"/>
      <c r="J129" s="226" t="s">
        <v>39</v>
      </c>
    </row>
    <row r="130" spans="1:10" ht="24.75" customHeight="1">
      <c r="A130" s="730" t="s">
        <v>73</v>
      </c>
      <c r="B130" s="714"/>
      <c r="C130" s="731"/>
      <c r="D130" s="712" t="s">
        <v>74</v>
      </c>
      <c r="E130" s="729"/>
      <c r="F130" s="729"/>
      <c r="G130" s="713"/>
      <c r="H130" s="792" t="s">
        <v>249</v>
      </c>
      <c r="I130" s="757" t="s">
        <v>75</v>
      </c>
      <c r="J130" s="716" t="s">
        <v>76</v>
      </c>
    </row>
    <row r="131" spans="1:10" ht="24.75" customHeight="1">
      <c r="A131" s="732"/>
      <c r="B131" s="733"/>
      <c r="C131" s="734"/>
      <c r="D131" s="156" t="s">
        <v>77</v>
      </c>
      <c r="E131" s="36" t="s">
        <v>78</v>
      </c>
      <c r="F131" s="36" t="s">
        <v>79</v>
      </c>
      <c r="G131" s="36" t="s">
        <v>58</v>
      </c>
      <c r="H131" s="793"/>
      <c r="I131" s="762"/>
      <c r="J131" s="749"/>
    </row>
    <row r="132" spans="1:10" ht="19.5" customHeight="1">
      <c r="A132" s="5"/>
      <c r="B132" s="11"/>
      <c r="C132" s="4"/>
      <c r="D132" s="9"/>
      <c r="E132" s="185"/>
      <c r="F132" s="185"/>
      <c r="G132" s="15"/>
      <c r="H132" s="325"/>
      <c r="I132" s="185"/>
      <c r="J132" s="9"/>
    </row>
    <row r="133" spans="1:10" ht="39.75" customHeight="1">
      <c r="A133" s="174"/>
      <c r="B133" s="10"/>
      <c r="C133" s="164"/>
      <c r="D133" s="8"/>
      <c r="E133" s="35"/>
      <c r="F133" s="35"/>
      <c r="G133" s="42"/>
      <c r="H133" s="328" t="s">
        <v>3</v>
      </c>
      <c r="I133" s="35"/>
      <c r="J133" s="8"/>
    </row>
    <row r="134" spans="1:10" ht="39.75" customHeight="1">
      <c r="A134" s="326"/>
      <c r="B134" s="189" t="s">
        <v>30</v>
      </c>
      <c r="C134" s="175"/>
      <c r="D134" s="331">
        <f>인집!G13</f>
        <v>1038030</v>
      </c>
      <c r="E134" s="331">
        <f>인집!H13</f>
        <v>114365</v>
      </c>
      <c r="F134" s="331">
        <f>인집!I13</f>
        <v>346010</v>
      </c>
      <c r="G134" s="332">
        <f>SUM(D134:F134)</f>
        <v>1498405</v>
      </c>
      <c r="H134" s="340">
        <f>보험료산출기준!$I$7</f>
        <v>2.1</v>
      </c>
      <c r="I134" s="333">
        <f>TRUNC(G134*H134%,0)</f>
        <v>31466</v>
      </c>
      <c r="J134" s="35"/>
    </row>
    <row r="135" spans="1:10" ht="39.75" customHeight="1">
      <c r="A135" s="174"/>
      <c r="B135" s="189" t="s">
        <v>80</v>
      </c>
      <c r="C135" s="164"/>
      <c r="D135" s="331">
        <f aca="true" t="shared" si="6" ref="D135:F137">D134</f>
        <v>1038030</v>
      </c>
      <c r="E135" s="331">
        <f t="shared" si="6"/>
        <v>114365</v>
      </c>
      <c r="F135" s="331">
        <f t="shared" si="6"/>
        <v>346010</v>
      </c>
      <c r="G135" s="332">
        <f>SUM(D135:F135)</f>
        <v>1498405</v>
      </c>
      <c r="H135" s="340">
        <f>보험료산출기준!$I$8</f>
        <v>4.5</v>
      </c>
      <c r="I135" s="333">
        <f>TRUNC(G135*H135%,0)</f>
        <v>67428</v>
      </c>
      <c r="J135" s="35"/>
    </row>
    <row r="136" spans="1:10" ht="39.75" customHeight="1">
      <c r="A136" s="174"/>
      <c r="B136" s="189" t="s">
        <v>81</v>
      </c>
      <c r="C136" s="164"/>
      <c r="D136" s="331">
        <f t="shared" si="6"/>
        <v>1038030</v>
      </c>
      <c r="E136" s="331">
        <f t="shared" si="6"/>
        <v>114365</v>
      </c>
      <c r="F136" s="331">
        <f t="shared" si="6"/>
        <v>346010</v>
      </c>
      <c r="G136" s="332">
        <f>SUM(D136:F136)</f>
        <v>1498405</v>
      </c>
      <c r="H136" s="340">
        <f>보험료산출기준!$I$9</f>
        <v>0.7</v>
      </c>
      <c r="I136" s="333">
        <f>TRUNC(G136*H136%,0)</f>
        <v>10488</v>
      </c>
      <c r="J136" s="35"/>
    </row>
    <row r="137" spans="1:10" ht="39.75" customHeight="1">
      <c r="A137" s="174"/>
      <c r="B137" s="189" t="s">
        <v>82</v>
      </c>
      <c r="C137" s="164"/>
      <c r="D137" s="331">
        <f t="shared" si="6"/>
        <v>1038030</v>
      </c>
      <c r="E137" s="331">
        <f t="shared" si="6"/>
        <v>114365</v>
      </c>
      <c r="F137" s="331">
        <f t="shared" si="6"/>
        <v>346010</v>
      </c>
      <c r="G137" s="332">
        <f>SUM(D137:F137)</f>
        <v>1498405</v>
      </c>
      <c r="H137" s="340">
        <v>2.665</v>
      </c>
      <c r="I137" s="333">
        <f>TRUNC(G137*H137%,0)</f>
        <v>39932</v>
      </c>
      <c r="J137" s="35"/>
    </row>
    <row r="138" spans="1:10" ht="39.75" customHeight="1">
      <c r="A138" s="174"/>
      <c r="B138" s="189" t="s">
        <v>307</v>
      </c>
      <c r="C138" s="164"/>
      <c r="D138" s="331"/>
      <c r="E138" s="331"/>
      <c r="F138" s="331"/>
      <c r="G138" s="331"/>
      <c r="H138" s="340">
        <v>6.55</v>
      </c>
      <c r="I138" s="333">
        <f>TRUNC(I137*H138%,0)</f>
        <v>2615</v>
      </c>
      <c r="J138" s="35" t="s">
        <v>259</v>
      </c>
    </row>
    <row r="139" spans="1:10" ht="39.75" customHeight="1">
      <c r="A139" s="20"/>
      <c r="B139" s="329" t="s">
        <v>83</v>
      </c>
      <c r="C139" s="19"/>
      <c r="D139" s="331">
        <f>D137</f>
        <v>1038030</v>
      </c>
      <c r="E139" s="331">
        <f>E137</f>
        <v>114365</v>
      </c>
      <c r="F139" s="331">
        <f>F137</f>
        <v>346010</v>
      </c>
      <c r="G139" s="332">
        <f>SUM(D139:F139)</f>
        <v>1498405</v>
      </c>
      <c r="H139" s="340">
        <v>0.08</v>
      </c>
      <c r="I139" s="333">
        <f>TRUNC(G139*H139%,0)</f>
        <v>1198</v>
      </c>
      <c r="J139" s="35"/>
    </row>
    <row r="140" spans="1:10" ht="19.5" customHeight="1">
      <c r="A140" s="18"/>
      <c r="B140" s="327"/>
      <c r="C140" s="17"/>
      <c r="D140" s="334"/>
      <c r="E140" s="334"/>
      <c r="F140" s="334"/>
      <c r="G140" s="335"/>
      <c r="H140" s="350"/>
      <c r="I140" s="336"/>
      <c r="J140" s="36"/>
    </row>
    <row r="141" spans="1:10" ht="45" customHeight="1">
      <c r="A141" s="38"/>
      <c r="B141" s="39" t="s">
        <v>208</v>
      </c>
      <c r="C141" s="40"/>
      <c r="D141" s="337"/>
      <c r="E141" s="338"/>
      <c r="F141" s="338"/>
      <c r="G141" s="339"/>
      <c r="H141" s="339"/>
      <c r="I141" s="338">
        <f>SUM(I134:I140)</f>
        <v>153127</v>
      </c>
      <c r="J141" s="227"/>
    </row>
    <row r="142" spans="1:10" s="181" customFormat="1" ht="24.75" customHeight="1">
      <c r="A142" s="228" t="str">
        <f>"주 1) 적용대상액 : "&amp;인집!$A$1&amp;인집!$A$2&amp;" 참조"</f>
        <v>주 1) 적용대상액 : &lt; 표 : 4 &gt; 단위당인건비집계표 참조</v>
      </c>
      <c r="C142" s="228"/>
      <c r="D142" s="228"/>
      <c r="E142" s="179"/>
      <c r="F142" s="179"/>
      <c r="G142" s="180"/>
      <c r="H142" s="180"/>
      <c r="I142" s="180"/>
      <c r="J142" s="229"/>
    </row>
    <row r="143" spans="1:10" s="181" customFormat="1" ht="24.75" customHeight="1">
      <c r="A143" s="228" t="str">
        <f>"   2) 비율(%) : "&amp;보험료산출기준!$A$1&amp;보험료산출기준!$A$2&amp;" 참조"</f>
        <v>   2) 비율(%) : &lt; 표 : 13 &gt; 보험료산정기준표 참조</v>
      </c>
      <c r="C143" s="228"/>
      <c r="D143" s="228"/>
      <c r="E143" s="179"/>
      <c r="F143" s="179"/>
      <c r="G143" s="180"/>
      <c r="H143" s="180"/>
      <c r="I143" s="180"/>
      <c r="J143" s="229"/>
    </row>
    <row r="144" spans="1:9" s="181" customFormat="1" ht="24.75" customHeight="1">
      <c r="A144" s="253" t="s">
        <v>283</v>
      </c>
      <c r="C144" s="228"/>
      <c r="D144" s="230"/>
      <c r="E144" s="160"/>
      <c r="F144" s="160"/>
      <c r="G144" s="159"/>
      <c r="H144" s="159"/>
      <c r="I144" s="159"/>
    </row>
    <row r="145" spans="1:9" s="181" customFormat="1" ht="24.75" customHeight="1">
      <c r="A145" s="253"/>
      <c r="C145" s="228"/>
      <c r="D145" s="230"/>
      <c r="E145" s="160"/>
      <c r="F145" s="160"/>
      <c r="G145" s="159"/>
      <c r="H145" s="159"/>
      <c r="I145" s="159"/>
    </row>
    <row r="146" spans="1:9" s="181" customFormat="1" ht="24.75" customHeight="1">
      <c r="A146" s="253"/>
      <c r="C146" s="228"/>
      <c r="D146" s="230"/>
      <c r="E146" s="160"/>
      <c r="F146" s="160"/>
      <c r="G146" s="159"/>
      <c r="H146" s="159"/>
      <c r="I146" s="159"/>
    </row>
    <row r="147" spans="1:9" s="181" customFormat="1" ht="24.75" customHeight="1">
      <c r="A147" s="253"/>
      <c r="C147" s="228"/>
      <c r="D147" s="230"/>
      <c r="E147" s="160"/>
      <c r="F147" s="160"/>
      <c r="G147" s="159"/>
      <c r="H147" s="159"/>
      <c r="I147" s="159"/>
    </row>
    <row r="148" spans="1:9" s="181" customFormat="1" ht="24.75" customHeight="1">
      <c r="A148" s="253"/>
      <c r="C148" s="228"/>
      <c r="D148" s="230"/>
      <c r="E148" s="160"/>
      <c r="F148" s="160"/>
      <c r="G148" s="159"/>
      <c r="H148" s="159"/>
      <c r="I148" s="159"/>
    </row>
    <row r="149" spans="1:9" s="181" customFormat="1" ht="19.5" customHeight="1">
      <c r="A149" s="253"/>
      <c r="C149" s="228"/>
      <c r="D149" s="230"/>
      <c r="E149" s="160"/>
      <c r="F149" s="160"/>
      <c r="G149" s="159"/>
      <c r="H149" s="159"/>
      <c r="I149" s="159"/>
    </row>
    <row r="150" spans="1:10" ht="19.5" customHeight="1">
      <c r="A150" s="169" t="str">
        <f>원가!A235</f>
        <v>구 분 : 경비원                       직종명 : 보통인부</v>
      </c>
      <c r="B150" s="170"/>
      <c r="C150" s="170"/>
      <c r="D150" s="169"/>
      <c r="I150" s="226"/>
      <c r="J150" s="226" t="s">
        <v>39</v>
      </c>
    </row>
    <row r="151" spans="1:10" ht="24.75" customHeight="1">
      <c r="A151" s="730" t="s">
        <v>73</v>
      </c>
      <c r="B151" s="714"/>
      <c r="C151" s="731"/>
      <c r="D151" s="712" t="s">
        <v>74</v>
      </c>
      <c r="E151" s="729"/>
      <c r="F151" s="729"/>
      <c r="G151" s="713"/>
      <c r="H151" s="792" t="s">
        <v>249</v>
      </c>
      <c r="I151" s="757" t="s">
        <v>75</v>
      </c>
      <c r="J151" s="716" t="s">
        <v>76</v>
      </c>
    </row>
    <row r="152" spans="1:10" ht="24.75" customHeight="1">
      <c r="A152" s="732"/>
      <c r="B152" s="733"/>
      <c r="C152" s="734"/>
      <c r="D152" s="156" t="s">
        <v>77</v>
      </c>
      <c r="E152" s="36" t="s">
        <v>78</v>
      </c>
      <c r="F152" s="36" t="s">
        <v>79</v>
      </c>
      <c r="G152" s="36" t="s">
        <v>58</v>
      </c>
      <c r="H152" s="793"/>
      <c r="I152" s="762"/>
      <c r="J152" s="749"/>
    </row>
    <row r="153" spans="1:10" ht="19.5" customHeight="1">
      <c r="A153" s="5"/>
      <c r="B153" s="11"/>
      <c r="C153" s="4"/>
      <c r="D153" s="9"/>
      <c r="E153" s="185"/>
      <c r="F153" s="185"/>
      <c r="G153" s="15"/>
      <c r="H153" s="325"/>
      <c r="I153" s="185"/>
      <c r="J153" s="9"/>
    </row>
    <row r="154" spans="1:10" ht="39.75" customHeight="1">
      <c r="A154" s="174"/>
      <c r="B154" s="10"/>
      <c r="C154" s="164"/>
      <c r="D154" s="8"/>
      <c r="E154" s="35"/>
      <c r="F154" s="35"/>
      <c r="G154" s="42"/>
      <c r="H154" s="328" t="s">
        <v>3</v>
      </c>
      <c r="I154" s="35"/>
      <c r="J154" s="8"/>
    </row>
    <row r="155" spans="1:10" ht="39.75" customHeight="1">
      <c r="A155" s="326"/>
      <c r="B155" s="189" t="s">
        <v>30</v>
      </c>
      <c r="C155" s="175"/>
      <c r="D155" s="331">
        <f>인집!G14</f>
        <v>1038030</v>
      </c>
      <c r="E155" s="331">
        <f>인집!H14</f>
        <v>114365</v>
      </c>
      <c r="F155" s="331">
        <f>인집!I14</f>
        <v>346010</v>
      </c>
      <c r="G155" s="332">
        <f>SUM(D155:F155)</f>
        <v>1498405</v>
      </c>
      <c r="H155" s="340">
        <f>보험료산출기준!$I$7</f>
        <v>2.1</v>
      </c>
      <c r="I155" s="333">
        <f>TRUNC(G155*H155%,0)</f>
        <v>31466</v>
      </c>
      <c r="J155" s="35"/>
    </row>
    <row r="156" spans="1:10" ht="39.75" customHeight="1">
      <c r="A156" s="174"/>
      <c r="B156" s="189" t="s">
        <v>80</v>
      </c>
      <c r="C156" s="164"/>
      <c r="D156" s="331">
        <f aca="true" t="shared" si="7" ref="D156:F158">D155</f>
        <v>1038030</v>
      </c>
      <c r="E156" s="331">
        <f t="shared" si="7"/>
        <v>114365</v>
      </c>
      <c r="F156" s="331">
        <f t="shared" si="7"/>
        <v>346010</v>
      </c>
      <c r="G156" s="332">
        <f>SUM(D156:F156)</f>
        <v>1498405</v>
      </c>
      <c r="H156" s="340">
        <f>보험료산출기준!$I$8</f>
        <v>4.5</v>
      </c>
      <c r="I156" s="333">
        <f>TRUNC(G156*H156%,0)</f>
        <v>67428</v>
      </c>
      <c r="J156" s="35"/>
    </row>
    <row r="157" spans="1:10" ht="39.75" customHeight="1">
      <c r="A157" s="174"/>
      <c r="B157" s="189" t="s">
        <v>81</v>
      </c>
      <c r="C157" s="164"/>
      <c r="D157" s="331">
        <f t="shared" si="7"/>
        <v>1038030</v>
      </c>
      <c r="E157" s="331">
        <f t="shared" si="7"/>
        <v>114365</v>
      </c>
      <c r="F157" s="331">
        <f t="shared" si="7"/>
        <v>346010</v>
      </c>
      <c r="G157" s="332">
        <f>SUM(D157:F157)</f>
        <v>1498405</v>
      </c>
      <c r="H157" s="340">
        <f>보험료산출기준!$I$9</f>
        <v>0.7</v>
      </c>
      <c r="I157" s="333">
        <f>TRUNC(G157*H157%,0)</f>
        <v>10488</v>
      </c>
      <c r="J157" s="35"/>
    </row>
    <row r="158" spans="1:10" ht="39.75" customHeight="1">
      <c r="A158" s="174"/>
      <c r="B158" s="189" t="s">
        <v>82</v>
      </c>
      <c r="C158" s="164"/>
      <c r="D158" s="331">
        <f t="shared" si="7"/>
        <v>1038030</v>
      </c>
      <c r="E158" s="331">
        <f t="shared" si="7"/>
        <v>114365</v>
      </c>
      <c r="F158" s="331">
        <f t="shared" si="7"/>
        <v>346010</v>
      </c>
      <c r="G158" s="332">
        <f>SUM(D158:F158)</f>
        <v>1498405</v>
      </c>
      <c r="H158" s="340">
        <v>2.665</v>
      </c>
      <c r="I158" s="333">
        <f>TRUNC(G158*H158%,0)</f>
        <v>39932</v>
      </c>
      <c r="J158" s="35"/>
    </row>
    <row r="159" spans="1:10" ht="39.75" customHeight="1">
      <c r="A159" s="174"/>
      <c r="B159" s="189" t="s">
        <v>307</v>
      </c>
      <c r="C159" s="164"/>
      <c r="D159" s="331"/>
      <c r="E159" s="331"/>
      <c r="F159" s="331"/>
      <c r="G159" s="331"/>
      <c r="H159" s="340">
        <v>6.55</v>
      </c>
      <c r="I159" s="333">
        <f>TRUNC(I158*H159%,0)</f>
        <v>2615</v>
      </c>
      <c r="J159" s="35" t="s">
        <v>259</v>
      </c>
    </row>
    <row r="160" spans="1:10" ht="39.75" customHeight="1">
      <c r="A160" s="20"/>
      <c r="B160" s="329" t="s">
        <v>83</v>
      </c>
      <c r="C160" s="19"/>
      <c r="D160" s="331">
        <f>D158</f>
        <v>1038030</v>
      </c>
      <c r="E160" s="331">
        <f>E158</f>
        <v>114365</v>
      </c>
      <c r="F160" s="331">
        <f>F158</f>
        <v>346010</v>
      </c>
      <c r="G160" s="332">
        <f>SUM(D160:F160)</f>
        <v>1498405</v>
      </c>
      <c r="H160" s="340">
        <v>0.08</v>
      </c>
      <c r="I160" s="333">
        <f>TRUNC(G160*H160%,0)</f>
        <v>1198</v>
      </c>
      <c r="J160" s="35"/>
    </row>
    <row r="161" spans="1:10" ht="19.5" customHeight="1">
      <c r="A161" s="18"/>
      <c r="B161" s="327"/>
      <c r="C161" s="17"/>
      <c r="D161" s="334"/>
      <c r="E161" s="334"/>
      <c r="F161" s="334"/>
      <c r="G161" s="335"/>
      <c r="H161" s="350"/>
      <c r="I161" s="336"/>
      <c r="J161" s="36"/>
    </row>
    <row r="162" spans="1:10" ht="45" customHeight="1">
      <c r="A162" s="38"/>
      <c r="B162" s="39" t="s">
        <v>208</v>
      </c>
      <c r="C162" s="40"/>
      <c r="D162" s="337"/>
      <c r="E162" s="338"/>
      <c r="F162" s="338"/>
      <c r="G162" s="339"/>
      <c r="H162" s="339"/>
      <c r="I162" s="338">
        <f>SUM(I155:I161)</f>
        <v>153127</v>
      </c>
      <c r="J162" s="227"/>
    </row>
    <row r="163" spans="1:10" s="181" customFormat="1" ht="24.75" customHeight="1">
      <c r="A163" s="228" t="str">
        <f>"주 1) 적용대상액 : "&amp;인집!$A$1&amp;인집!$A$2&amp;" 참조"</f>
        <v>주 1) 적용대상액 : &lt; 표 : 4 &gt; 단위당인건비집계표 참조</v>
      </c>
      <c r="C163" s="228"/>
      <c r="D163" s="228"/>
      <c r="E163" s="179"/>
      <c r="F163" s="179"/>
      <c r="G163" s="180"/>
      <c r="H163" s="180"/>
      <c r="I163" s="180"/>
      <c r="J163" s="229"/>
    </row>
    <row r="164" spans="1:10" s="181" customFormat="1" ht="24.75" customHeight="1">
      <c r="A164" s="228" t="str">
        <f>"   2) 비율(%) : "&amp;보험료산출기준!$A$1&amp;보험료산출기준!$A$2&amp;" 참조"</f>
        <v>   2) 비율(%) : &lt; 표 : 13 &gt; 보험료산정기준표 참조</v>
      </c>
      <c r="C164" s="228"/>
      <c r="D164" s="228"/>
      <c r="E164" s="179"/>
      <c r="F164" s="179"/>
      <c r="G164" s="180"/>
      <c r="H164" s="180"/>
      <c r="I164" s="180"/>
      <c r="J164" s="229"/>
    </row>
    <row r="165" spans="1:9" s="181" customFormat="1" ht="24.75" customHeight="1">
      <c r="A165" s="253" t="s">
        <v>283</v>
      </c>
      <c r="C165" s="228"/>
      <c r="D165" s="230"/>
      <c r="E165" s="160"/>
      <c r="F165" s="160"/>
      <c r="G165" s="159"/>
      <c r="H165" s="159"/>
      <c r="I165" s="159"/>
    </row>
    <row r="166" spans="1:9" s="181" customFormat="1" ht="24.75" customHeight="1">
      <c r="A166" s="253"/>
      <c r="C166" s="228"/>
      <c r="D166" s="230"/>
      <c r="E166" s="160"/>
      <c r="F166" s="160"/>
      <c r="G166" s="159"/>
      <c r="H166" s="159"/>
      <c r="I166" s="159"/>
    </row>
    <row r="167" spans="1:9" s="181" customFormat="1" ht="24.75" customHeight="1">
      <c r="A167" s="253"/>
      <c r="C167" s="228"/>
      <c r="D167" s="230"/>
      <c r="E167" s="160"/>
      <c r="F167" s="160"/>
      <c r="G167" s="159"/>
      <c r="H167" s="159"/>
      <c r="I167" s="159"/>
    </row>
    <row r="168" spans="1:9" s="181" customFormat="1" ht="24.75" customHeight="1">
      <c r="A168" s="253"/>
      <c r="C168" s="228"/>
      <c r="D168" s="230"/>
      <c r="E168" s="160"/>
      <c r="F168" s="160"/>
      <c r="G168" s="159"/>
      <c r="H168" s="159"/>
      <c r="I168" s="159"/>
    </row>
    <row r="169" spans="1:9" s="181" customFormat="1" ht="24.75" customHeight="1">
      <c r="A169" s="253"/>
      <c r="C169" s="228"/>
      <c r="D169" s="230"/>
      <c r="E169" s="160"/>
      <c r="F169" s="160"/>
      <c r="G169" s="159"/>
      <c r="H169" s="159"/>
      <c r="I169" s="159"/>
    </row>
    <row r="170" spans="1:9" s="181" customFormat="1" ht="19.5" customHeight="1">
      <c r="A170" s="253"/>
      <c r="C170" s="228"/>
      <c r="D170" s="230"/>
      <c r="E170" s="160"/>
      <c r="F170" s="160"/>
      <c r="G170" s="159"/>
      <c r="H170" s="159"/>
      <c r="I170" s="159"/>
    </row>
    <row r="171" spans="1:10" ht="19.5" customHeight="1">
      <c r="A171" s="169" t="str">
        <f>원가!A268</f>
        <v>구 분 : 주차관리                       직종명 : 보통인부</v>
      </c>
      <c r="B171" s="170"/>
      <c r="C171" s="170"/>
      <c r="D171" s="169"/>
      <c r="I171" s="226"/>
      <c r="J171" s="226" t="s">
        <v>39</v>
      </c>
    </row>
    <row r="172" spans="1:10" ht="24.75" customHeight="1">
      <c r="A172" s="730" t="s">
        <v>73</v>
      </c>
      <c r="B172" s="714"/>
      <c r="C172" s="731"/>
      <c r="D172" s="712" t="s">
        <v>74</v>
      </c>
      <c r="E172" s="729"/>
      <c r="F172" s="729"/>
      <c r="G172" s="713"/>
      <c r="H172" s="792" t="s">
        <v>249</v>
      </c>
      <c r="I172" s="757" t="s">
        <v>75</v>
      </c>
      <c r="J172" s="716" t="s">
        <v>76</v>
      </c>
    </row>
    <row r="173" spans="1:10" ht="24.75" customHeight="1">
      <c r="A173" s="732"/>
      <c r="B173" s="733"/>
      <c r="C173" s="734"/>
      <c r="D173" s="156" t="s">
        <v>77</v>
      </c>
      <c r="E173" s="36" t="s">
        <v>78</v>
      </c>
      <c r="F173" s="36" t="s">
        <v>79</v>
      </c>
      <c r="G173" s="36" t="s">
        <v>58</v>
      </c>
      <c r="H173" s="793"/>
      <c r="I173" s="762"/>
      <c r="J173" s="749"/>
    </row>
    <row r="174" spans="1:10" ht="19.5" customHeight="1">
      <c r="A174" s="5"/>
      <c r="B174" s="11"/>
      <c r="C174" s="4"/>
      <c r="D174" s="9"/>
      <c r="E174" s="185"/>
      <c r="F174" s="185"/>
      <c r="G174" s="15"/>
      <c r="H174" s="325"/>
      <c r="I174" s="185"/>
      <c r="J174" s="9"/>
    </row>
    <row r="175" spans="1:10" ht="39.75" customHeight="1">
      <c r="A175" s="174"/>
      <c r="B175" s="10"/>
      <c r="C175" s="164"/>
      <c r="D175" s="8"/>
      <c r="E175" s="35"/>
      <c r="F175" s="35"/>
      <c r="G175" s="42"/>
      <c r="H175" s="328" t="s">
        <v>3</v>
      </c>
      <c r="I175" s="35"/>
      <c r="J175" s="8"/>
    </row>
    <row r="176" spans="1:10" ht="39.75" customHeight="1">
      <c r="A176" s="326"/>
      <c r="B176" s="189" t="s">
        <v>30</v>
      </c>
      <c r="C176" s="175"/>
      <c r="D176" s="331">
        <f>인집!G15</f>
        <v>1038030</v>
      </c>
      <c r="E176" s="331">
        <f>인집!H15</f>
        <v>114365</v>
      </c>
      <c r="F176" s="331">
        <f>인집!I15</f>
        <v>346010</v>
      </c>
      <c r="G176" s="332">
        <f>SUM(D176:F176)</f>
        <v>1498405</v>
      </c>
      <c r="H176" s="340">
        <f>보험료산출기준!$I$7</f>
        <v>2.1</v>
      </c>
      <c r="I176" s="333">
        <f>TRUNC(G176*H176%,0)</f>
        <v>31466</v>
      </c>
      <c r="J176" s="35"/>
    </row>
    <row r="177" spans="1:10" ht="39.75" customHeight="1">
      <c r="A177" s="174"/>
      <c r="B177" s="189" t="s">
        <v>80</v>
      </c>
      <c r="C177" s="164"/>
      <c r="D177" s="331">
        <f aca="true" t="shared" si="8" ref="D177:F179">D176</f>
        <v>1038030</v>
      </c>
      <c r="E177" s="331">
        <f t="shared" si="8"/>
        <v>114365</v>
      </c>
      <c r="F177" s="331">
        <f t="shared" si="8"/>
        <v>346010</v>
      </c>
      <c r="G177" s="332">
        <f>SUM(D177:F177)</f>
        <v>1498405</v>
      </c>
      <c r="H177" s="340">
        <f>보험료산출기준!$I$8</f>
        <v>4.5</v>
      </c>
      <c r="I177" s="333">
        <f>TRUNC(G177*H177%,0)</f>
        <v>67428</v>
      </c>
      <c r="J177" s="35"/>
    </row>
    <row r="178" spans="1:10" ht="39.75" customHeight="1">
      <c r="A178" s="174"/>
      <c r="B178" s="189" t="s">
        <v>81</v>
      </c>
      <c r="C178" s="164"/>
      <c r="D178" s="331">
        <f t="shared" si="8"/>
        <v>1038030</v>
      </c>
      <c r="E178" s="331">
        <f t="shared" si="8"/>
        <v>114365</v>
      </c>
      <c r="F178" s="331">
        <f t="shared" si="8"/>
        <v>346010</v>
      </c>
      <c r="G178" s="332">
        <f>SUM(D178:F178)</f>
        <v>1498405</v>
      </c>
      <c r="H178" s="340">
        <f>보험료산출기준!$I$9</f>
        <v>0.7</v>
      </c>
      <c r="I178" s="333">
        <f>TRUNC(G178*H178%,0)</f>
        <v>10488</v>
      </c>
      <c r="J178" s="35"/>
    </row>
    <row r="179" spans="1:10" ht="39.75" customHeight="1">
      <c r="A179" s="174"/>
      <c r="B179" s="672" t="s">
        <v>82</v>
      </c>
      <c r="C179" s="673"/>
      <c r="D179" s="674">
        <f t="shared" si="8"/>
        <v>1038030</v>
      </c>
      <c r="E179" s="674">
        <f t="shared" si="8"/>
        <v>114365</v>
      </c>
      <c r="F179" s="674">
        <f t="shared" si="8"/>
        <v>346010</v>
      </c>
      <c r="G179" s="675">
        <f>SUM(D179:F179)</f>
        <v>1498405</v>
      </c>
      <c r="H179" s="676">
        <v>2.665</v>
      </c>
      <c r="I179" s="677">
        <f>TRUNC(G179*H179%,0)</f>
        <v>39932</v>
      </c>
      <c r="J179" s="35"/>
    </row>
    <row r="180" spans="1:10" ht="39.75" customHeight="1">
      <c r="A180" s="174"/>
      <c r="B180" s="672" t="s">
        <v>307</v>
      </c>
      <c r="C180" s="673"/>
      <c r="D180" s="674"/>
      <c r="E180" s="674"/>
      <c r="F180" s="674"/>
      <c r="G180" s="674"/>
      <c r="H180" s="676">
        <v>6.55</v>
      </c>
      <c r="I180" s="677">
        <f>TRUNC(I179*H180%,0)</f>
        <v>2615</v>
      </c>
      <c r="J180" s="35" t="s">
        <v>259</v>
      </c>
    </row>
    <row r="181" spans="1:10" ht="39.75" customHeight="1">
      <c r="A181" s="20"/>
      <c r="B181" s="678" t="s">
        <v>83</v>
      </c>
      <c r="C181" s="679"/>
      <c r="D181" s="674">
        <f>D179</f>
        <v>1038030</v>
      </c>
      <c r="E181" s="674">
        <f>E179</f>
        <v>114365</v>
      </c>
      <c r="F181" s="674">
        <f>F179</f>
        <v>346010</v>
      </c>
      <c r="G181" s="675">
        <f>SUM(D181:F181)</f>
        <v>1498405</v>
      </c>
      <c r="H181" s="676">
        <v>0.08</v>
      </c>
      <c r="I181" s="677">
        <f>TRUNC(G181*H181%,0)</f>
        <v>1198</v>
      </c>
      <c r="J181" s="35"/>
    </row>
    <row r="182" spans="1:10" ht="19.5" customHeight="1">
      <c r="A182" s="18"/>
      <c r="B182" s="327"/>
      <c r="C182" s="17"/>
      <c r="D182" s="334"/>
      <c r="E182" s="334"/>
      <c r="F182" s="334"/>
      <c r="G182" s="335"/>
      <c r="H182" s="350"/>
      <c r="I182" s="336"/>
      <c r="J182" s="36"/>
    </row>
    <row r="183" spans="1:10" ht="45" customHeight="1">
      <c r="A183" s="38"/>
      <c r="B183" s="39" t="s">
        <v>208</v>
      </c>
      <c r="C183" s="40"/>
      <c r="D183" s="337"/>
      <c r="E183" s="338"/>
      <c r="F183" s="338"/>
      <c r="G183" s="339"/>
      <c r="H183" s="339"/>
      <c r="I183" s="338">
        <f>SUM(I176:I182)</f>
        <v>153127</v>
      </c>
      <c r="J183" s="227"/>
    </row>
    <row r="184" spans="1:10" s="181" customFormat="1" ht="24.75" customHeight="1">
      <c r="A184" s="228" t="str">
        <f>"주 1) 적용대상액 : "&amp;인집!$A$1&amp;인집!$A$2&amp;" 참조"</f>
        <v>주 1) 적용대상액 : &lt; 표 : 4 &gt; 단위당인건비집계표 참조</v>
      </c>
      <c r="C184" s="228"/>
      <c r="D184" s="228"/>
      <c r="E184" s="179"/>
      <c r="F184" s="179"/>
      <c r="G184" s="180"/>
      <c r="H184" s="180"/>
      <c r="I184" s="180"/>
      <c r="J184" s="229"/>
    </row>
    <row r="185" spans="1:10" s="181" customFormat="1" ht="24.75" customHeight="1">
      <c r="A185" s="228" t="str">
        <f>"   2) 비율(%) : "&amp;보험료산출기준!$A$1&amp;보험료산출기준!$A$2&amp;" 참조"</f>
        <v>   2) 비율(%) : &lt; 표 : 13 &gt; 보험료산정기준표 참조</v>
      </c>
      <c r="C185" s="228"/>
      <c r="D185" s="228"/>
      <c r="E185" s="179"/>
      <c r="F185" s="179"/>
      <c r="G185" s="180"/>
      <c r="H185" s="180"/>
      <c r="I185" s="180"/>
      <c r="J185" s="229"/>
    </row>
    <row r="186" spans="1:9" s="181" customFormat="1" ht="24.75" customHeight="1">
      <c r="A186" s="598" t="s">
        <v>572</v>
      </c>
      <c r="C186" s="228"/>
      <c r="D186" s="230"/>
      <c r="E186" s="160"/>
      <c r="F186" s="160"/>
      <c r="G186" s="159"/>
      <c r="H186" s="159"/>
      <c r="I186" s="159"/>
    </row>
    <row r="187" spans="1:9" s="181" customFormat="1" ht="24.75" customHeight="1">
      <c r="A187" s="253"/>
      <c r="C187" s="228"/>
      <c r="D187" s="230"/>
      <c r="E187" s="160"/>
      <c r="F187" s="160"/>
      <c r="G187" s="159"/>
      <c r="H187" s="159"/>
      <c r="I187" s="159"/>
    </row>
    <row r="188" spans="1:9" s="181" customFormat="1" ht="24.75" customHeight="1">
      <c r="A188" s="253"/>
      <c r="C188" s="228"/>
      <c r="D188" s="230"/>
      <c r="E188" s="160"/>
      <c r="F188" s="160"/>
      <c r="G188" s="159"/>
      <c r="H188" s="159"/>
      <c r="I188" s="159"/>
    </row>
    <row r="189" spans="1:9" s="181" customFormat="1" ht="24.75" customHeight="1">
      <c r="A189" s="253"/>
      <c r="C189" s="228"/>
      <c r="D189" s="230"/>
      <c r="E189" s="160"/>
      <c r="F189" s="160"/>
      <c r="G189" s="159"/>
      <c r="H189" s="159"/>
      <c r="I189" s="159"/>
    </row>
    <row r="190" spans="1:9" s="181" customFormat="1" ht="24.75" customHeight="1">
      <c r="A190" s="253"/>
      <c r="C190" s="228"/>
      <c r="D190" s="230"/>
      <c r="E190" s="160"/>
      <c r="F190" s="160"/>
      <c r="G190" s="159"/>
      <c r="H190" s="159"/>
      <c r="I190" s="159"/>
    </row>
    <row r="191" spans="1:9" s="181" customFormat="1" ht="19.5" customHeight="1">
      <c r="A191" s="253"/>
      <c r="C191" s="228"/>
      <c r="D191" s="230"/>
      <c r="E191" s="160"/>
      <c r="F191" s="160"/>
      <c r="G191" s="159"/>
      <c r="H191" s="159"/>
      <c r="I191" s="159"/>
    </row>
  </sheetData>
  <sheetProtection/>
  <mergeCells count="45">
    <mergeCell ref="J151:J152"/>
    <mergeCell ref="A172:C173"/>
    <mergeCell ref="D172:G172"/>
    <mergeCell ref="H172:H173"/>
    <mergeCell ref="I172:I173"/>
    <mergeCell ref="J172:J173"/>
    <mergeCell ref="A151:C152"/>
    <mergeCell ref="D151:G151"/>
    <mergeCell ref="H151:H152"/>
    <mergeCell ref="I151:I152"/>
    <mergeCell ref="J109:J110"/>
    <mergeCell ref="A130:C131"/>
    <mergeCell ref="D130:G130"/>
    <mergeCell ref="H130:H131"/>
    <mergeCell ref="I130:I131"/>
    <mergeCell ref="J130:J131"/>
    <mergeCell ref="A109:C110"/>
    <mergeCell ref="D109:G109"/>
    <mergeCell ref="H109:H110"/>
    <mergeCell ref="I109:I110"/>
    <mergeCell ref="J67:J68"/>
    <mergeCell ref="A88:C89"/>
    <mergeCell ref="D88:G88"/>
    <mergeCell ref="H88:H89"/>
    <mergeCell ref="I88:I89"/>
    <mergeCell ref="J88:J89"/>
    <mergeCell ref="A67:C68"/>
    <mergeCell ref="D67:G67"/>
    <mergeCell ref="H67:H68"/>
    <mergeCell ref="I67:I68"/>
    <mergeCell ref="A46:C47"/>
    <mergeCell ref="D46:G46"/>
    <mergeCell ref="H46:H47"/>
    <mergeCell ref="I46:I47"/>
    <mergeCell ref="J46:J47"/>
    <mergeCell ref="A25:C26"/>
    <mergeCell ref="D25:G25"/>
    <mergeCell ref="H25:H26"/>
    <mergeCell ref="I25:I26"/>
    <mergeCell ref="J5:J6"/>
    <mergeCell ref="A5:C6"/>
    <mergeCell ref="D5:G5"/>
    <mergeCell ref="H5:H6"/>
    <mergeCell ref="I5:I6"/>
    <mergeCell ref="J25:J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&amp;P+30 -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E1">
      <selection activeCell="F3" sqref="F3"/>
    </sheetView>
  </sheetViews>
  <sheetFormatPr defaultColWidth="9.140625" defaultRowHeight="12"/>
  <cols>
    <col min="1" max="1" width="4.7109375" style="316" customWidth="1"/>
    <col min="2" max="2" width="0.85546875" style="316" customWidth="1"/>
    <col min="3" max="3" width="20.7109375" style="316" customWidth="1"/>
    <col min="4" max="4" width="0.85546875" style="316" customWidth="1"/>
    <col min="5" max="5" width="43.140625" style="310" customWidth="1"/>
    <col min="6" max="6" width="89.140625" style="310" customWidth="1"/>
    <col min="7" max="7" width="33.7109375" style="310" customWidth="1"/>
    <col min="8" max="8" width="13.00390625" style="310" customWidth="1"/>
    <col min="9" max="9" width="9.140625" style="310" customWidth="1"/>
    <col min="10" max="10" width="9.140625" style="311" customWidth="1"/>
    <col min="11" max="16384" width="9.140625" style="310" customWidth="1"/>
  </cols>
  <sheetData>
    <row r="1" spans="1:4" ht="19.5" customHeight="1">
      <c r="A1" s="312" t="s">
        <v>470</v>
      </c>
      <c r="B1" s="313"/>
      <c r="C1" s="313"/>
      <c r="D1" s="313"/>
    </row>
    <row r="2" spans="1:8" ht="39.75" customHeight="1">
      <c r="A2" s="307" t="s">
        <v>236</v>
      </c>
      <c r="B2" s="315"/>
      <c r="C2" s="315"/>
      <c r="D2" s="315"/>
      <c r="E2" s="314"/>
      <c r="F2" s="314"/>
      <c r="G2" s="314"/>
      <c r="H2" s="314"/>
    </row>
    <row r="3" spans="1:8" ht="19.5" customHeight="1">
      <c r="A3" s="314"/>
      <c r="B3" s="315"/>
      <c r="C3" s="315"/>
      <c r="D3" s="315"/>
      <c r="E3" s="314"/>
      <c r="F3" s="314"/>
      <c r="G3" s="314"/>
      <c r="H3" s="314"/>
    </row>
    <row r="4" ht="19.5" customHeight="1"/>
    <row r="5" spans="1:8" ht="24.75" customHeight="1">
      <c r="A5" s="730" t="s">
        <v>227</v>
      </c>
      <c r="B5" s="714"/>
      <c r="C5" s="714"/>
      <c r="D5" s="731"/>
      <c r="E5" s="722" t="s">
        <v>228</v>
      </c>
      <c r="F5" s="720" t="s">
        <v>229</v>
      </c>
      <c r="G5" s="722" t="s">
        <v>230</v>
      </c>
      <c r="H5" s="722" t="s">
        <v>231</v>
      </c>
    </row>
    <row r="6" spans="1:8" ht="24.75" customHeight="1">
      <c r="A6" s="732"/>
      <c r="B6" s="733"/>
      <c r="C6" s="733"/>
      <c r="D6" s="734"/>
      <c r="E6" s="723"/>
      <c r="F6" s="721"/>
      <c r="G6" s="723"/>
      <c r="H6" s="723"/>
    </row>
    <row r="7" spans="1:9" ht="49.5" customHeight="1">
      <c r="A7" s="727" t="s">
        <v>232</v>
      </c>
      <c r="B7" s="238"/>
      <c r="C7" s="37" t="s">
        <v>233</v>
      </c>
      <c r="D7" s="308"/>
      <c r="E7" s="309" t="s">
        <v>234</v>
      </c>
      <c r="F7" s="634" t="s">
        <v>521</v>
      </c>
      <c r="G7" s="309" t="s">
        <v>282</v>
      </c>
      <c r="H7" s="317" t="str">
        <f>산재비율!A1&amp;"
참조"</f>
        <v>&lt; 표 : 14 &gt; 
참조</v>
      </c>
      <c r="I7" s="310">
        <v>2.1</v>
      </c>
    </row>
    <row r="8" spans="1:9" ht="49.5" customHeight="1">
      <c r="A8" s="728"/>
      <c r="B8" s="238"/>
      <c r="C8" s="37" t="s">
        <v>80</v>
      </c>
      <c r="D8" s="308"/>
      <c r="E8" s="309" t="s">
        <v>2</v>
      </c>
      <c r="F8" s="634" t="s">
        <v>522</v>
      </c>
      <c r="G8" s="309" t="s">
        <v>235</v>
      </c>
      <c r="H8" s="318"/>
      <c r="I8" s="310">
        <v>4.5</v>
      </c>
    </row>
    <row r="9" spans="1:9" ht="150" customHeight="1">
      <c r="A9" s="728"/>
      <c r="B9" s="238"/>
      <c r="C9" s="37" t="s">
        <v>226</v>
      </c>
      <c r="D9" s="308"/>
      <c r="E9" s="634" t="s">
        <v>523</v>
      </c>
      <c r="F9" s="586" t="s">
        <v>459</v>
      </c>
      <c r="G9" s="346" t="s">
        <v>460</v>
      </c>
      <c r="H9" s="347"/>
      <c r="I9" s="348">
        <v>0.7</v>
      </c>
    </row>
    <row r="10" spans="1:9" ht="49.5" customHeight="1">
      <c r="A10" s="728"/>
      <c r="B10" s="238"/>
      <c r="C10" s="37" t="s">
        <v>82</v>
      </c>
      <c r="D10" s="308"/>
      <c r="E10" s="309" t="s">
        <v>244</v>
      </c>
      <c r="F10" s="309" t="s">
        <v>0</v>
      </c>
      <c r="G10" s="634" t="s">
        <v>569</v>
      </c>
      <c r="H10" s="318"/>
      <c r="I10" s="310">
        <v>2.54</v>
      </c>
    </row>
    <row r="11" spans="1:9" s="348" customFormat="1" ht="54.75" customHeight="1">
      <c r="A11" s="728"/>
      <c r="B11" s="343"/>
      <c r="C11" s="344" t="s">
        <v>307</v>
      </c>
      <c r="D11" s="345"/>
      <c r="E11" s="346" t="s">
        <v>270</v>
      </c>
      <c r="F11" s="346" t="s">
        <v>271</v>
      </c>
      <c r="G11" s="634" t="s">
        <v>571</v>
      </c>
      <c r="H11" s="347"/>
      <c r="I11" s="348">
        <v>4.78</v>
      </c>
    </row>
    <row r="12" spans="1:9" ht="49.5" customHeight="1">
      <c r="A12" s="794"/>
      <c r="B12" s="238"/>
      <c r="C12" s="37" t="s">
        <v>83</v>
      </c>
      <c r="D12" s="308"/>
      <c r="E12" s="309" t="s">
        <v>272</v>
      </c>
      <c r="F12" s="309" t="s">
        <v>273</v>
      </c>
      <c r="G12" s="634" t="s">
        <v>570</v>
      </c>
      <c r="H12" s="318"/>
      <c r="I12" s="310">
        <v>0.04</v>
      </c>
    </row>
    <row r="13" ht="27.75" customHeight="1"/>
    <row r="14" ht="27.75" customHeight="1"/>
    <row r="15" ht="39.75" customHeight="1"/>
  </sheetData>
  <sheetProtection/>
  <mergeCells count="6">
    <mergeCell ref="H5:H6"/>
    <mergeCell ref="A7:A12"/>
    <mergeCell ref="A5:D6"/>
    <mergeCell ref="E5:E6"/>
    <mergeCell ref="F5:F6"/>
    <mergeCell ref="G5:G6"/>
  </mergeCells>
  <printOptions horizontalCentered="1"/>
  <pageMargins left="0.7874015748031497" right="0.7086614173228347" top="0.7874015748031497" bottom="0.7874015748031497" header="0.5118110236220472" footer="0.5118110236220472"/>
  <pageSetup horizontalDpi="600" verticalDpi="600" orientation="landscape" paperSize="9" scale="70" r:id="rId2"/>
  <headerFooter alignWithMargins="0">
    <oddFooter>&amp;C- &amp;P+39 -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view="pageBreakPreview" zoomScaleSheetLayoutView="100" zoomScalePageLayoutView="0" workbookViewId="0" topLeftCell="A1">
      <selection activeCell="A2" sqref="A2"/>
    </sheetView>
  </sheetViews>
  <sheetFormatPr defaultColWidth="9.140625" defaultRowHeight="24.75" customHeight="1"/>
  <cols>
    <col min="1" max="1" width="0.85546875" style="603" customWidth="1"/>
    <col min="2" max="2" width="35.7109375" style="602" customWidth="1"/>
    <col min="3" max="3" width="0.85546875" style="603" customWidth="1"/>
    <col min="4" max="4" width="9.7109375" style="603" customWidth="1"/>
    <col min="5" max="5" width="0.85546875" style="603" customWidth="1"/>
    <col min="6" max="6" width="36.7109375" style="602" customWidth="1"/>
    <col min="7" max="7" width="0.85546875" style="603" customWidth="1"/>
    <col min="8" max="8" width="9.7109375" style="603" customWidth="1"/>
    <col min="9" max="16384" width="9.140625" style="603" customWidth="1"/>
  </cols>
  <sheetData>
    <row r="1" spans="1:8" ht="19.5" customHeight="1">
      <c r="A1" s="599" t="s">
        <v>471</v>
      </c>
      <c r="B1" s="599"/>
      <c r="C1" s="600"/>
      <c r="D1" s="601"/>
      <c r="E1" s="601"/>
      <c r="G1" s="601"/>
      <c r="H1" s="601"/>
    </row>
    <row r="2" spans="1:8" ht="39.75" customHeight="1">
      <c r="A2" s="349" t="s">
        <v>199</v>
      </c>
      <c r="B2" s="604"/>
      <c r="C2" s="604"/>
      <c r="D2" s="604"/>
      <c r="E2" s="604"/>
      <c r="F2" s="604"/>
      <c r="G2" s="604"/>
      <c r="H2" s="604"/>
    </row>
    <row r="3" spans="1:8" ht="19.5" customHeight="1">
      <c r="A3" s="605"/>
      <c r="B3" s="606"/>
      <c r="C3" s="606"/>
      <c r="D3" s="606"/>
      <c r="E3" s="606"/>
      <c r="F3" s="605"/>
      <c r="G3" s="606"/>
      <c r="H3" s="606"/>
    </row>
    <row r="4" spans="1:8" ht="19.5" customHeight="1">
      <c r="A4" s="607"/>
      <c r="B4" s="607"/>
      <c r="C4" s="608"/>
      <c r="D4" s="608"/>
      <c r="E4" s="608"/>
      <c r="G4" s="601"/>
      <c r="H4" s="609" t="s">
        <v>491</v>
      </c>
    </row>
    <row r="5" spans="1:8" ht="30" customHeight="1">
      <c r="A5" s="610"/>
      <c r="B5" s="611" t="s">
        <v>200</v>
      </c>
      <c r="C5" s="612"/>
      <c r="D5" s="613" t="s">
        <v>274</v>
      </c>
      <c r="E5" s="614"/>
      <c r="F5" s="611" t="s">
        <v>200</v>
      </c>
      <c r="G5" s="612"/>
      <c r="H5" s="613" t="s">
        <v>274</v>
      </c>
    </row>
    <row r="6" spans="1:8" ht="15" customHeight="1">
      <c r="A6" s="615"/>
      <c r="B6" s="616" t="s">
        <v>84</v>
      </c>
      <c r="C6" s="617"/>
      <c r="D6" s="601"/>
      <c r="E6" s="615"/>
      <c r="F6" s="616"/>
      <c r="G6" s="618"/>
      <c r="H6" s="618"/>
    </row>
    <row r="7" spans="1:8" ht="15" customHeight="1">
      <c r="A7" s="615"/>
      <c r="B7" s="616" t="s">
        <v>85</v>
      </c>
      <c r="C7" s="618"/>
      <c r="D7" s="619">
        <v>360</v>
      </c>
      <c r="E7" s="615"/>
      <c r="F7" s="616" t="s">
        <v>89</v>
      </c>
      <c r="G7" s="618"/>
      <c r="H7" s="620" t="s">
        <v>492</v>
      </c>
    </row>
    <row r="8" spans="1:8" ht="15" customHeight="1">
      <c r="A8" s="615"/>
      <c r="B8" s="616" t="s">
        <v>86</v>
      </c>
      <c r="C8" s="618"/>
      <c r="D8" s="621" t="s">
        <v>493</v>
      </c>
      <c r="E8" s="615"/>
      <c r="F8" s="616" t="s">
        <v>275</v>
      </c>
      <c r="G8" s="618"/>
      <c r="H8" s="620" t="s">
        <v>492</v>
      </c>
    </row>
    <row r="9" spans="1:8" ht="15" customHeight="1">
      <c r="A9" s="615"/>
      <c r="B9" s="616" t="s">
        <v>88</v>
      </c>
      <c r="C9" s="618"/>
      <c r="D9" s="621" t="s">
        <v>494</v>
      </c>
      <c r="E9" s="615"/>
      <c r="F9" s="616" t="s">
        <v>91</v>
      </c>
      <c r="G9" s="618"/>
      <c r="H9" s="620" t="s">
        <v>495</v>
      </c>
    </row>
    <row r="10" spans="1:8" ht="15" customHeight="1">
      <c r="A10" s="615"/>
      <c r="B10" s="616" t="s">
        <v>90</v>
      </c>
      <c r="C10" s="618"/>
      <c r="D10" s="621" t="s">
        <v>496</v>
      </c>
      <c r="E10" s="615"/>
      <c r="F10" s="616" t="s">
        <v>201</v>
      </c>
      <c r="G10" s="618"/>
      <c r="H10" s="620" t="s">
        <v>497</v>
      </c>
    </row>
    <row r="11" spans="1:8" ht="15" customHeight="1">
      <c r="A11" s="615"/>
      <c r="B11" s="616" t="s">
        <v>92</v>
      </c>
      <c r="C11" s="618"/>
      <c r="D11" s="621" t="s">
        <v>498</v>
      </c>
      <c r="E11" s="615"/>
      <c r="F11" s="616" t="s">
        <v>94</v>
      </c>
      <c r="G11" s="618"/>
      <c r="H11" s="622">
        <v>18</v>
      </c>
    </row>
    <row r="12" spans="1:8" ht="15" customHeight="1">
      <c r="A12" s="615"/>
      <c r="B12" s="616" t="s">
        <v>93</v>
      </c>
      <c r="C12" s="618"/>
      <c r="D12" s="621" t="s">
        <v>499</v>
      </c>
      <c r="E12" s="615"/>
      <c r="F12" s="616" t="s">
        <v>95</v>
      </c>
      <c r="G12" s="618"/>
      <c r="H12" s="620" t="s">
        <v>500</v>
      </c>
    </row>
    <row r="13" spans="1:8" ht="15" customHeight="1">
      <c r="A13" s="615"/>
      <c r="B13" s="616" t="s">
        <v>96</v>
      </c>
      <c r="C13" s="618"/>
      <c r="D13" s="619"/>
      <c r="E13" s="615"/>
      <c r="F13" s="616" t="s">
        <v>202</v>
      </c>
      <c r="G13" s="618"/>
      <c r="H13" s="622">
        <v>10</v>
      </c>
    </row>
    <row r="14" spans="1:8" ht="15" customHeight="1">
      <c r="A14" s="615"/>
      <c r="B14" s="616" t="s">
        <v>97</v>
      </c>
      <c r="C14" s="618"/>
      <c r="D14" s="621" t="s">
        <v>501</v>
      </c>
      <c r="E14" s="615"/>
      <c r="F14" s="616" t="s">
        <v>98</v>
      </c>
      <c r="G14" s="618"/>
      <c r="H14" s="620" t="s">
        <v>502</v>
      </c>
    </row>
    <row r="15" spans="1:8" ht="15" customHeight="1">
      <c r="A15" s="615"/>
      <c r="B15" s="616" t="s">
        <v>99</v>
      </c>
      <c r="C15" s="618"/>
      <c r="D15" s="621" t="s">
        <v>503</v>
      </c>
      <c r="E15" s="615"/>
      <c r="F15" s="616" t="s">
        <v>100</v>
      </c>
      <c r="G15" s="618"/>
      <c r="H15" s="622"/>
    </row>
    <row r="16" spans="1:8" ht="15" customHeight="1">
      <c r="A16" s="615"/>
      <c r="B16" s="616" t="s">
        <v>101</v>
      </c>
      <c r="C16" s="618"/>
      <c r="D16" s="621" t="s">
        <v>504</v>
      </c>
      <c r="E16" s="615"/>
      <c r="F16" s="616" t="s">
        <v>102</v>
      </c>
      <c r="G16" s="618"/>
      <c r="H16" s="620" t="s">
        <v>505</v>
      </c>
    </row>
    <row r="17" spans="1:8" ht="15" customHeight="1">
      <c r="A17" s="615"/>
      <c r="B17" s="616" t="s">
        <v>103</v>
      </c>
      <c r="C17" s="618"/>
      <c r="D17" s="621" t="s">
        <v>492</v>
      </c>
      <c r="E17" s="615"/>
      <c r="F17" s="616" t="s">
        <v>104</v>
      </c>
      <c r="G17" s="618"/>
      <c r="H17" s="622">
        <v>22</v>
      </c>
    </row>
    <row r="18" spans="1:8" ht="15" customHeight="1">
      <c r="A18" s="615"/>
      <c r="B18" s="616" t="s">
        <v>105</v>
      </c>
      <c r="C18" s="618"/>
      <c r="D18" s="621" t="s">
        <v>506</v>
      </c>
      <c r="E18" s="615"/>
      <c r="F18" s="616" t="s">
        <v>106</v>
      </c>
      <c r="G18" s="618"/>
      <c r="H18" s="620" t="s">
        <v>507</v>
      </c>
    </row>
    <row r="19" spans="1:8" ht="15" customHeight="1">
      <c r="A19" s="615"/>
      <c r="B19" s="616" t="s">
        <v>107</v>
      </c>
      <c r="C19" s="618"/>
      <c r="D19" s="619">
        <v>50</v>
      </c>
      <c r="E19" s="615"/>
      <c r="F19" s="616" t="s">
        <v>108</v>
      </c>
      <c r="G19" s="618"/>
      <c r="H19" s="620" t="s">
        <v>508</v>
      </c>
    </row>
    <row r="20" spans="1:8" ht="24.75" customHeight="1">
      <c r="A20" s="615"/>
      <c r="B20" s="623" t="s">
        <v>276</v>
      </c>
      <c r="C20" s="618"/>
      <c r="D20" s="621" t="s">
        <v>509</v>
      </c>
      <c r="E20" s="615"/>
      <c r="F20" s="616" t="s">
        <v>109</v>
      </c>
      <c r="G20" s="618"/>
      <c r="H20" s="620" t="s">
        <v>510</v>
      </c>
    </row>
    <row r="21" spans="1:8" ht="15" customHeight="1">
      <c r="A21" s="615"/>
      <c r="B21" s="616" t="s">
        <v>277</v>
      </c>
      <c r="C21" s="618"/>
      <c r="D21" s="619">
        <v>9</v>
      </c>
      <c r="E21" s="615"/>
      <c r="F21" s="616" t="s">
        <v>110</v>
      </c>
      <c r="G21" s="618"/>
      <c r="H21" s="620" t="s">
        <v>503</v>
      </c>
    </row>
    <row r="22" spans="1:8" ht="15" customHeight="1">
      <c r="A22" s="615"/>
      <c r="B22" s="616" t="s">
        <v>111</v>
      </c>
      <c r="C22" s="618"/>
      <c r="D22" s="619">
        <v>17</v>
      </c>
      <c r="E22" s="615"/>
      <c r="F22" s="616" t="s">
        <v>112</v>
      </c>
      <c r="G22" s="618"/>
      <c r="H22" s="622">
        <v>18</v>
      </c>
    </row>
    <row r="23" spans="1:8" ht="15" customHeight="1">
      <c r="A23" s="615"/>
      <c r="B23" s="616" t="s">
        <v>113</v>
      </c>
      <c r="C23" s="618"/>
      <c r="D23" s="619">
        <v>18</v>
      </c>
      <c r="E23" s="615"/>
      <c r="F23" s="616" t="s">
        <v>114</v>
      </c>
      <c r="G23" s="618"/>
      <c r="H23" s="622">
        <v>11</v>
      </c>
    </row>
    <row r="24" spans="1:8" ht="15" customHeight="1">
      <c r="A24" s="615"/>
      <c r="B24" s="616" t="s">
        <v>115</v>
      </c>
      <c r="C24" s="618"/>
      <c r="D24" s="619">
        <v>10</v>
      </c>
      <c r="E24" s="615"/>
      <c r="F24" s="616" t="s">
        <v>116</v>
      </c>
      <c r="G24" s="618"/>
      <c r="H24" s="620" t="s">
        <v>511</v>
      </c>
    </row>
    <row r="25" spans="1:8" ht="15" customHeight="1">
      <c r="A25" s="615"/>
      <c r="B25" s="616" t="s">
        <v>117</v>
      </c>
      <c r="C25" s="618"/>
      <c r="D25" s="621" t="s">
        <v>498</v>
      </c>
      <c r="E25" s="615"/>
      <c r="F25" s="616" t="s">
        <v>120</v>
      </c>
      <c r="G25" s="618"/>
      <c r="H25" s="622"/>
    </row>
    <row r="26" spans="1:8" ht="15" customHeight="1">
      <c r="A26" s="615"/>
      <c r="B26" s="616" t="s">
        <v>278</v>
      </c>
      <c r="C26" s="618"/>
      <c r="D26" s="621" t="s">
        <v>512</v>
      </c>
      <c r="E26" s="615"/>
      <c r="F26" s="616" t="s">
        <v>203</v>
      </c>
      <c r="G26" s="618"/>
      <c r="H26" s="620" t="s">
        <v>513</v>
      </c>
    </row>
    <row r="27" spans="1:8" ht="15" customHeight="1">
      <c r="A27" s="615"/>
      <c r="B27" s="616" t="s">
        <v>118</v>
      </c>
      <c r="C27" s="618"/>
      <c r="D27" s="621" t="s">
        <v>514</v>
      </c>
      <c r="E27" s="615"/>
      <c r="F27" s="616" t="s">
        <v>204</v>
      </c>
      <c r="G27" s="618"/>
      <c r="H27" s="620" t="s">
        <v>515</v>
      </c>
    </row>
    <row r="28" spans="1:8" ht="15" customHeight="1">
      <c r="A28" s="615"/>
      <c r="B28" s="616" t="s">
        <v>119</v>
      </c>
      <c r="C28" s="618"/>
      <c r="D28" s="619">
        <v>32</v>
      </c>
      <c r="E28" s="615"/>
      <c r="F28" s="616" t="s">
        <v>122</v>
      </c>
      <c r="G28" s="618"/>
      <c r="H28" s="620" t="s">
        <v>516</v>
      </c>
    </row>
    <row r="29" spans="1:8" ht="15" customHeight="1">
      <c r="A29" s="615"/>
      <c r="B29" s="616" t="s">
        <v>121</v>
      </c>
      <c r="C29" s="618"/>
      <c r="D29" s="621" t="s">
        <v>517</v>
      </c>
      <c r="E29" s="615"/>
      <c r="F29" s="616" t="s">
        <v>124</v>
      </c>
      <c r="G29" s="618"/>
      <c r="H29" s="622"/>
    </row>
    <row r="30" spans="1:8" ht="15" customHeight="1">
      <c r="A30" s="615"/>
      <c r="B30" s="616" t="s">
        <v>123</v>
      </c>
      <c r="C30" s="618"/>
      <c r="D30" s="621" t="s">
        <v>500</v>
      </c>
      <c r="E30" s="615"/>
      <c r="F30" s="616" t="s">
        <v>126</v>
      </c>
      <c r="G30" s="618"/>
      <c r="H30" s="620" t="s">
        <v>498</v>
      </c>
    </row>
    <row r="31" spans="1:8" ht="15" customHeight="1">
      <c r="A31" s="615"/>
      <c r="B31" s="616" t="s">
        <v>125</v>
      </c>
      <c r="C31" s="618"/>
      <c r="D31" s="621" t="s">
        <v>492</v>
      </c>
      <c r="E31" s="610"/>
      <c r="F31" s="624" t="s">
        <v>127</v>
      </c>
      <c r="G31" s="612"/>
      <c r="H31" s="625">
        <v>21</v>
      </c>
    </row>
    <row r="32" spans="1:8" ht="24.75" customHeight="1">
      <c r="A32" s="615"/>
      <c r="B32" s="623" t="s">
        <v>279</v>
      </c>
      <c r="C32" s="618"/>
      <c r="D32" s="619">
        <v>49</v>
      </c>
      <c r="E32" s="615"/>
      <c r="F32" s="616" t="s">
        <v>129</v>
      </c>
      <c r="G32" s="618"/>
      <c r="H32" s="622">
        <v>33</v>
      </c>
    </row>
    <row r="33" spans="1:8" ht="15" customHeight="1">
      <c r="A33" s="615"/>
      <c r="B33" s="616" t="s">
        <v>128</v>
      </c>
      <c r="C33" s="618"/>
      <c r="D33" s="619">
        <v>12</v>
      </c>
      <c r="E33" s="615"/>
      <c r="F33" s="616" t="s">
        <v>132</v>
      </c>
      <c r="G33" s="618"/>
      <c r="H33" s="622">
        <v>17</v>
      </c>
    </row>
    <row r="34" spans="1:8" ht="15" customHeight="1">
      <c r="A34" s="615"/>
      <c r="B34" s="616" t="s">
        <v>130</v>
      </c>
      <c r="C34" s="618"/>
      <c r="D34" s="619">
        <v>37</v>
      </c>
      <c r="E34" s="615"/>
      <c r="F34" s="616" t="s">
        <v>134</v>
      </c>
      <c r="G34" s="618"/>
      <c r="H34" s="622">
        <v>10</v>
      </c>
    </row>
    <row r="35" spans="1:8" ht="15" customHeight="1">
      <c r="A35" s="615"/>
      <c r="B35" s="616" t="s">
        <v>131</v>
      </c>
      <c r="C35" s="618"/>
      <c r="D35" s="619">
        <v>23</v>
      </c>
      <c r="E35" s="615"/>
      <c r="F35" s="616" t="s">
        <v>280</v>
      </c>
      <c r="G35" s="618"/>
      <c r="H35" s="620" t="s">
        <v>518</v>
      </c>
    </row>
    <row r="36" spans="1:8" ht="15" customHeight="1">
      <c r="A36" s="615"/>
      <c r="B36" s="616" t="s">
        <v>133</v>
      </c>
      <c r="C36" s="601"/>
      <c r="D36" s="626">
        <v>26</v>
      </c>
      <c r="E36" s="601"/>
      <c r="F36" s="616" t="s">
        <v>205</v>
      </c>
      <c r="G36" s="618"/>
      <c r="H36" s="622">
        <v>7</v>
      </c>
    </row>
    <row r="37" spans="1:8" ht="15" customHeight="1">
      <c r="A37" s="615"/>
      <c r="B37" s="616" t="s">
        <v>135</v>
      </c>
      <c r="C37" s="601"/>
      <c r="D37" s="626">
        <v>13</v>
      </c>
      <c r="E37" s="601"/>
      <c r="F37" s="616" t="s">
        <v>206</v>
      </c>
      <c r="G37" s="618"/>
      <c r="H37" s="620" t="s">
        <v>505</v>
      </c>
    </row>
    <row r="38" spans="1:8" ht="15" customHeight="1">
      <c r="A38" s="615"/>
      <c r="B38" s="616" t="s">
        <v>207</v>
      </c>
      <c r="C38" s="618"/>
      <c r="D38" s="620" t="s">
        <v>510</v>
      </c>
      <c r="E38" s="601"/>
      <c r="F38" s="616" t="s">
        <v>136</v>
      </c>
      <c r="G38" s="618"/>
      <c r="H38" s="622">
        <v>7</v>
      </c>
    </row>
    <row r="39" spans="1:8" ht="15" customHeight="1">
      <c r="A39" s="615"/>
      <c r="B39" s="616" t="s">
        <v>87</v>
      </c>
      <c r="C39" s="618"/>
      <c r="D39" s="620" t="s">
        <v>519</v>
      </c>
      <c r="E39" s="601"/>
      <c r="F39" s="616" t="s">
        <v>281</v>
      </c>
      <c r="G39" s="618"/>
      <c r="H39" s="622"/>
    </row>
    <row r="40" spans="1:8" ht="9" customHeight="1">
      <c r="A40" s="627"/>
      <c r="B40" s="628"/>
      <c r="C40" s="629"/>
      <c r="D40" s="630"/>
      <c r="E40" s="629"/>
      <c r="F40" s="628"/>
      <c r="G40" s="631"/>
      <c r="H40" s="632"/>
    </row>
    <row r="41" spans="1:8" ht="24.75" customHeight="1">
      <c r="A41" s="601"/>
      <c r="B41" s="633" t="s">
        <v>520</v>
      </c>
      <c r="C41" s="313"/>
      <c r="D41" s="313"/>
      <c r="E41" s="601"/>
      <c r="G41" s="608"/>
      <c r="H41" s="608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view="pageBreakPreview" zoomScaleSheetLayoutView="100" zoomScalePageLayoutView="0" workbookViewId="0" topLeftCell="A1">
      <selection activeCell="H12" sqref="H12"/>
    </sheetView>
  </sheetViews>
  <sheetFormatPr defaultColWidth="10.28125" defaultRowHeight="33.75" customHeight="1"/>
  <cols>
    <col min="1" max="1" width="1.7109375" style="193" customWidth="1"/>
    <col min="2" max="2" width="15.7109375" style="193" customWidth="1"/>
    <col min="3" max="4" width="1.7109375" style="193" customWidth="1"/>
    <col min="5" max="5" width="17.7109375" style="193" customWidth="1"/>
    <col min="6" max="6" width="1.7109375" style="193" customWidth="1"/>
    <col min="7" max="7" width="12.7109375" style="194" hidden="1" customWidth="1"/>
    <col min="8" max="8" width="1.7109375" style="194" hidden="1" customWidth="1"/>
    <col min="9" max="9" width="16.8515625" style="194" customWidth="1"/>
    <col min="10" max="10" width="3.28125" style="194" customWidth="1"/>
    <col min="11" max="11" width="0.85546875" style="194" customWidth="1"/>
    <col min="12" max="12" width="33.57421875" style="194" customWidth="1"/>
    <col min="13" max="16384" width="10.28125" style="193" customWidth="1"/>
  </cols>
  <sheetData>
    <row r="1" ht="19.5" customHeight="1">
      <c r="A1" s="193" t="s">
        <v>472</v>
      </c>
    </row>
    <row r="2" spans="1:12" s="197" customFormat="1" ht="39.75" customHeight="1">
      <c r="A2" s="195" t="s">
        <v>137</v>
      </c>
      <c r="B2" s="195"/>
      <c r="C2" s="195"/>
      <c r="D2" s="195"/>
      <c r="E2" s="195"/>
      <c r="F2" s="195"/>
      <c r="G2" s="196"/>
      <c r="H2" s="196"/>
      <c r="I2" s="196"/>
      <c r="J2" s="196"/>
      <c r="K2" s="196"/>
      <c r="L2" s="196"/>
    </row>
    <row r="3" spans="1:12" ht="19.5" customHeight="1">
      <c r="A3" s="198"/>
      <c r="B3" s="198"/>
      <c r="C3" s="198"/>
      <c r="D3" s="198"/>
      <c r="E3" s="198"/>
      <c r="F3" s="198"/>
      <c r="G3" s="199"/>
      <c r="H3" s="199"/>
      <c r="I3" s="199"/>
      <c r="J3" s="199"/>
      <c r="K3" s="199"/>
      <c r="L3" s="199"/>
    </row>
    <row r="4" spans="2:12" ht="19.5" customHeight="1">
      <c r="B4" s="198"/>
      <c r="C4" s="200"/>
      <c r="D4" s="200"/>
      <c r="E4" s="200"/>
      <c r="F4" s="200"/>
      <c r="G4" s="199"/>
      <c r="H4" s="199"/>
      <c r="I4" s="199"/>
      <c r="J4" s="199"/>
      <c r="K4" s="199"/>
      <c r="L4" s="155" t="s">
        <v>36</v>
      </c>
    </row>
    <row r="5" spans="1:12" ht="49.5" customHeight="1">
      <c r="A5" s="205" t="s">
        <v>316</v>
      </c>
      <c r="B5" s="206"/>
      <c r="C5" s="207"/>
      <c r="D5" s="206" t="s">
        <v>317</v>
      </c>
      <c r="E5" s="206"/>
      <c r="F5" s="206"/>
      <c r="G5" s="208" t="s">
        <v>318</v>
      </c>
      <c r="H5" s="209"/>
      <c r="I5" s="208" t="s">
        <v>318</v>
      </c>
      <c r="J5" s="209"/>
      <c r="K5" s="208" t="s">
        <v>386</v>
      </c>
      <c r="L5" s="209"/>
    </row>
    <row r="6" spans="1:12" ht="9.75" customHeight="1">
      <c r="A6" s="205"/>
      <c r="B6" s="206"/>
      <c r="C6" s="207"/>
      <c r="D6" s="206"/>
      <c r="E6" s="401"/>
      <c r="F6" s="206"/>
      <c r="G6" s="208"/>
      <c r="H6" s="209"/>
      <c r="I6" s="208"/>
      <c r="J6" s="209"/>
      <c r="K6" s="208"/>
      <c r="L6" s="209"/>
    </row>
    <row r="7" spans="1:12" ht="30" customHeight="1">
      <c r="A7" s="210"/>
      <c r="B7" s="211" t="str">
        <f>인집!B7</f>
        <v>전기반장</v>
      </c>
      <c r="C7" s="212"/>
      <c r="D7" s="399"/>
      <c r="E7" s="513" t="str">
        <f>인집!E7</f>
        <v>전기기능사</v>
      </c>
      <c r="F7" s="399"/>
      <c r="G7" s="213">
        <f>식대!I7</f>
        <v>63000</v>
      </c>
      <c r="H7" s="214"/>
      <c r="I7" s="213">
        <f>G7</f>
        <v>63000</v>
      </c>
      <c r="J7" s="214"/>
      <c r="K7" s="213"/>
      <c r="L7" s="215"/>
    </row>
    <row r="8" spans="1:12" ht="30" customHeight="1">
      <c r="A8" s="210"/>
      <c r="B8" s="211" t="str">
        <f>인집!B8</f>
        <v>전기기사</v>
      </c>
      <c r="C8" s="212"/>
      <c r="D8" s="399"/>
      <c r="E8" s="513" t="str">
        <f>인집!E8</f>
        <v>전기정비공</v>
      </c>
      <c r="F8" s="399"/>
      <c r="G8" s="213">
        <f>식대!I8</f>
        <v>63000</v>
      </c>
      <c r="H8" s="214"/>
      <c r="I8" s="213">
        <f aca="true" t="shared" si="0" ref="I8:I15">G8</f>
        <v>63000</v>
      </c>
      <c r="J8" s="214"/>
      <c r="K8" s="213"/>
      <c r="L8" s="215"/>
    </row>
    <row r="9" spans="1:12" ht="30" customHeight="1">
      <c r="A9" s="210"/>
      <c r="B9" s="211" t="str">
        <f>인집!B9</f>
        <v>기계반장</v>
      </c>
      <c r="C9" s="212"/>
      <c r="D9" s="399"/>
      <c r="E9" s="513" t="str">
        <f>인집!E9</f>
        <v>보일러공</v>
      </c>
      <c r="F9" s="399"/>
      <c r="G9" s="213">
        <f>식대!I9</f>
        <v>63000</v>
      </c>
      <c r="H9" s="214"/>
      <c r="I9" s="213">
        <f t="shared" si="0"/>
        <v>63000</v>
      </c>
      <c r="J9" s="214"/>
      <c r="K9" s="213"/>
      <c r="L9" s="215"/>
    </row>
    <row r="10" spans="1:12" ht="30" customHeight="1">
      <c r="A10" s="210"/>
      <c r="B10" s="211" t="str">
        <f>인집!B10</f>
        <v>기계기사</v>
      </c>
      <c r="C10" s="212"/>
      <c r="D10" s="399"/>
      <c r="E10" s="513" t="str">
        <f>인집!E10</f>
        <v>기계정비공</v>
      </c>
      <c r="F10" s="399"/>
      <c r="G10" s="213">
        <f>식대!I10</f>
        <v>63000</v>
      </c>
      <c r="H10" s="214"/>
      <c r="I10" s="213">
        <f t="shared" si="0"/>
        <v>63000</v>
      </c>
      <c r="J10" s="214"/>
      <c r="K10" s="213"/>
      <c r="L10" s="215"/>
    </row>
    <row r="11" spans="1:12" ht="30" customHeight="1">
      <c r="A11" s="210"/>
      <c r="B11" s="211" t="str">
        <f>인집!B11</f>
        <v>미화반장</v>
      </c>
      <c r="C11" s="212"/>
      <c r="D11" s="399"/>
      <c r="E11" s="402" t="str">
        <f>인집!E11</f>
        <v>보통인부</v>
      </c>
      <c r="F11" s="399"/>
      <c r="G11" s="213">
        <f>식대!I11</f>
        <v>63000</v>
      </c>
      <c r="H11" s="214"/>
      <c r="I11" s="213">
        <f t="shared" si="0"/>
        <v>63000</v>
      </c>
      <c r="J11" s="214"/>
      <c r="K11" s="213"/>
      <c r="L11" s="215"/>
    </row>
    <row r="12" spans="1:12" ht="30" customHeight="1">
      <c r="A12" s="210"/>
      <c r="B12" s="211" t="str">
        <f>인집!B12</f>
        <v>미화원</v>
      </c>
      <c r="C12" s="212"/>
      <c r="D12" s="399"/>
      <c r="E12" s="402" t="str">
        <f>인집!E12</f>
        <v>보통인부</v>
      </c>
      <c r="F12" s="399"/>
      <c r="G12" s="213">
        <f>식대!I12</f>
        <v>63000</v>
      </c>
      <c r="H12" s="214"/>
      <c r="I12" s="213">
        <f t="shared" si="0"/>
        <v>63000</v>
      </c>
      <c r="J12" s="214"/>
      <c r="K12" s="213"/>
      <c r="L12" s="215"/>
    </row>
    <row r="13" spans="1:12" ht="30" customHeight="1">
      <c r="A13" s="210"/>
      <c r="B13" s="211" t="str">
        <f>인집!B13</f>
        <v>경비반장</v>
      </c>
      <c r="C13" s="212"/>
      <c r="D13" s="399"/>
      <c r="E13" s="402" t="str">
        <f>인집!E13</f>
        <v>보통인부</v>
      </c>
      <c r="F13" s="399"/>
      <c r="G13" s="213">
        <f>식대!I13</f>
        <v>63000</v>
      </c>
      <c r="H13" s="214"/>
      <c r="I13" s="213">
        <f t="shared" si="0"/>
        <v>63000</v>
      </c>
      <c r="J13" s="214"/>
      <c r="K13" s="213"/>
      <c r="L13" s="215"/>
    </row>
    <row r="14" spans="1:12" ht="30" customHeight="1">
      <c r="A14" s="210"/>
      <c r="B14" s="211" t="str">
        <f>인집!B14</f>
        <v>경비원</v>
      </c>
      <c r="C14" s="212"/>
      <c r="D14" s="399"/>
      <c r="E14" s="402" t="str">
        <f>인집!E14</f>
        <v>보통인부</v>
      </c>
      <c r="F14" s="399"/>
      <c r="G14" s="213">
        <f>식대!I14</f>
        <v>63000</v>
      </c>
      <c r="H14" s="214"/>
      <c r="I14" s="213">
        <f t="shared" si="0"/>
        <v>63000</v>
      </c>
      <c r="J14" s="214"/>
      <c r="K14" s="213"/>
      <c r="L14" s="215"/>
    </row>
    <row r="15" spans="1:12" ht="30" customHeight="1">
      <c r="A15" s="210"/>
      <c r="B15" s="211" t="str">
        <f>인집!B15</f>
        <v>주차관리</v>
      </c>
      <c r="C15" s="212"/>
      <c r="D15" s="399"/>
      <c r="E15" s="402" t="str">
        <f>인집!E15</f>
        <v>보통인부</v>
      </c>
      <c r="F15" s="399"/>
      <c r="G15" s="213">
        <f>식대!I15</f>
        <v>63000</v>
      </c>
      <c r="H15" s="214"/>
      <c r="I15" s="213">
        <f t="shared" si="0"/>
        <v>63000</v>
      </c>
      <c r="J15" s="214"/>
      <c r="K15" s="213"/>
      <c r="L15" s="215"/>
    </row>
    <row r="16" spans="1:12" ht="9.75" customHeight="1">
      <c r="A16" s="216"/>
      <c r="B16" s="217"/>
      <c r="C16" s="218"/>
      <c r="D16" s="400"/>
      <c r="E16" s="403"/>
      <c r="F16" s="400"/>
      <c r="G16" s="219"/>
      <c r="H16" s="220"/>
      <c r="I16" s="219"/>
      <c r="J16" s="220"/>
      <c r="K16" s="219"/>
      <c r="L16" s="221"/>
    </row>
    <row r="17" ht="24.75" customHeight="1">
      <c r="A17" s="204" t="str">
        <f>"주) 식대 : "&amp;식대!A1&amp;식대!A2&amp;" 참조"</f>
        <v>주) 식대 : &lt; 표 : 16 &gt; 단위(1인)당 식비산출표 참조</v>
      </c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&amp;P+41 -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90" zoomScaleSheetLayoutView="90" zoomScalePageLayoutView="0" workbookViewId="0" topLeftCell="A1">
      <selection activeCell="A3" sqref="A3"/>
    </sheetView>
  </sheetViews>
  <sheetFormatPr defaultColWidth="9.140625" defaultRowHeight="29.25" customHeight="1"/>
  <cols>
    <col min="1" max="1" width="2.7109375" style="152" customWidth="1"/>
    <col min="2" max="2" width="14.7109375" style="10" customWidth="1"/>
    <col min="3" max="3" width="2.7109375" style="152" customWidth="1"/>
    <col min="4" max="4" width="1.7109375" style="33" customWidth="1"/>
    <col min="5" max="5" width="15.7109375" style="34" customWidth="1"/>
    <col min="6" max="6" width="1.7109375" style="33" customWidth="1"/>
    <col min="7" max="8" width="10.7109375" style="33" customWidth="1"/>
    <col min="9" max="9" width="12.7109375" style="33" customWidth="1"/>
    <col min="10" max="10" width="0.85546875" style="33" customWidth="1"/>
    <col min="11" max="11" width="69.8515625" style="33" customWidth="1"/>
    <col min="12" max="16384" width="9.140625" style="186" customWidth="1"/>
  </cols>
  <sheetData>
    <row r="1" ht="23.25" customHeight="1">
      <c r="A1" s="186" t="s">
        <v>473</v>
      </c>
    </row>
    <row r="2" spans="1:11" s="187" customFormat="1" ht="43.5" customHeight="1">
      <c r="A2" s="165" t="s">
        <v>556</v>
      </c>
      <c r="B2" s="166"/>
      <c r="C2" s="165"/>
      <c r="D2" s="153"/>
      <c r="E2" s="167"/>
      <c r="F2" s="153"/>
      <c r="G2" s="153"/>
      <c r="H2" s="153"/>
      <c r="I2" s="153"/>
      <c r="J2" s="153"/>
      <c r="K2" s="153"/>
    </row>
    <row r="3" spans="1:11" s="187" customFormat="1" ht="19.5" customHeight="1">
      <c r="A3" s="165"/>
      <c r="B3" s="166"/>
      <c r="C3" s="165"/>
      <c r="D3" s="153"/>
      <c r="E3" s="167"/>
      <c r="F3" s="153"/>
      <c r="G3" s="153"/>
      <c r="H3" s="153"/>
      <c r="I3" s="153"/>
      <c r="J3" s="153"/>
      <c r="K3" s="153"/>
    </row>
    <row r="4" spans="1:11" ht="19.5" customHeight="1">
      <c r="A4" s="169"/>
      <c r="K4" s="172" t="s">
        <v>39</v>
      </c>
    </row>
    <row r="5" spans="1:11" ht="30" customHeight="1">
      <c r="A5" s="176" t="s">
        <v>197</v>
      </c>
      <c r="B5" s="377" t="s">
        <v>250</v>
      </c>
      <c r="C5" s="377"/>
      <c r="D5" s="378"/>
      <c r="E5" s="377" t="s">
        <v>308</v>
      </c>
      <c r="F5" s="242"/>
      <c r="G5" s="473" t="s">
        <v>138</v>
      </c>
      <c r="H5" s="473" t="s">
        <v>139</v>
      </c>
      <c r="I5" s="473" t="s">
        <v>37</v>
      </c>
      <c r="J5" s="243" t="s">
        <v>140</v>
      </c>
      <c r="K5" s="242"/>
    </row>
    <row r="6" spans="1:14" s="188" customFormat="1" ht="21.75" customHeight="1">
      <c r="A6" s="174"/>
      <c r="B6" s="10"/>
      <c r="C6" s="164"/>
      <c r="D6" s="174"/>
      <c r="E6" s="10"/>
      <c r="F6" s="10"/>
      <c r="G6" s="174" t="s">
        <v>52</v>
      </c>
      <c r="H6" s="174" t="s">
        <v>13</v>
      </c>
      <c r="I6" s="436" t="s">
        <v>259</v>
      </c>
      <c r="J6" s="173"/>
      <c r="K6" s="474"/>
      <c r="L6" s="475" t="s">
        <v>355</v>
      </c>
      <c r="M6" s="475" t="s">
        <v>356</v>
      </c>
      <c r="N6" s="639" t="s">
        <v>542</v>
      </c>
    </row>
    <row r="7" spans="1:14" ht="21.75" customHeight="1">
      <c r="A7" s="174"/>
      <c r="B7" s="368" t="str">
        <f>인집!B7</f>
        <v>전기반장</v>
      </c>
      <c r="C7" s="355"/>
      <c r="D7" s="362"/>
      <c r="E7" s="512" t="str">
        <f>인집!E7</f>
        <v>전기기능사</v>
      </c>
      <c r="F7" s="42"/>
      <c r="G7" s="470">
        <f aca="true" t="shared" si="0" ref="G7:G15">SUM(L7:N7)</f>
        <v>22</v>
      </c>
      <c r="H7" s="161">
        <v>2900</v>
      </c>
      <c r="I7" s="161">
        <f>TRUNC(G7*H7,-3)</f>
        <v>63000</v>
      </c>
      <c r="J7" s="183"/>
      <c r="K7" s="437" t="str">
        <f>""&amp;L7&amp;"(월근무일수) + "&amp;M7&amp;"(휴일근무일수)"</f>
        <v>21(월근무일수) + 1(휴일근무일수)</v>
      </c>
      <c r="L7" s="476">
        <f>월기본급!I9</f>
        <v>21</v>
      </c>
      <c r="M7" s="476">
        <f>휴일근로!$F$8</f>
        <v>1</v>
      </c>
      <c r="N7" s="476"/>
    </row>
    <row r="8" spans="1:14" ht="21.75" customHeight="1">
      <c r="A8" s="174"/>
      <c r="B8" s="368" t="str">
        <f>인집!B8</f>
        <v>전기기사</v>
      </c>
      <c r="C8" s="355"/>
      <c r="D8" s="362"/>
      <c r="E8" s="512" t="str">
        <f>인집!E8</f>
        <v>전기정비공</v>
      </c>
      <c r="F8" s="42"/>
      <c r="G8" s="470">
        <f t="shared" si="0"/>
        <v>22</v>
      </c>
      <c r="H8" s="161">
        <v>2900</v>
      </c>
      <c r="I8" s="161">
        <f aca="true" t="shared" si="1" ref="I8:I15">TRUNC(G8*H8,-3)</f>
        <v>63000</v>
      </c>
      <c r="J8" s="183"/>
      <c r="K8" s="437" t="str">
        <f aca="true" t="shared" si="2" ref="K8:K15">""&amp;L8&amp;"(월근무일수) + "&amp;M8&amp;"(휴일근무일수)"</f>
        <v>21(월근무일수) + 1(휴일근무일수)</v>
      </c>
      <c r="L8" s="476">
        <f>월기본급!I10</f>
        <v>21</v>
      </c>
      <c r="M8" s="476">
        <f>휴일근로!$F$8</f>
        <v>1</v>
      </c>
      <c r="N8" s="476"/>
    </row>
    <row r="9" spans="1:14" ht="21.75" customHeight="1">
      <c r="A9" s="174"/>
      <c r="B9" s="368" t="str">
        <f>인집!B9</f>
        <v>기계반장</v>
      </c>
      <c r="C9" s="355"/>
      <c r="D9" s="362"/>
      <c r="E9" s="512" t="str">
        <f>인집!E9</f>
        <v>보일러공</v>
      </c>
      <c r="F9" s="42"/>
      <c r="G9" s="470">
        <f t="shared" si="0"/>
        <v>22</v>
      </c>
      <c r="H9" s="161">
        <v>2900</v>
      </c>
      <c r="I9" s="161">
        <f t="shared" si="1"/>
        <v>63000</v>
      </c>
      <c r="J9" s="183"/>
      <c r="K9" s="437" t="str">
        <f t="shared" si="2"/>
        <v>21(월근무일수) + 1(휴일근무일수)</v>
      </c>
      <c r="L9" s="476">
        <f>월기본급!I11</f>
        <v>21</v>
      </c>
      <c r="M9" s="476">
        <f>휴일근로!$F$8</f>
        <v>1</v>
      </c>
      <c r="N9" s="476"/>
    </row>
    <row r="10" spans="1:14" ht="21.75" customHeight="1">
      <c r="A10" s="174"/>
      <c r="B10" s="368" t="str">
        <f>인집!B10</f>
        <v>기계기사</v>
      </c>
      <c r="C10" s="355"/>
      <c r="D10" s="362"/>
      <c r="E10" s="512" t="str">
        <f>인집!E10</f>
        <v>기계정비공</v>
      </c>
      <c r="F10" s="42"/>
      <c r="G10" s="470">
        <f t="shared" si="0"/>
        <v>22</v>
      </c>
      <c r="H10" s="161">
        <v>2900</v>
      </c>
      <c r="I10" s="161">
        <f t="shared" si="1"/>
        <v>63000</v>
      </c>
      <c r="J10" s="183"/>
      <c r="K10" s="437" t="str">
        <f t="shared" si="2"/>
        <v>21(월근무일수) + 1(휴일근무일수)</v>
      </c>
      <c r="L10" s="476">
        <f>월기본급!I12</f>
        <v>21</v>
      </c>
      <c r="M10" s="476">
        <f>휴일근로!$F$8</f>
        <v>1</v>
      </c>
      <c r="N10" s="476"/>
    </row>
    <row r="11" spans="1:14" ht="21.75" customHeight="1">
      <c r="A11" s="174"/>
      <c r="B11" s="368" t="str">
        <f>인집!B11</f>
        <v>미화반장</v>
      </c>
      <c r="C11" s="355"/>
      <c r="D11" s="362"/>
      <c r="E11" s="369" t="str">
        <f>인집!E11</f>
        <v>보통인부</v>
      </c>
      <c r="F11" s="42"/>
      <c r="G11" s="470">
        <f t="shared" si="0"/>
        <v>22</v>
      </c>
      <c r="H11" s="161">
        <v>2900</v>
      </c>
      <c r="I11" s="161">
        <f t="shared" si="1"/>
        <v>63000</v>
      </c>
      <c r="J11" s="183"/>
      <c r="K11" s="437" t="str">
        <f t="shared" si="2"/>
        <v>21(월근무일수) + 1(휴일근무일수)</v>
      </c>
      <c r="L11" s="476">
        <f>월기본급!I13</f>
        <v>21</v>
      </c>
      <c r="M11" s="476">
        <f>휴일근로!$F$8</f>
        <v>1</v>
      </c>
      <c r="N11" s="476"/>
    </row>
    <row r="12" spans="1:14" ht="21.75" customHeight="1">
      <c r="A12" s="174"/>
      <c r="B12" s="368" t="str">
        <f>인집!B12</f>
        <v>미화원</v>
      </c>
      <c r="C12" s="355"/>
      <c r="D12" s="362"/>
      <c r="E12" s="369" t="str">
        <f>인집!E12</f>
        <v>보통인부</v>
      </c>
      <c r="F12" s="42"/>
      <c r="G12" s="470">
        <f t="shared" si="0"/>
        <v>22</v>
      </c>
      <c r="H12" s="161">
        <v>2900</v>
      </c>
      <c r="I12" s="161">
        <f t="shared" si="1"/>
        <v>63000</v>
      </c>
      <c r="J12" s="183"/>
      <c r="K12" s="437" t="str">
        <f t="shared" si="2"/>
        <v>21(월근무일수) + 1(휴일근무일수)</v>
      </c>
      <c r="L12" s="476">
        <f>월기본급!I14</f>
        <v>21</v>
      </c>
      <c r="M12" s="476">
        <f>휴일근로!$F$8</f>
        <v>1</v>
      </c>
      <c r="N12" s="476"/>
    </row>
    <row r="13" spans="1:14" ht="21.75" customHeight="1">
      <c r="A13" s="174"/>
      <c r="B13" s="368" t="str">
        <f>인집!B13</f>
        <v>경비반장</v>
      </c>
      <c r="C13" s="355"/>
      <c r="D13" s="362"/>
      <c r="E13" s="369" t="str">
        <f>인집!E13</f>
        <v>보통인부</v>
      </c>
      <c r="F13" s="42"/>
      <c r="G13" s="470">
        <f t="shared" si="0"/>
        <v>22</v>
      </c>
      <c r="H13" s="432">
        <v>2900</v>
      </c>
      <c r="I13" s="432">
        <f>TRUNC(G13*H13,-3)</f>
        <v>63000</v>
      </c>
      <c r="J13" s="509"/>
      <c r="K13" s="437" t="str">
        <f t="shared" si="2"/>
        <v>21(월근무일수) + 1(휴일근무일수)</v>
      </c>
      <c r="L13" s="476">
        <f>월기본급!I15</f>
        <v>21</v>
      </c>
      <c r="M13" s="476">
        <f>휴일근로!$F$8</f>
        <v>1</v>
      </c>
      <c r="N13" s="476"/>
    </row>
    <row r="14" spans="1:14" ht="21.75" customHeight="1">
      <c r="A14" s="174"/>
      <c r="B14" s="368" t="str">
        <f>인집!B14</f>
        <v>경비원</v>
      </c>
      <c r="C14" s="355"/>
      <c r="D14" s="362"/>
      <c r="E14" s="369" t="str">
        <f>인집!E14</f>
        <v>보통인부</v>
      </c>
      <c r="F14" s="42"/>
      <c r="G14" s="470">
        <f t="shared" si="0"/>
        <v>22</v>
      </c>
      <c r="H14" s="432">
        <v>2900</v>
      </c>
      <c r="I14" s="432">
        <f>TRUNC(G14*H14,-3)</f>
        <v>63000</v>
      </c>
      <c r="J14" s="509"/>
      <c r="K14" s="437" t="str">
        <f t="shared" si="2"/>
        <v>21(월근무일수) + 1(휴일근무일수)</v>
      </c>
      <c r="L14" s="476">
        <f>월기본급!I16</f>
        <v>21</v>
      </c>
      <c r="M14" s="476">
        <f>휴일근로!$F$8</f>
        <v>1</v>
      </c>
      <c r="N14" s="476"/>
    </row>
    <row r="15" spans="1:14" ht="21.75" customHeight="1">
      <c r="A15" s="174"/>
      <c r="B15" s="368" t="str">
        <f>인집!B15</f>
        <v>주차관리</v>
      </c>
      <c r="C15" s="355"/>
      <c r="D15" s="362"/>
      <c r="E15" s="369" t="str">
        <f>인집!E15</f>
        <v>보통인부</v>
      </c>
      <c r="F15" s="42"/>
      <c r="G15" s="470">
        <f t="shared" si="0"/>
        <v>22</v>
      </c>
      <c r="H15" s="161">
        <v>2900</v>
      </c>
      <c r="I15" s="161">
        <f t="shared" si="1"/>
        <v>63000</v>
      </c>
      <c r="J15" s="183"/>
      <c r="K15" s="437" t="str">
        <f t="shared" si="2"/>
        <v>21(월근무일수) + 1(휴일근무일수)</v>
      </c>
      <c r="L15" s="476">
        <f>월기본급!I17</f>
        <v>21</v>
      </c>
      <c r="M15" s="476">
        <f>휴일근로!$F$8</f>
        <v>1</v>
      </c>
      <c r="N15" s="476"/>
    </row>
    <row r="16" spans="1:14" ht="13.5" customHeight="1">
      <c r="A16" s="3"/>
      <c r="B16" s="371"/>
      <c r="C16" s="372"/>
      <c r="D16" s="361"/>
      <c r="E16" s="520"/>
      <c r="F16" s="14"/>
      <c r="G16" s="501"/>
      <c r="H16" s="163"/>
      <c r="I16" s="163"/>
      <c r="J16" s="191"/>
      <c r="K16" s="502"/>
      <c r="L16" s="476"/>
      <c r="M16" s="476"/>
      <c r="N16" s="476"/>
    </row>
    <row r="17" ht="18.75" customHeight="1">
      <c r="A17" s="170" t="str">
        <f>"주 1) 수량 : "&amp;월기본급!A1&amp;월기본급!A2&amp;" 참조"</f>
        <v>주 1) 수량 : &lt; 표 : 8 &gt; M/M당기본급산출표 참조</v>
      </c>
    </row>
    <row r="18" ht="18.75" customHeight="1">
      <c r="A18" s="170" t="s">
        <v>198</v>
      </c>
    </row>
    <row r="19" ht="18.75" customHeight="1">
      <c r="A19" s="427" t="s">
        <v>337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&amp;C- &amp;P+42 -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view="pageBreakPreview" zoomScaleSheetLayoutView="100" zoomScalePageLayoutView="0" workbookViewId="0" topLeftCell="A1">
      <selection activeCell="I16" sqref="I16"/>
    </sheetView>
  </sheetViews>
  <sheetFormatPr defaultColWidth="9.140625" defaultRowHeight="27" customHeight="1"/>
  <cols>
    <col min="1" max="1" width="1.7109375" style="354" customWidth="1"/>
    <col min="2" max="2" width="14.7109375" style="354" customWidth="1"/>
    <col min="3" max="3" width="1.7109375" style="354" customWidth="1"/>
    <col min="4" max="4" width="1.7109375" style="355" customWidth="1"/>
    <col min="5" max="5" width="15.7109375" style="355" customWidth="1"/>
    <col min="6" max="6" width="1.7109375" style="355" customWidth="1"/>
    <col min="7" max="7" width="14.7109375" style="354" customWidth="1"/>
    <col min="8" max="8" width="2.7109375" style="354" customWidth="1"/>
    <col min="9" max="9" width="9.7109375" style="354" customWidth="1"/>
    <col min="10" max="10" width="13.7109375" style="356" customWidth="1"/>
    <col min="11" max="11" width="3.7109375" style="393" customWidth="1"/>
    <col min="12" max="12" width="13.57421875" style="356" customWidth="1"/>
    <col min="13" max="16384" width="9.140625" style="354" customWidth="1"/>
  </cols>
  <sheetData>
    <row r="1" spans="1:9" ht="19.5" customHeight="1">
      <c r="A1" s="352" t="s">
        <v>464</v>
      </c>
      <c r="B1" s="353"/>
      <c r="I1" s="355"/>
    </row>
    <row r="2" spans="1:12" s="69" customFormat="1" ht="39.75" customHeight="1">
      <c r="A2" s="68" t="s">
        <v>490</v>
      </c>
      <c r="B2" s="68"/>
      <c r="C2" s="68"/>
      <c r="D2" s="147"/>
      <c r="E2" s="147"/>
      <c r="F2" s="147"/>
      <c r="G2" s="68"/>
      <c r="H2" s="68"/>
      <c r="I2" s="68"/>
      <c r="J2" s="68"/>
      <c r="K2" s="147"/>
      <c r="L2" s="68"/>
    </row>
    <row r="3" spans="1:12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147"/>
      <c r="L3" s="68"/>
    </row>
    <row r="4" spans="1:12" ht="19.5" customHeight="1">
      <c r="A4" s="357"/>
      <c r="B4" s="355"/>
      <c r="C4" s="355"/>
      <c r="G4" s="358"/>
      <c r="H4" s="358"/>
      <c r="I4" s="359"/>
      <c r="J4" s="360"/>
      <c r="K4" s="360"/>
      <c r="L4" s="468" t="s">
        <v>347</v>
      </c>
    </row>
    <row r="5" spans="1:12" s="355" customFormat="1" ht="49.5" customHeight="1">
      <c r="A5" s="376"/>
      <c r="B5" s="377" t="s">
        <v>250</v>
      </c>
      <c r="C5" s="377"/>
      <c r="D5" s="378"/>
      <c r="E5" s="377" t="s">
        <v>308</v>
      </c>
      <c r="F5" s="379"/>
      <c r="G5" s="381" t="s">
        <v>312</v>
      </c>
      <c r="H5" s="386"/>
      <c r="I5" s="389" t="s">
        <v>249</v>
      </c>
      <c r="J5" s="390" t="s">
        <v>309</v>
      </c>
      <c r="K5" s="394"/>
      <c r="L5" s="380" t="s">
        <v>313</v>
      </c>
    </row>
    <row r="6" spans="1:12" s="355" customFormat="1" ht="9.75" customHeight="1">
      <c r="A6" s="362"/>
      <c r="B6" s="363"/>
      <c r="C6" s="363"/>
      <c r="D6" s="364"/>
      <c r="E6" s="363"/>
      <c r="F6" s="365"/>
      <c r="G6" s="382"/>
      <c r="H6" s="385"/>
      <c r="I6" s="365"/>
      <c r="J6" s="391"/>
      <c r="K6" s="395"/>
      <c r="L6" s="366"/>
    </row>
    <row r="7" spans="1:12" ht="30" customHeight="1">
      <c r="A7" s="362"/>
      <c r="B7" s="355"/>
      <c r="C7" s="355"/>
      <c r="D7" s="362"/>
      <c r="F7" s="367"/>
      <c r="G7" s="364" t="s">
        <v>251</v>
      </c>
      <c r="H7" s="365"/>
      <c r="I7" s="385" t="s">
        <v>314</v>
      </c>
      <c r="J7" s="391"/>
      <c r="K7" s="395"/>
      <c r="L7" s="366"/>
    </row>
    <row r="8" spans="1:12" ht="30" customHeight="1">
      <c r="A8" s="362"/>
      <c r="B8" s="368" t="str">
        <f>인집!B7</f>
        <v>전기반장</v>
      </c>
      <c r="C8" s="355"/>
      <c r="D8" s="362"/>
      <c r="E8" s="512" t="str">
        <f>인집!E7</f>
        <v>전기기능사</v>
      </c>
      <c r="F8" s="367"/>
      <c r="G8" s="383">
        <f>인집!K7-인집!J7</f>
        <v>2031626</v>
      </c>
      <c r="H8" s="387"/>
      <c r="I8" s="596">
        <v>0</v>
      </c>
      <c r="J8" s="383"/>
      <c r="K8" s="387"/>
      <c r="L8" s="370"/>
    </row>
    <row r="9" spans="1:12" ht="30" customHeight="1">
      <c r="A9" s="362"/>
      <c r="B9" s="368" t="str">
        <f>인집!B8</f>
        <v>전기기사</v>
      </c>
      <c r="C9" s="355"/>
      <c r="D9" s="362"/>
      <c r="E9" s="512" t="str">
        <f>인집!E8</f>
        <v>전기정비공</v>
      </c>
      <c r="F9" s="367"/>
      <c r="G9" s="383">
        <f>인집!K8-인집!J8</f>
        <v>1944815</v>
      </c>
      <c r="H9" s="387"/>
      <c r="I9" s="397">
        <f>I8</f>
        <v>0</v>
      </c>
      <c r="J9" s="383"/>
      <c r="K9" s="387"/>
      <c r="L9" s="370"/>
    </row>
    <row r="10" spans="1:12" ht="30" customHeight="1">
      <c r="A10" s="362"/>
      <c r="B10" s="368" t="str">
        <f>인집!B9</f>
        <v>기계반장</v>
      </c>
      <c r="C10" s="355"/>
      <c r="D10" s="362"/>
      <c r="E10" s="512" t="str">
        <f>인집!E9</f>
        <v>보일러공</v>
      </c>
      <c r="F10" s="367"/>
      <c r="G10" s="383">
        <f>인집!K9-인집!J9</f>
        <v>1933142</v>
      </c>
      <c r="H10" s="387"/>
      <c r="I10" s="397">
        <f aca="true" t="shared" si="0" ref="I10:I16">I9</f>
        <v>0</v>
      </c>
      <c r="J10" s="383"/>
      <c r="K10" s="387"/>
      <c r="L10" s="370"/>
    </row>
    <row r="11" spans="1:12" ht="30" customHeight="1">
      <c r="A11" s="362"/>
      <c r="B11" s="368" t="str">
        <f>인집!B10</f>
        <v>기계기사</v>
      </c>
      <c r="C11" s="355"/>
      <c r="D11" s="362"/>
      <c r="E11" s="512" t="str">
        <f>인집!E10</f>
        <v>기계정비공</v>
      </c>
      <c r="F11" s="367"/>
      <c r="G11" s="383">
        <f>인집!K10-인집!J10</f>
        <v>1906249</v>
      </c>
      <c r="H11" s="387"/>
      <c r="I11" s="397">
        <f t="shared" si="0"/>
        <v>0</v>
      </c>
      <c r="J11" s="383"/>
      <c r="K11" s="387"/>
      <c r="L11" s="370"/>
    </row>
    <row r="12" spans="1:12" ht="30" customHeight="1">
      <c r="A12" s="362"/>
      <c r="B12" s="368" t="str">
        <f>인집!B11</f>
        <v>미화반장</v>
      </c>
      <c r="C12" s="355"/>
      <c r="D12" s="362"/>
      <c r="E12" s="369" t="str">
        <f>인집!E11</f>
        <v>보통인부</v>
      </c>
      <c r="F12" s="367"/>
      <c r="G12" s="383">
        <f>인집!K11-인집!J11</f>
        <v>1498405</v>
      </c>
      <c r="H12" s="387"/>
      <c r="I12" s="397">
        <f t="shared" si="0"/>
        <v>0</v>
      </c>
      <c r="J12" s="383"/>
      <c r="K12" s="387"/>
      <c r="L12" s="370"/>
    </row>
    <row r="13" spans="1:12" ht="30" customHeight="1">
      <c r="A13" s="362"/>
      <c r="B13" s="368" t="str">
        <f>인집!B12</f>
        <v>미화원</v>
      </c>
      <c r="C13" s="355"/>
      <c r="D13" s="362"/>
      <c r="E13" s="369" t="str">
        <f>인집!E12</f>
        <v>보통인부</v>
      </c>
      <c r="F13" s="367"/>
      <c r="G13" s="383">
        <f>인집!K12-인집!J12</f>
        <v>1498405</v>
      </c>
      <c r="H13" s="387"/>
      <c r="I13" s="397">
        <f t="shared" si="0"/>
        <v>0</v>
      </c>
      <c r="J13" s="383"/>
      <c r="K13" s="387"/>
      <c r="L13" s="370"/>
    </row>
    <row r="14" spans="1:12" ht="30" customHeight="1">
      <c r="A14" s="362"/>
      <c r="B14" s="368" t="str">
        <f>인집!B13</f>
        <v>경비반장</v>
      </c>
      <c r="C14" s="355"/>
      <c r="D14" s="362"/>
      <c r="E14" s="369" t="str">
        <f>인집!E13</f>
        <v>보통인부</v>
      </c>
      <c r="F14" s="367"/>
      <c r="G14" s="383">
        <f>인집!K13-인집!J13</f>
        <v>1498405</v>
      </c>
      <c r="H14" s="387"/>
      <c r="I14" s="397">
        <f t="shared" si="0"/>
        <v>0</v>
      </c>
      <c r="J14" s="383"/>
      <c r="K14" s="387"/>
      <c r="L14" s="370"/>
    </row>
    <row r="15" spans="1:12" ht="30" customHeight="1">
      <c r="A15" s="362"/>
      <c r="B15" s="368" t="str">
        <f>인집!B14</f>
        <v>경비원</v>
      </c>
      <c r="C15" s="355"/>
      <c r="D15" s="362"/>
      <c r="E15" s="369" t="str">
        <f>인집!E14</f>
        <v>보통인부</v>
      </c>
      <c r="F15" s="367"/>
      <c r="G15" s="383">
        <f>인집!K14-인집!J14</f>
        <v>1498405</v>
      </c>
      <c r="H15" s="387"/>
      <c r="I15" s="397">
        <f t="shared" si="0"/>
        <v>0</v>
      </c>
      <c r="J15" s="383"/>
      <c r="K15" s="387"/>
      <c r="L15" s="370"/>
    </row>
    <row r="16" spans="1:12" ht="30" customHeight="1">
      <c r="A16" s="362"/>
      <c r="B16" s="368" t="str">
        <f>인집!B15</f>
        <v>주차관리</v>
      </c>
      <c r="C16" s="355"/>
      <c r="D16" s="362"/>
      <c r="E16" s="369" t="str">
        <f>인집!E15</f>
        <v>보통인부</v>
      </c>
      <c r="F16" s="367"/>
      <c r="G16" s="383">
        <f>인집!K15-인집!J15</f>
        <v>1498405</v>
      </c>
      <c r="H16" s="387"/>
      <c r="I16" s="397">
        <f t="shared" si="0"/>
        <v>0</v>
      </c>
      <c r="J16" s="383"/>
      <c r="K16" s="387"/>
      <c r="L16" s="370"/>
    </row>
    <row r="17" spans="1:12" ht="9.75" customHeight="1">
      <c r="A17" s="361"/>
      <c r="B17" s="371"/>
      <c r="C17" s="372"/>
      <c r="D17" s="361"/>
      <c r="E17" s="372"/>
      <c r="F17" s="373"/>
      <c r="G17" s="384"/>
      <c r="H17" s="388"/>
      <c r="I17" s="374"/>
      <c r="J17" s="392"/>
      <c r="K17" s="396"/>
      <c r="L17" s="375"/>
    </row>
    <row r="18" spans="1:9" ht="24.75" customHeight="1">
      <c r="A18" s="352" t="str">
        <f>"주 1) 적용대상액(급여액) : "&amp;인집!A1&amp;인집!A2&amp;" 참조"</f>
        <v>주 1) 적용대상액(급여액) : &lt; 표 : 4 &gt; 단위당인건비집계표 참조</v>
      </c>
      <c r="B18" s="352"/>
      <c r="I18" s="355"/>
    </row>
    <row r="19" spans="1:12" ht="24.75" customHeight="1">
      <c r="A19" s="795" t="s">
        <v>525</v>
      </c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</row>
    <row r="20" spans="1:9" ht="27" customHeight="1">
      <c r="A20" s="353"/>
      <c r="B20" s="352"/>
      <c r="I20" s="355"/>
    </row>
    <row r="21" ht="27" customHeight="1">
      <c r="B21" s="352"/>
    </row>
  </sheetData>
  <sheetProtection/>
  <mergeCells count="1">
    <mergeCell ref="A19:L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&amp;P+43 -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view="pageBreakPreview" zoomScaleSheetLayoutView="100" zoomScalePageLayoutView="0" workbookViewId="0" topLeftCell="A1">
      <selection activeCell="J7" sqref="J7"/>
    </sheetView>
  </sheetViews>
  <sheetFormatPr defaultColWidth="9.140625" defaultRowHeight="27" customHeight="1"/>
  <cols>
    <col min="1" max="1" width="1.7109375" style="354" customWidth="1"/>
    <col min="2" max="2" width="14.7109375" style="354" customWidth="1"/>
    <col min="3" max="3" width="1.7109375" style="354" customWidth="1"/>
    <col min="4" max="4" width="1.7109375" style="355" customWidth="1"/>
    <col min="5" max="5" width="15.7109375" style="355" customWidth="1"/>
    <col min="6" max="6" width="1.7109375" style="355" customWidth="1"/>
    <col min="7" max="7" width="12.7109375" style="354" customWidth="1"/>
    <col min="8" max="8" width="1.7109375" style="354" customWidth="1"/>
    <col min="9" max="9" width="9.7109375" style="354" customWidth="1"/>
    <col min="10" max="10" width="13.7109375" style="356" customWidth="1"/>
    <col min="11" max="11" width="2.7109375" style="393" customWidth="1"/>
    <col min="12" max="12" width="17.57421875" style="356" customWidth="1"/>
    <col min="13" max="16384" width="9.140625" style="354" customWidth="1"/>
  </cols>
  <sheetData>
    <row r="1" spans="1:9" ht="19.5" customHeight="1">
      <c r="A1" s="352" t="s">
        <v>465</v>
      </c>
      <c r="B1" s="353"/>
      <c r="I1" s="355"/>
    </row>
    <row r="2" spans="1:12" s="69" customFormat="1" ht="39.75" customHeight="1">
      <c r="A2" s="68" t="s">
        <v>329</v>
      </c>
      <c r="B2" s="68"/>
      <c r="C2" s="68"/>
      <c r="D2" s="147"/>
      <c r="E2" s="147"/>
      <c r="F2" s="147"/>
      <c r="G2" s="68"/>
      <c r="H2" s="68"/>
      <c r="I2" s="68"/>
      <c r="J2" s="68"/>
      <c r="K2" s="147"/>
      <c r="L2" s="68"/>
    </row>
    <row r="3" spans="1:12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147"/>
      <c r="L3" s="68"/>
    </row>
    <row r="4" spans="1:12" ht="19.5" customHeight="1">
      <c r="A4" s="357"/>
      <c r="B4" s="355"/>
      <c r="C4" s="355"/>
      <c r="G4" s="358"/>
      <c r="H4" s="358"/>
      <c r="I4" s="359"/>
      <c r="J4" s="360"/>
      <c r="K4" s="360"/>
      <c r="L4" s="468" t="s">
        <v>347</v>
      </c>
    </row>
    <row r="5" spans="1:12" s="355" customFormat="1" ht="49.5" customHeight="1">
      <c r="A5" s="376"/>
      <c r="B5" s="377" t="s">
        <v>250</v>
      </c>
      <c r="C5" s="377"/>
      <c r="D5" s="378"/>
      <c r="E5" s="377" t="s">
        <v>308</v>
      </c>
      <c r="F5" s="379"/>
      <c r="G5" s="381" t="s">
        <v>331</v>
      </c>
      <c r="H5" s="386"/>
      <c r="I5" s="389" t="s">
        <v>330</v>
      </c>
      <c r="J5" s="390" t="s">
        <v>332</v>
      </c>
      <c r="K5" s="394"/>
      <c r="L5" s="380" t="s">
        <v>313</v>
      </c>
    </row>
    <row r="6" spans="1:12" s="355" customFormat="1" ht="9.75" customHeight="1">
      <c r="A6" s="362"/>
      <c r="B6" s="363"/>
      <c r="C6" s="363"/>
      <c r="D6" s="364"/>
      <c r="E6" s="363"/>
      <c r="F6" s="365"/>
      <c r="G6" s="382"/>
      <c r="H6" s="385"/>
      <c r="I6" s="365"/>
      <c r="J6" s="391"/>
      <c r="K6" s="395"/>
      <c r="L6" s="366"/>
    </row>
    <row r="7" spans="1:12" ht="30" customHeight="1">
      <c r="A7" s="362"/>
      <c r="B7" s="368" t="str">
        <f>인집!B7</f>
        <v>전기반장</v>
      </c>
      <c r="C7" s="355"/>
      <c r="D7" s="362"/>
      <c r="E7" s="512" t="str">
        <f>인집!E7</f>
        <v>전기기능사</v>
      </c>
      <c r="F7" s="367"/>
      <c r="G7" s="383">
        <v>100000</v>
      </c>
      <c r="H7" s="387"/>
      <c r="I7" s="419">
        <v>12</v>
      </c>
      <c r="J7" s="383">
        <f>TRUNC(G7/I7)</f>
        <v>8333</v>
      </c>
      <c r="K7" s="387"/>
      <c r="L7" s="370"/>
    </row>
    <row r="8" spans="1:12" ht="30" customHeight="1">
      <c r="A8" s="362"/>
      <c r="B8" s="368" t="str">
        <f>인집!B8</f>
        <v>전기기사</v>
      </c>
      <c r="C8" s="355"/>
      <c r="D8" s="362"/>
      <c r="E8" s="512" t="str">
        <f>인집!E8</f>
        <v>전기정비공</v>
      </c>
      <c r="F8" s="367"/>
      <c r="G8" s="383">
        <v>100000</v>
      </c>
      <c r="H8" s="387"/>
      <c r="I8" s="419">
        <f>I7</f>
        <v>12</v>
      </c>
      <c r="J8" s="383">
        <f aca="true" t="shared" si="0" ref="J8:J15">TRUNC(G8/I8)</f>
        <v>8333</v>
      </c>
      <c r="K8" s="387"/>
      <c r="L8" s="370"/>
    </row>
    <row r="9" spans="1:12" ht="30" customHeight="1">
      <c r="A9" s="362"/>
      <c r="B9" s="368" t="str">
        <f>인집!B9</f>
        <v>기계반장</v>
      </c>
      <c r="C9" s="355"/>
      <c r="D9" s="362"/>
      <c r="E9" s="512" t="str">
        <f>인집!E9</f>
        <v>보일러공</v>
      </c>
      <c r="F9" s="367"/>
      <c r="G9" s="383">
        <v>100000</v>
      </c>
      <c r="H9" s="387"/>
      <c r="I9" s="419">
        <f aca="true" t="shared" si="1" ref="I9:I15">I8</f>
        <v>12</v>
      </c>
      <c r="J9" s="383">
        <f t="shared" si="0"/>
        <v>8333</v>
      </c>
      <c r="K9" s="387"/>
      <c r="L9" s="370"/>
    </row>
    <row r="10" spans="1:12" ht="30" customHeight="1">
      <c r="A10" s="362"/>
      <c r="B10" s="368" t="str">
        <f>인집!B10</f>
        <v>기계기사</v>
      </c>
      <c r="C10" s="355"/>
      <c r="D10" s="362"/>
      <c r="E10" s="512" t="str">
        <f>인집!E10</f>
        <v>기계정비공</v>
      </c>
      <c r="F10" s="367"/>
      <c r="G10" s="383">
        <v>100000</v>
      </c>
      <c r="H10" s="387"/>
      <c r="I10" s="419">
        <f t="shared" si="1"/>
        <v>12</v>
      </c>
      <c r="J10" s="383">
        <f t="shared" si="0"/>
        <v>8333</v>
      </c>
      <c r="K10" s="387"/>
      <c r="L10" s="370"/>
    </row>
    <row r="11" spans="1:12" ht="30" customHeight="1">
      <c r="A11" s="362"/>
      <c r="B11" s="368" t="str">
        <f>인집!B11</f>
        <v>미화반장</v>
      </c>
      <c r="C11" s="355"/>
      <c r="D11" s="362"/>
      <c r="E11" s="369" t="str">
        <f>인집!E11</f>
        <v>보통인부</v>
      </c>
      <c r="F11" s="367"/>
      <c r="G11" s="383"/>
      <c r="H11" s="387"/>
      <c r="I11" s="419">
        <f t="shared" si="1"/>
        <v>12</v>
      </c>
      <c r="J11" s="383">
        <f t="shared" si="0"/>
        <v>0</v>
      </c>
      <c r="K11" s="387"/>
      <c r="L11" s="370"/>
    </row>
    <row r="12" spans="1:12" ht="30" customHeight="1">
      <c r="A12" s="362"/>
      <c r="B12" s="368" t="str">
        <f>인집!B12</f>
        <v>미화원</v>
      </c>
      <c r="C12" s="355"/>
      <c r="D12" s="362"/>
      <c r="E12" s="369" t="str">
        <f>인집!E12</f>
        <v>보통인부</v>
      </c>
      <c r="F12" s="367"/>
      <c r="G12" s="383"/>
      <c r="H12" s="387"/>
      <c r="I12" s="419">
        <f t="shared" si="1"/>
        <v>12</v>
      </c>
      <c r="J12" s="383">
        <f t="shared" si="0"/>
        <v>0</v>
      </c>
      <c r="K12" s="387"/>
      <c r="L12" s="370"/>
    </row>
    <row r="13" spans="1:12" ht="30" customHeight="1">
      <c r="A13" s="362"/>
      <c r="B13" s="368" t="str">
        <f>인집!B13</f>
        <v>경비반장</v>
      </c>
      <c r="C13" s="355"/>
      <c r="D13" s="362"/>
      <c r="E13" s="369" t="str">
        <f>인집!E13</f>
        <v>보통인부</v>
      </c>
      <c r="F13" s="367"/>
      <c r="G13" s="383">
        <v>100000</v>
      </c>
      <c r="H13" s="387"/>
      <c r="I13" s="419">
        <f t="shared" si="1"/>
        <v>12</v>
      </c>
      <c r="J13" s="383">
        <f t="shared" si="0"/>
        <v>8333</v>
      </c>
      <c r="K13" s="387"/>
      <c r="L13" s="370"/>
    </row>
    <row r="14" spans="1:12" ht="30" customHeight="1">
      <c r="A14" s="362"/>
      <c r="B14" s="368" t="str">
        <f>인집!B14</f>
        <v>경비원</v>
      </c>
      <c r="C14" s="355"/>
      <c r="D14" s="362"/>
      <c r="E14" s="369" t="str">
        <f>인집!E14</f>
        <v>보통인부</v>
      </c>
      <c r="F14" s="367"/>
      <c r="G14" s="383"/>
      <c r="H14" s="387"/>
      <c r="I14" s="419">
        <f t="shared" si="1"/>
        <v>12</v>
      </c>
      <c r="J14" s="383">
        <f t="shared" si="0"/>
        <v>0</v>
      </c>
      <c r="K14" s="387"/>
      <c r="L14" s="370"/>
    </row>
    <row r="15" spans="1:12" ht="30" customHeight="1">
      <c r="A15" s="362"/>
      <c r="B15" s="368" t="str">
        <f>인집!B15</f>
        <v>주차관리</v>
      </c>
      <c r="C15" s="355"/>
      <c r="D15" s="362"/>
      <c r="E15" s="369" t="str">
        <f>인집!E15</f>
        <v>보통인부</v>
      </c>
      <c r="F15" s="367"/>
      <c r="G15" s="383"/>
      <c r="H15" s="387"/>
      <c r="I15" s="419">
        <f t="shared" si="1"/>
        <v>12</v>
      </c>
      <c r="J15" s="383">
        <f t="shared" si="0"/>
        <v>0</v>
      </c>
      <c r="K15" s="387"/>
      <c r="L15" s="370"/>
    </row>
    <row r="16" spans="1:12" ht="9.75" customHeight="1">
      <c r="A16" s="361"/>
      <c r="B16" s="371"/>
      <c r="C16" s="372"/>
      <c r="D16" s="361"/>
      <c r="E16" s="372"/>
      <c r="F16" s="373"/>
      <c r="G16" s="384"/>
      <c r="H16" s="388"/>
      <c r="I16" s="374"/>
      <c r="J16" s="392"/>
      <c r="K16" s="396"/>
      <c r="L16" s="375"/>
    </row>
    <row r="17" spans="1:9" ht="24.75" customHeight="1">
      <c r="A17" s="352" t="s">
        <v>346</v>
      </c>
      <c r="B17" s="352"/>
      <c r="I17" s="355"/>
    </row>
    <row r="18" spans="1:9" ht="27" customHeight="1">
      <c r="A18" s="353"/>
      <c r="B18" s="352"/>
      <c r="I18" s="355"/>
    </row>
    <row r="19" spans="2:9" ht="27" customHeight="1">
      <c r="B19" s="352"/>
      <c r="I19" s="355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&amp;P+44 -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view="pageBreakPreview" zoomScaleSheetLayoutView="100" zoomScalePageLayoutView="0" workbookViewId="0" topLeftCell="A1">
      <selection activeCell="E9" sqref="E9"/>
    </sheetView>
  </sheetViews>
  <sheetFormatPr defaultColWidth="9.140625" defaultRowHeight="27" customHeight="1"/>
  <cols>
    <col min="1" max="1" width="1.7109375" style="84" customWidth="1"/>
    <col min="2" max="2" width="12.7109375" style="84" customWidth="1"/>
    <col min="3" max="3" width="1.7109375" style="84" customWidth="1"/>
    <col min="4" max="4" width="1.7109375" style="74" customWidth="1"/>
    <col min="5" max="5" width="14.7109375" style="74" customWidth="1"/>
    <col min="6" max="6" width="1.7109375" style="74" customWidth="1"/>
    <col min="7" max="7" width="13.140625" style="84" customWidth="1"/>
    <col min="8" max="8" width="12.7109375" style="84" customWidth="1"/>
    <col min="9" max="9" width="13.7109375" style="84" customWidth="1"/>
    <col min="10" max="10" width="8.7109375" style="84" customWidth="1"/>
    <col min="11" max="11" width="12.7109375" style="93" customWidth="1"/>
    <col min="12" max="16384" width="9.140625" style="84" customWidth="1"/>
  </cols>
  <sheetData>
    <row r="1" spans="1:10" ht="19.5" customHeight="1">
      <c r="A1" s="67" t="s">
        <v>387</v>
      </c>
      <c r="B1" s="94"/>
      <c r="J1" s="74"/>
    </row>
    <row r="2" spans="1:11" s="69" customFormat="1" ht="39.75" customHeight="1">
      <c r="A2" s="68" t="s">
        <v>141</v>
      </c>
      <c r="B2" s="68"/>
      <c r="C2" s="68"/>
      <c r="D2" s="147"/>
      <c r="E2" s="147"/>
      <c r="F2" s="147"/>
      <c r="G2" s="68"/>
      <c r="H2" s="68"/>
      <c r="I2" s="68"/>
      <c r="J2" s="68"/>
      <c r="K2" s="68"/>
    </row>
    <row r="3" spans="1:11" s="69" customFormat="1" ht="19.5" customHeight="1">
      <c r="A3" s="68"/>
      <c r="B3" s="68"/>
      <c r="C3" s="68"/>
      <c r="D3" s="147"/>
      <c r="E3" s="147"/>
      <c r="F3" s="147"/>
      <c r="G3" s="68"/>
      <c r="H3" s="68"/>
      <c r="I3" s="68"/>
      <c r="J3" s="68"/>
      <c r="K3" s="68"/>
    </row>
    <row r="4" spans="1:11" ht="19.5" customHeight="1">
      <c r="A4" s="320"/>
      <c r="B4" s="74"/>
      <c r="C4" s="74"/>
      <c r="G4" s="321"/>
      <c r="H4" s="321"/>
      <c r="I4" s="321"/>
      <c r="J4" s="322"/>
      <c r="K4" s="468" t="s">
        <v>347</v>
      </c>
    </row>
    <row r="5" spans="1:11" s="74" customFormat="1" ht="24.75" customHeight="1">
      <c r="A5" s="70"/>
      <c r="B5" s="801" t="s">
        <v>142</v>
      </c>
      <c r="C5" s="71"/>
      <c r="D5" s="803"/>
      <c r="E5" s="801" t="s">
        <v>143</v>
      </c>
      <c r="F5" s="805"/>
      <c r="G5" s="73" t="s">
        <v>144</v>
      </c>
      <c r="H5" s="73"/>
      <c r="I5" s="73"/>
      <c r="J5" s="797" t="s">
        <v>249</v>
      </c>
      <c r="K5" s="799" t="s">
        <v>145</v>
      </c>
    </row>
    <row r="6" spans="1:11" s="74" customFormat="1" ht="24.75" customHeight="1">
      <c r="A6" s="75"/>
      <c r="B6" s="802"/>
      <c r="C6" s="76"/>
      <c r="D6" s="804"/>
      <c r="E6" s="802"/>
      <c r="F6" s="806"/>
      <c r="G6" s="78" t="s">
        <v>146</v>
      </c>
      <c r="H6" s="78" t="s">
        <v>147</v>
      </c>
      <c r="I6" s="78" t="s">
        <v>17</v>
      </c>
      <c r="J6" s="798"/>
      <c r="K6" s="800"/>
    </row>
    <row r="7" spans="1:11" s="74" customFormat="1" ht="9.75" customHeight="1">
      <c r="A7" s="79"/>
      <c r="B7" s="87"/>
      <c r="C7" s="87"/>
      <c r="D7" s="98"/>
      <c r="E7" s="87"/>
      <c r="F7" s="99"/>
      <c r="G7" s="82"/>
      <c r="H7" s="82"/>
      <c r="I7" s="82"/>
      <c r="J7" s="81"/>
      <c r="K7" s="83"/>
    </row>
    <row r="8" spans="1:11" ht="30" customHeight="1">
      <c r="A8" s="79"/>
      <c r="B8" s="74"/>
      <c r="C8" s="74"/>
      <c r="D8" s="79"/>
      <c r="F8" s="80"/>
      <c r="G8" s="81" t="s">
        <v>310</v>
      </c>
      <c r="H8" s="81" t="s">
        <v>3</v>
      </c>
      <c r="I8" s="81"/>
      <c r="J8" s="82" t="s">
        <v>311</v>
      </c>
      <c r="K8" s="83"/>
    </row>
    <row r="9" spans="1:11" ht="30" customHeight="1">
      <c r="A9" s="79"/>
      <c r="B9" s="85" t="str">
        <f>인집!B7</f>
        <v>전기반장</v>
      </c>
      <c r="C9" s="74"/>
      <c r="D9" s="79"/>
      <c r="E9" s="511" t="str">
        <f>인집!E7</f>
        <v>전기기능사</v>
      </c>
      <c r="F9" s="80"/>
      <c r="G9" s="97">
        <f>인집!K7</f>
        <v>2200928</v>
      </c>
      <c r="H9" s="97">
        <f>경비집계표!E18</f>
        <v>278954</v>
      </c>
      <c r="I9" s="97">
        <f>SUM(G9:H9)</f>
        <v>2479882</v>
      </c>
      <c r="J9" s="95">
        <v>5</v>
      </c>
      <c r="K9" s="97">
        <f>TRUNC(I9*J9%,0)</f>
        <v>123994</v>
      </c>
    </row>
    <row r="10" spans="1:11" ht="30" customHeight="1">
      <c r="A10" s="79"/>
      <c r="B10" s="85" t="str">
        <f>인집!B8</f>
        <v>전기기사</v>
      </c>
      <c r="C10" s="74"/>
      <c r="D10" s="79"/>
      <c r="E10" s="511" t="str">
        <f>인집!E8</f>
        <v>전기정비공</v>
      </c>
      <c r="F10" s="80"/>
      <c r="G10" s="97">
        <f>인집!K8</f>
        <v>2106882</v>
      </c>
      <c r="H10" s="97">
        <f>경비집계표!F18</f>
        <v>270081</v>
      </c>
      <c r="I10" s="97">
        <f aca="true" t="shared" si="0" ref="I10:I17">SUM(G10:H10)</f>
        <v>2376963</v>
      </c>
      <c r="J10" s="95">
        <f>J9</f>
        <v>5</v>
      </c>
      <c r="K10" s="97">
        <f>TRUNC(I10*J10%,0)</f>
        <v>118848</v>
      </c>
    </row>
    <row r="11" spans="1:11" ht="30" customHeight="1">
      <c r="A11" s="79"/>
      <c r="B11" s="85" t="str">
        <f>인집!B9</f>
        <v>기계반장</v>
      </c>
      <c r="C11" s="74"/>
      <c r="D11" s="79"/>
      <c r="E11" s="511" t="str">
        <f>인집!E9</f>
        <v>보일러공</v>
      </c>
      <c r="F11" s="80"/>
      <c r="G11" s="97">
        <f>인집!K9</f>
        <v>2094237</v>
      </c>
      <c r="H11" s="97">
        <f>경비집계표!G18</f>
        <v>268888</v>
      </c>
      <c r="I11" s="97">
        <f t="shared" si="0"/>
        <v>2363125</v>
      </c>
      <c r="J11" s="95">
        <f aca="true" t="shared" si="1" ref="J11:J17">J10</f>
        <v>5</v>
      </c>
      <c r="K11" s="97">
        <f aca="true" t="shared" si="2" ref="K11:K17">TRUNC(I11*J11%,0)</f>
        <v>118156</v>
      </c>
    </row>
    <row r="12" spans="1:11" ht="30" customHeight="1">
      <c r="A12" s="79"/>
      <c r="B12" s="85" t="str">
        <f>인집!B10</f>
        <v>기계기사</v>
      </c>
      <c r="C12" s="74"/>
      <c r="D12" s="79"/>
      <c r="E12" s="511" t="str">
        <f>인집!E10</f>
        <v>기계정비공</v>
      </c>
      <c r="F12" s="80"/>
      <c r="G12" s="97">
        <f>인집!K10</f>
        <v>2065103</v>
      </c>
      <c r="H12" s="97">
        <f>경비집계표!H18</f>
        <v>266140</v>
      </c>
      <c r="I12" s="97">
        <f t="shared" si="0"/>
        <v>2331243</v>
      </c>
      <c r="J12" s="95">
        <f t="shared" si="1"/>
        <v>5</v>
      </c>
      <c r="K12" s="97">
        <f t="shared" si="2"/>
        <v>116562</v>
      </c>
    </row>
    <row r="13" spans="1:11" ht="30" customHeight="1">
      <c r="A13" s="79"/>
      <c r="B13" s="85" t="str">
        <f>인집!B11</f>
        <v>미화반장</v>
      </c>
      <c r="C13" s="74"/>
      <c r="D13" s="79"/>
      <c r="E13" s="86" t="str">
        <f>인집!E11</f>
        <v>보통인부</v>
      </c>
      <c r="F13" s="80"/>
      <c r="G13" s="97">
        <f>인집!K11</f>
        <v>1623272</v>
      </c>
      <c r="H13" s="97">
        <f>경비집계표!E40</f>
        <v>216127</v>
      </c>
      <c r="I13" s="97">
        <f t="shared" si="0"/>
        <v>1839399</v>
      </c>
      <c r="J13" s="95">
        <f t="shared" si="1"/>
        <v>5</v>
      </c>
      <c r="K13" s="97">
        <f t="shared" si="2"/>
        <v>91969</v>
      </c>
    </row>
    <row r="14" spans="1:11" ht="30" customHeight="1">
      <c r="A14" s="79"/>
      <c r="B14" s="85" t="str">
        <f>인집!B12</f>
        <v>미화원</v>
      </c>
      <c r="C14" s="74"/>
      <c r="D14" s="79"/>
      <c r="E14" s="86" t="str">
        <f>인집!E12</f>
        <v>보통인부</v>
      </c>
      <c r="F14" s="80"/>
      <c r="G14" s="97">
        <f>인집!K12</f>
        <v>1623272</v>
      </c>
      <c r="H14" s="97">
        <f>경비집계표!F40</f>
        <v>216127</v>
      </c>
      <c r="I14" s="97">
        <f t="shared" si="0"/>
        <v>1839399</v>
      </c>
      <c r="J14" s="95">
        <f t="shared" si="1"/>
        <v>5</v>
      </c>
      <c r="K14" s="97">
        <f t="shared" si="2"/>
        <v>91969</v>
      </c>
    </row>
    <row r="15" spans="1:11" ht="30" customHeight="1">
      <c r="A15" s="79"/>
      <c r="B15" s="85" t="str">
        <f>인집!B13</f>
        <v>경비반장</v>
      </c>
      <c r="C15" s="74"/>
      <c r="D15" s="79"/>
      <c r="E15" s="86" t="str">
        <f>인집!E13</f>
        <v>보통인부</v>
      </c>
      <c r="F15" s="80"/>
      <c r="G15" s="97">
        <f>인집!K13</f>
        <v>1623272</v>
      </c>
      <c r="H15" s="97">
        <f>경비집계표!G40</f>
        <v>224460</v>
      </c>
      <c r="I15" s="97">
        <f t="shared" si="0"/>
        <v>1847732</v>
      </c>
      <c r="J15" s="95">
        <f t="shared" si="1"/>
        <v>5</v>
      </c>
      <c r="K15" s="97">
        <f t="shared" si="2"/>
        <v>92386</v>
      </c>
    </row>
    <row r="16" spans="1:11" ht="30" customHeight="1">
      <c r="A16" s="79"/>
      <c r="B16" s="85" t="str">
        <f>인집!B14</f>
        <v>경비원</v>
      </c>
      <c r="C16" s="74"/>
      <c r="D16" s="79"/>
      <c r="E16" s="86" t="str">
        <f>인집!E14</f>
        <v>보통인부</v>
      </c>
      <c r="F16" s="80"/>
      <c r="G16" s="97">
        <f>인집!K14</f>
        <v>1623272</v>
      </c>
      <c r="H16" s="97">
        <f>경비집계표!H40</f>
        <v>216127</v>
      </c>
      <c r="I16" s="97">
        <f t="shared" si="0"/>
        <v>1839399</v>
      </c>
      <c r="J16" s="95">
        <f t="shared" si="1"/>
        <v>5</v>
      </c>
      <c r="K16" s="97">
        <f t="shared" si="2"/>
        <v>91969</v>
      </c>
    </row>
    <row r="17" spans="1:11" ht="30" customHeight="1">
      <c r="A17" s="79"/>
      <c r="B17" s="85" t="str">
        <f>인집!B15</f>
        <v>주차관리</v>
      </c>
      <c r="C17" s="74"/>
      <c r="D17" s="79"/>
      <c r="E17" s="86" t="str">
        <f>인집!E15</f>
        <v>보통인부</v>
      </c>
      <c r="F17" s="80"/>
      <c r="G17" s="97">
        <f>인집!K15</f>
        <v>1623272</v>
      </c>
      <c r="H17" s="97">
        <f>경비집계표!E62</f>
        <v>216127</v>
      </c>
      <c r="I17" s="97">
        <f t="shared" si="0"/>
        <v>1839399</v>
      </c>
      <c r="J17" s="95">
        <f t="shared" si="1"/>
        <v>5</v>
      </c>
      <c r="K17" s="97">
        <f t="shared" si="2"/>
        <v>91969</v>
      </c>
    </row>
    <row r="18" spans="1:11" ht="9.75" customHeight="1">
      <c r="A18" s="75"/>
      <c r="B18" s="88"/>
      <c r="C18" s="89"/>
      <c r="D18" s="75"/>
      <c r="E18" s="89"/>
      <c r="F18" s="90"/>
      <c r="G18" s="149"/>
      <c r="H18" s="149"/>
      <c r="I18" s="149"/>
      <c r="J18" s="148"/>
      <c r="K18" s="150"/>
    </row>
    <row r="19" spans="1:10" ht="24.75" customHeight="1">
      <c r="A19" s="67" t="str">
        <f>"주 1) 인건비 : "&amp;인집!A1&amp;""&amp;인집!A2&amp;" 참조"</f>
        <v>주 1) 인건비 : &lt; 표 : 4 &gt; 단위당인건비집계표 참조</v>
      </c>
      <c r="B19" s="67"/>
      <c r="J19" s="74"/>
    </row>
    <row r="20" spans="1:10" ht="24.75" customHeight="1">
      <c r="A20" s="94" t="str">
        <f>"   2) 경비 : "&amp;경비집계표!A1&amp;""&amp;경비집계표!A2&amp;" 참조"</f>
        <v>   2) 경비 : &lt; 표 : 11 &gt; 경비집계표 참조</v>
      </c>
      <c r="B20" s="67"/>
      <c r="J20" s="74"/>
    </row>
    <row r="21" spans="1:10" ht="24.75" customHeight="1">
      <c r="A21" s="67" t="str">
        <f>"   3) 비율(%) : "&amp;일반비율!A1&amp;""&amp;일반비율!A2&amp;" 참조"</f>
        <v>   3) 비율(%) : &lt; 표 : 20 &gt; 일반관리비율산출표 참조</v>
      </c>
      <c r="B21" s="94"/>
      <c r="J21" s="74"/>
    </row>
    <row r="22" spans="1:10" ht="27" customHeight="1">
      <c r="A22" s="94"/>
      <c r="B22" s="67"/>
      <c r="J22" s="74"/>
    </row>
    <row r="23" ht="27" customHeight="1">
      <c r="B23" s="67"/>
    </row>
  </sheetData>
  <sheetProtection/>
  <mergeCells count="6">
    <mergeCell ref="J5:J6"/>
    <mergeCell ref="K5:K6"/>
    <mergeCell ref="B5:B6"/>
    <mergeCell ref="D5:D6"/>
    <mergeCell ref="E5:E6"/>
    <mergeCell ref="F5:F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E1">
      <selection activeCell="N4" sqref="N4"/>
    </sheetView>
  </sheetViews>
  <sheetFormatPr defaultColWidth="9.140625" defaultRowHeight="12"/>
  <cols>
    <col min="1" max="1" width="1.7109375" style="152" customWidth="1"/>
    <col min="2" max="2" width="3.7109375" style="10" customWidth="1"/>
    <col min="3" max="3" width="7.7109375" style="152" customWidth="1"/>
    <col min="4" max="4" width="1.7109375" style="152" customWidth="1"/>
    <col min="5" max="5" width="20.7109375" style="10" customWidth="1"/>
    <col min="6" max="6" width="1.7109375" style="10" customWidth="1"/>
    <col min="7" max="12" width="16.7109375" style="34" customWidth="1"/>
    <col min="13" max="13" width="9.140625" style="152" customWidth="1"/>
    <col min="14" max="14" width="14.140625" style="152" bestFit="1" customWidth="1"/>
    <col min="15" max="16384" width="9.140625" style="152" customWidth="1"/>
  </cols>
  <sheetData>
    <row r="1" spans="1:14" ht="19.5" customHeight="1">
      <c r="A1" s="223" t="s">
        <v>400</v>
      </c>
      <c r="B1" s="223"/>
      <c r="C1" s="223"/>
      <c r="D1" s="223"/>
      <c r="E1" s="152"/>
      <c r="F1" s="152"/>
      <c r="G1" s="152"/>
      <c r="H1" s="152"/>
      <c r="I1" s="152"/>
      <c r="J1" s="152"/>
      <c r="K1" s="152"/>
      <c r="L1" s="152"/>
      <c r="M1" s="33"/>
      <c r="N1" s="33"/>
    </row>
    <row r="2" spans="1:12" s="168" customFormat="1" ht="39.75" customHeight="1">
      <c r="A2" s="165" t="s">
        <v>390</v>
      </c>
      <c r="B2" s="166"/>
      <c r="C2" s="224"/>
      <c r="D2" s="224"/>
      <c r="E2" s="225"/>
      <c r="F2" s="225"/>
      <c r="G2" s="167"/>
      <c r="H2" s="167"/>
      <c r="I2" s="167"/>
      <c r="J2" s="167"/>
      <c r="K2" s="167"/>
      <c r="L2" s="167"/>
    </row>
    <row r="3" spans="1:14" ht="19.5" customHeight="1">
      <c r="A3" s="260"/>
      <c r="B3" s="261"/>
      <c r="C3" s="260"/>
      <c r="D3" s="260"/>
      <c r="E3" s="261"/>
      <c r="F3" s="261"/>
      <c r="G3" s="154"/>
      <c r="H3" s="154"/>
      <c r="I3" s="154"/>
      <c r="J3" s="154"/>
      <c r="K3" s="154"/>
      <c r="L3" s="154"/>
      <c r="N3" s="168"/>
    </row>
    <row r="4" spans="1:14" ht="19.5" customHeight="1">
      <c r="A4" s="280" t="str">
        <f>집계!A4</f>
        <v>건 명 : 2011년 경기문화재단 시설, 미화 관리용역</v>
      </c>
      <c r="B4" s="170"/>
      <c r="C4" s="169"/>
      <c r="D4" s="169"/>
      <c r="G4" s="171"/>
      <c r="H4" s="171"/>
      <c r="I4" s="171"/>
      <c r="J4" s="171"/>
      <c r="K4" s="171"/>
      <c r="L4" s="171"/>
      <c r="N4" s="168"/>
    </row>
    <row r="5" spans="1:14" ht="22.5" customHeight="1">
      <c r="A5" s="264"/>
      <c r="B5" s="265"/>
      <c r="C5" s="265"/>
      <c r="D5" s="265"/>
      <c r="E5" s="266" t="s">
        <v>260</v>
      </c>
      <c r="F5" s="266"/>
      <c r="G5" s="417" t="str">
        <f>인집!$B$7</f>
        <v>전기반장</v>
      </c>
      <c r="H5" s="417" t="str">
        <f>인집!$B$8</f>
        <v>전기기사</v>
      </c>
      <c r="I5" s="417" t="str">
        <f>인집!$B$9</f>
        <v>기계반장</v>
      </c>
      <c r="J5" s="417" t="str">
        <f>인집!$B$10</f>
        <v>기계기사</v>
      </c>
      <c r="K5" s="417" t="str">
        <f>인집!$B$11</f>
        <v>미화반장</v>
      </c>
      <c r="L5" s="417" t="str">
        <f>인집!$B$12</f>
        <v>미화원</v>
      </c>
      <c r="N5" s="168"/>
    </row>
    <row r="6" spans="1:12" ht="22.5" customHeight="1">
      <c r="A6" s="267" t="s">
        <v>261</v>
      </c>
      <c r="B6" s="273"/>
      <c r="C6" s="268"/>
      <c r="D6" s="268"/>
      <c r="E6" s="268"/>
      <c r="F6" s="268"/>
      <c r="G6" s="418" t="str">
        <f>"("&amp;인집!$E$7&amp;")"</f>
        <v>(전기기능사)</v>
      </c>
      <c r="H6" s="418" t="str">
        <f>"("&amp;인집!$E$8&amp;")"</f>
        <v>(전기정비공)</v>
      </c>
      <c r="I6" s="418" t="str">
        <f>"("&amp;인집!$E$9&amp;")"</f>
        <v>(보일러공)</v>
      </c>
      <c r="J6" s="418" t="str">
        <f>"("&amp;인집!$E$10&amp;")"</f>
        <v>(기계정비공)</v>
      </c>
      <c r="K6" s="418" t="str">
        <f>"("&amp;인집!$E$11&amp;")"</f>
        <v>(보통인부)</v>
      </c>
      <c r="L6" s="666" t="s">
        <v>563</v>
      </c>
    </row>
    <row r="7" spans="1:12" ht="16.5" customHeight="1">
      <c r="A7" s="695" t="s">
        <v>246</v>
      </c>
      <c r="B7" s="696"/>
      <c r="C7" s="692" t="s">
        <v>262</v>
      </c>
      <c r="D7" s="690"/>
      <c r="E7" s="690"/>
      <c r="F7" s="691"/>
      <c r="G7" s="338">
        <f>원가!G7</f>
        <v>1412229</v>
      </c>
      <c r="H7" s="338">
        <f>원가!G40</f>
        <v>1347024</v>
      </c>
      <c r="I7" s="338">
        <f>원가!G73</f>
        <v>1338939</v>
      </c>
      <c r="J7" s="338">
        <f>원가!G106</f>
        <v>1320312</v>
      </c>
      <c r="K7" s="338">
        <f>원가!G139</f>
        <v>1038030</v>
      </c>
      <c r="L7" s="338">
        <f>원가!G172</f>
        <v>1038030</v>
      </c>
    </row>
    <row r="8" spans="1:12" ht="16.5" customHeight="1">
      <c r="A8" s="697"/>
      <c r="B8" s="698"/>
      <c r="C8" s="705" t="s">
        <v>323</v>
      </c>
      <c r="D8" s="22"/>
      <c r="E8" s="664" t="s">
        <v>1</v>
      </c>
      <c r="F8" s="593"/>
      <c r="G8" s="594">
        <f>원가!G8</f>
        <v>0</v>
      </c>
      <c r="H8" s="338">
        <f>원가!G41</f>
        <v>6992</v>
      </c>
      <c r="I8" s="338">
        <f>원가!G74</f>
        <v>6950</v>
      </c>
      <c r="J8" s="338">
        <f>원가!G107</f>
        <v>6854</v>
      </c>
      <c r="K8" s="338">
        <f>원가!G140</f>
        <v>5100</v>
      </c>
      <c r="L8" s="338">
        <f>원가!G173</f>
        <v>5100</v>
      </c>
    </row>
    <row r="9" spans="1:12" ht="16.5" customHeight="1">
      <c r="A9" s="697"/>
      <c r="B9" s="698"/>
      <c r="C9" s="707"/>
      <c r="D9" s="22"/>
      <c r="E9" s="24" t="s">
        <v>287</v>
      </c>
      <c r="F9" s="269"/>
      <c r="G9" s="338">
        <f>원가!G9</f>
        <v>81084</v>
      </c>
      <c r="H9" s="338">
        <f>원가!G42</f>
        <v>77341</v>
      </c>
      <c r="I9" s="338">
        <f>원가!G75</f>
        <v>76876</v>
      </c>
      <c r="J9" s="338">
        <f>원가!G108</f>
        <v>75807</v>
      </c>
      <c r="K9" s="338">
        <f>원가!G141</f>
        <v>59599</v>
      </c>
      <c r="L9" s="338">
        <f>원가!G174</f>
        <v>59599</v>
      </c>
    </row>
    <row r="10" spans="1:12" ht="16.5" customHeight="1">
      <c r="A10" s="697"/>
      <c r="B10" s="698"/>
      <c r="C10" s="707"/>
      <c r="D10" s="22"/>
      <c r="E10" s="24" t="s">
        <v>6</v>
      </c>
      <c r="F10" s="269"/>
      <c r="G10" s="338">
        <f>원가!G10</f>
        <v>67570</v>
      </c>
      <c r="H10" s="338">
        <f>원가!G43</f>
        <v>64450</v>
      </c>
      <c r="I10" s="338">
        <f>원가!G76</f>
        <v>64064</v>
      </c>
      <c r="J10" s="338">
        <f>원가!G109</f>
        <v>63172</v>
      </c>
      <c r="K10" s="338">
        <f>원가!G142</f>
        <v>49666</v>
      </c>
      <c r="L10" s="338">
        <f>원가!G175</f>
        <v>49666</v>
      </c>
    </row>
    <row r="11" spans="1:12" ht="16.5" customHeight="1">
      <c r="A11" s="697"/>
      <c r="B11" s="698"/>
      <c r="C11" s="707"/>
      <c r="D11" s="22"/>
      <c r="E11" s="24" t="s">
        <v>325</v>
      </c>
      <c r="F11" s="269"/>
      <c r="G11" s="338">
        <f>원가!G11</f>
        <v>0</v>
      </c>
      <c r="H11" s="338">
        <f>원가!G44</f>
        <v>0</v>
      </c>
      <c r="I11" s="338">
        <f>원가!G77</f>
        <v>0</v>
      </c>
      <c r="J11" s="338">
        <f>원가!G110</f>
        <v>0</v>
      </c>
      <c r="K11" s="338">
        <f>원가!G143</f>
        <v>0</v>
      </c>
      <c r="L11" s="338">
        <f>원가!G176</f>
        <v>0</v>
      </c>
    </row>
    <row r="12" spans="1:12" ht="16.5" customHeight="1">
      <c r="A12" s="697"/>
      <c r="B12" s="698"/>
      <c r="C12" s="706"/>
      <c r="D12" s="22"/>
      <c r="E12" s="22" t="s">
        <v>7</v>
      </c>
      <c r="F12" s="270"/>
      <c r="G12" s="338">
        <f>원가!G12</f>
        <v>148654</v>
      </c>
      <c r="H12" s="338">
        <f>원가!G45</f>
        <v>148783</v>
      </c>
      <c r="I12" s="338">
        <f>원가!G78</f>
        <v>147890</v>
      </c>
      <c r="J12" s="338">
        <f>원가!G111</f>
        <v>145833</v>
      </c>
      <c r="K12" s="338">
        <f>원가!G144</f>
        <v>114365</v>
      </c>
      <c r="L12" s="338">
        <f>원가!G177</f>
        <v>114365</v>
      </c>
    </row>
    <row r="13" spans="1:12" ht="16.5" customHeight="1">
      <c r="A13" s="697"/>
      <c r="B13" s="698"/>
      <c r="C13" s="692" t="s">
        <v>263</v>
      </c>
      <c r="D13" s="690"/>
      <c r="E13" s="690"/>
      <c r="F13" s="691"/>
      <c r="G13" s="338">
        <f>원가!G13</f>
        <v>470743</v>
      </c>
      <c r="H13" s="338">
        <f>원가!G46</f>
        <v>449008</v>
      </c>
      <c r="I13" s="338">
        <f>원가!G79</f>
        <v>446313</v>
      </c>
      <c r="J13" s="338">
        <f>원가!G112</f>
        <v>440104</v>
      </c>
      <c r="K13" s="338">
        <f>원가!G145</f>
        <v>346010</v>
      </c>
      <c r="L13" s="338">
        <f>원가!G178</f>
        <v>346010</v>
      </c>
    </row>
    <row r="14" spans="1:12" ht="16.5" customHeight="1">
      <c r="A14" s="697"/>
      <c r="B14" s="698"/>
      <c r="C14" s="689" t="s">
        <v>28</v>
      </c>
      <c r="D14" s="690"/>
      <c r="E14" s="690"/>
      <c r="F14" s="691"/>
      <c r="G14" s="338">
        <f>원가!G14</f>
        <v>169302</v>
      </c>
      <c r="H14" s="338">
        <f>원가!G47</f>
        <v>162067</v>
      </c>
      <c r="I14" s="338">
        <f>원가!G80</f>
        <v>161095</v>
      </c>
      <c r="J14" s="338">
        <f>원가!G113</f>
        <v>158854</v>
      </c>
      <c r="K14" s="338">
        <f>원가!G146</f>
        <v>124867</v>
      </c>
      <c r="L14" s="338">
        <f>원가!G179</f>
        <v>124867</v>
      </c>
    </row>
    <row r="15" spans="1:12" ht="16.5" customHeight="1">
      <c r="A15" s="699"/>
      <c r="B15" s="700"/>
      <c r="C15" s="692" t="s">
        <v>264</v>
      </c>
      <c r="D15" s="690"/>
      <c r="E15" s="690"/>
      <c r="F15" s="691"/>
      <c r="G15" s="338">
        <f>원가!G15</f>
        <v>2200928</v>
      </c>
      <c r="H15" s="338">
        <f>원가!G48</f>
        <v>2106882</v>
      </c>
      <c r="I15" s="338">
        <f>원가!G81</f>
        <v>2094237</v>
      </c>
      <c r="J15" s="338">
        <f>원가!G114</f>
        <v>2065103</v>
      </c>
      <c r="K15" s="338">
        <f>원가!G147</f>
        <v>1623272</v>
      </c>
      <c r="L15" s="338">
        <f>원가!G180</f>
        <v>1623272</v>
      </c>
    </row>
    <row r="16" spans="1:12" ht="16.5" customHeight="1">
      <c r="A16" s="695" t="s">
        <v>291</v>
      </c>
      <c r="B16" s="696"/>
      <c r="C16" s="701" t="s">
        <v>5</v>
      </c>
      <c r="D16" s="22"/>
      <c r="E16" s="24" t="s">
        <v>30</v>
      </c>
      <c r="F16" s="24"/>
      <c r="G16" s="338">
        <f>원가!G16</f>
        <v>42664</v>
      </c>
      <c r="H16" s="338">
        <f>원가!G49</f>
        <v>40841</v>
      </c>
      <c r="I16" s="338">
        <f>원가!G82</f>
        <v>40595</v>
      </c>
      <c r="J16" s="338">
        <f>원가!G115</f>
        <v>40031</v>
      </c>
      <c r="K16" s="338">
        <f>원가!G148</f>
        <v>31466</v>
      </c>
      <c r="L16" s="338">
        <f>원가!G181</f>
        <v>31466</v>
      </c>
    </row>
    <row r="17" spans="1:12" ht="16.5" customHeight="1">
      <c r="A17" s="697"/>
      <c r="B17" s="698"/>
      <c r="C17" s="704"/>
      <c r="D17" s="22"/>
      <c r="E17" s="24" t="s">
        <v>265</v>
      </c>
      <c r="F17" s="24"/>
      <c r="G17" s="338">
        <f>원가!G17</f>
        <v>91423</v>
      </c>
      <c r="H17" s="338">
        <f>원가!G50</f>
        <v>87516</v>
      </c>
      <c r="I17" s="338">
        <f>원가!G83</f>
        <v>86991</v>
      </c>
      <c r="J17" s="338">
        <f>원가!G116</f>
        <v>85781</v>
      </c>
      <c r="K17" s="338">
        <f>원가!G149</f>
        <v>67428</v>
      </c>
      <c r="L17" s="338">
        <f>원가!G182</f>
        <v>67428</v>
      </c>
    </row>
    <row r="18" spans="1:12" ht="16.5" customHeight="1">
      <c r="A18" s="697"/>
      <c r="B18" s="698"/>
      <c r="C18" s="704"/>
      <c r="D18" s="22"/>
      <c r="E18" s="24" t="s">
        <v>266</v>
      </c>
      <c r="F18" s="24"/>
      <c r="G18" s="338">
        <f>원가!G18</f>
        <v>14221</v>
      </c>
      <c r="H18" s="338">
        <f>원가!G51</f>
        <v>13613</v>
      </c>
      <c r="I18" s="338">
        <f>원가!G84</f>
        <v>13531</v>
      </c>
      <c r="J18" s="338">
        <f>원가!G117</f>
        <v>13343</v>
      </c>
      <c r="K18" s="338">
        <f>원가!G150</f>
        <v>10488</v>
      </c>
      <c r="L18" s="338">
        <f>원가!G183</f>
        <v>10488</v>
      </c>
    </row>
    <row r="19" spans="1:12" s="683" customFormat="1" ht="16.5" customHeight="1">
      <c r="A19" s="697"/>
      <c r="B19" s="698"/>
      <c r="C19" s="704"/>
      <c r="D19" s="680"/>
      <c r="E19" s="681" t="s">
        <v>267</v>
      </c>
      <c r="F19" s="681"/>
      <c r="G19" s="682">
        <f>원가!G19</f>
        <v>54142</v>
      </c>
      <c r="H19" s="682">
        <f>원가!G52</f>
        <v>51829</v>
      </c>
      <c r="I19" s="682">
        <f>원가!G85</f>
        <v>51518</v>
      </c>
      <c r="J19" s="682">
        <f>원가!G118</f>
        <v>50801</v>
      </c>
      <c r="K19" s="682">
        <f>원가!G151</f>
        <v>39932</v>
      </c>
      <c r="L19" s="682">
        <f>원가!G184</f>
        <v>39932</v>
      </c>
    </row>
    <row r="20" spans="1:12" s="683" customFormat="1" ht="16.5" customHeight="1">
      <c r="A20" s="697"/>
      <c r="B20" s="698"/>
      <c r="C20" s="704"/>
      <c r="D20" s="680"/>
      <c r="E20" s="678" t="s">
        <v>322</v>
      </c>
      <c r="F20" s="681"/>
      <c r="G20" s="682">
        <f>원가!G20</f>
        <v>3546</v>
      </c>
      <c r="H20" s="682">
        <f>원가!G53</f>
        <v>3394</v>
      </c>
      <c r="I20" s="682">
        <f>원가!G86</f>
        <v>3374</v>
      </c>
      <c r="J20" s="682">
        <f>원가!G119</f>
        <v>3327</v>
      </c>
      <c r="K20" s="682">
        <f>원가!G152</f>
        <v>2615</v>
      </c>
      <c r="L20" s="682">
        <f>원가!G185</f>
        <v>2615</v>
      </c>
    </row>
    <row r="21" spans="1:12" s="683" customFormat="1" ht="16.5" customHeight="1">
      <c r="A21" s="697"/>
      <c r="B21" s="698"/>
      <c r="C21" s="704"/>
      <c r="D21" s="680"/>
      <c r="E21" s="681" t="s">
        <v>268</v>
      </c>
      <c r="F21" s="681"/>
      <c r="G21" s="682">
        <f>원가!G21</f>
        <v>1625</v>
      </c>
      <c r="H21" s="682">
        <f>원가!G54</f>
        <v>1555</v>
      </c>
      <c r="I21" s="682">
        <f>원가!G87</f>
        <v>1546</v>
      </c>
      <c r="J21" s="682">
        <f>원가!G120</f>
        <v>1524</v>
      </c>
      <c r="K21" s="682">
        <f>원가!G153</f>
        <v>1198</v>
      </c>
      <c r="L21" s="682">
        <f>원가!G186</f>
        <v>1198</v>
      </c>
    </row>
    <row r="22" spans="1:12" ht="16.5" customHeight="1">
      <c r="A22" s="697"/>
      <c r="B22" s="698"/>
      <c r="C22" s="702"/>
      <c r="D22" s="22"/>
      <c r="E22" s="270" t="s">
        <v>7</v>
      </c>
      <c r="F22" s="24"/>
      <c r="G22" s="338">
        <f>원가!G22</f>
        <v>207621</v>
      </c>
      <c r="H22" s="338">
        <f>원가!G55</f>
        <v>198748</v>
      </c>
      <c r="I22" s="338">
        <f>원가!G88</f>
        <v>197555</v>
      </c>
      <c r="J22" s="338">
        <f>원가!G121</f>
        <v>194807</v>
      </c>
      <c r="K22" s="338">
        <f>원가!G154</f>
        <v>153127</v>
      </c>
      <c r="L22" s="338">
        <f>원가!G187</f>
        <v>153127</v>
      </c>
    </row>
    <row r="23" spans="1:12" ht="16.5" customHeight="1">
      <c r="A23" s="697"/>
      <c r="B23" s="698"/>
      <c r="C23" s="705" t="s">
        <v>388</v>
      </c>
      <c r="D23" s="22"/>
      <c r="E23" s="24" t="s">
        <v>269</v>
      </c>
      <c r="F23" s="24"/>
      <c r="G23" s="338">
        <f>원가!G23</f>
        <v>63000</v>
      </c>
      <c r="H23" s="338">
        <f>원가!G56</f>
        <v>63000</v>
      </c>
      <c r="I23" s="338">
        <f>원가!G89</f>
        <v>63000</v>
      </c>
      <c r="J23" s="338">
        <f>원가!G122</f>
        <v>63000</v>
      </c>
      <c r="K23" s="338">
        <f>원가!G155</f>
        <v>63000</v>
      </c>
      <c r="L23" s="338">
        <f>원가!G188</f>
        <v>63000</v>
      </c>
    </row>
    <row r="24" spans="1:12" ht="16.5" customHeight="1">
      <c r="A24" s="697"/>
      <c r="B24" s="698"/>
      <c r="C24" s="706"/>
      <c r="D24" s="22"/>
      <c r="E24" s="270" t="s">
        <v>7</v>
      </c>
      <c r="F24" s="24"/>
      <c r="G24" s="338">
        <f>원가!G24</f>
        <v>63000</v>
      </c>
      <c r="H24" s="338">
        <f>원가!G57</f>
        <v>63000</v>
      </c>
      <c r="I24" s="338">
        <f>원가!G90</f>
        <v>63000</v>
      </c>
      <c r="J24" s="338">
        <f>원가!G123</f>
        <v>63000</v>
      </c>
      <c r="K24" s="338">
        <f>원가!G156</f>
        <v>63000</v>
      </c>
      <c r="L24" s="338">
        <f>원가!G189</f>
        <v>63000</v>
      </c>
    </row>
    <row r="25" spans="1:12" ht="16.5" customHeight="1">
      <c r="A25" s="697"/>
      <c r="B25" s="698"/>
      <c r="C25" s="701" t="s">
        <v>327</v>
      </c>
      <c r="D25" s="22"/>
      <c r="E25" s="664" t="s">
        <v>555</v>
      </c>
      <c r="F25" s="24"/>
      <c r="G25" s="338">
        <f>원가!G25</f>
        <v>0</v>
      </c>
      <c r="H25" s="338">
        <f>원가!G58</f>
        <v>0</v>
      </c>
      <c r="I25" s="338">
        <f>원가!G91</f>
        <v>0</v>
      </c>
      <c r="J25" s="338">
        <f>원가!G124</f>
        <v>0</v>
      </c>
      <c r="K25" s="338">
        <f>원가!G157</f>
        <v>0</v>
      </c>
      <c r="L25" s="338">
        <f>원가!G190</f>
        <v>0</v>
      </c>
    </row>
    <row r="26" spans="1:12" ht="16.5" customHeight="1">
      <c r="A26" s="697"/>
      <c r="B26" s="698"/>
      <c r="C26" s="702"/>
      <c r="D26" s="22"/>
      <c r="E26" s="24" t="s">
        <v>328</v>
      </c>
      <c r="F26" s="24"/>
      <c r="G26" s="338">
        <f>원가!G26</f>
        <v>8333</v>
      </c>
      <c r="H26" s="338">
        <f>원가!G59</f>
        <v>8333</v>
      </c>
      <c r="I26" s="338">
        <f>원가!G92</f>
        <v>8333</v>
      </c>
      <c r="J26" s="338">
        <f>원가!G125</f>
        <v>8333</v>
      </c>
      <c r="K26" s="338">
        <f>원가!G158</f>
        <v>0</v>
      </c>
      <c r="L26" s="338">
        <f>원가!G191</f>
        <v>0</v>
      </c>
    </row>
    <row r="27" spans="1:12" ht="16.5" customHeight="1">
      <c r="A27" s="699"/>
      <c r="B27" s="700"/>
      <c r="C27" s="692" t="s">
        <v>264</v>
      </c>
      <c r="D27" s="690"/>
      <c r="E27" s="690"/>
      <c r="F27" s="691"/>
      <c r="G27" s="338">
        <f>원가!G27</f>
        <v>278954</v>
      </c>
      <c r="H27" s="338">
        <f>원가!G60</f>
        <v>270081</v>
      </c>
      <c r="I27" s="338">
        <f>원가!G93</f>
        <v>268888</v>
      </c>
      <c r="J27" s="338">
        <f>원가!G126</f>
        <v>266140</v>
      </c>
      <c r="K27" s="338">
        <f>원가!G159</f>
        <v>216127</v>
      </c>
      <c r="L27" s="338">
        <f>원가!G192</f>
        <v>216127</v>
      </c>
    </row>
    <row r="28" spans="1:12" ht="16.5" customHeight="1">
      <c r="A28" s="176"/>
      <c r="B28" s="693" t="s">
        <v>212</v>
      </c>
      <c r="C28" s="693"/>
      <c r="D28" s="693"/>
      <c r="E28" s="693"/>
      <c r="F28" s="274"/>
      <c r="G28" s="338">
        <f>원가!G28</f>
        <v>2479882</v>
      </c>
      <c r="H28" s="338">
        <f>원가!G61</f>
        <v>2376963</v>
      </c>
      <c r="I28" s="338">
        <f>원가!G94</f>
        <v>2363125</v>
      </c>
      <c r="J28" s="338">
        <f>원가!G127</f>
        <v>2331243</v>
      </c>
      <c r="K28" s="338">
        <f>원가!G160</f>
        <v>1839399</v>
      </c>
      <c r="L28" s="338">
        <f>원가!G193</f>
        <v>1839399</v>
      </c>
    </row>
    <row r="29" spans="1:12" ht="16.5" customHeight="1">
      <c r="A29" s="271"/>
      <c r="B29" s="694" t="s">
        <v>564</v>
      </c>
      <c r="C29" s="693"/>
      <c r="D29" s="693"/>
      <c r="E29" s="693"/>
      <c r="F29" s="275"/>
      <c r="G29" s="338">
        <f>원가!G29</f>
        <v>74396</v>
      </c>
      <c r="H29" s="338">
        <f>원가!G62</f>
        <v>71308</v>
      </c>
      <c r="I29" s="338">
        <f>원가!G95</f>
        <v>70893</v>
      </c>
      <c r="J29" s="338">
        <f>원가!G128</f>
        <v>69937</v>
      </c>
      <c r="K29" s="338">
        <f>원가!G161</f>
        <v>55181</v>
      </c>
      <c r="L29" s="338">
        <f>원가!G194</f>
        <v>55181</v>
      </c>
    </row>
    <row r="30" spans="1:12" ht="16.5" customHeight="1">
      <c r="A30" s="271"/>
      <c r="B30" s="694" t="s">
        <v>565</v>
      </c>
      <c r="C30" s="693"/>
      <c r="D30" s="693"/>
      <c r="E30" s="693"/>
      <c r="F30" s="275"/>
      <c r="G30" s="338">
        <f>원가!G30</f>
        <v>178799</v>
      </c>
      <c r="H30" s="338">
        <f>원가!G63</f>
        <v>171378</v>
      </c>
      <c r="I30" s="338">
        <f>원가!G96</f>
        <v>170381</v>
      </c>
      <c r="J30" s="338">
        <f>원가!G129</f>
        <v>168082</v>
      </c>
      <c r="K30" s="338">
        <f>원가!G162</f>
        <v>132620</v>
      </c>
      <c r="L30" s="338">
        <f>원가!G195</f>
        <v>132620</v>
      </c>
    </row>
    <row r="31" spans="1:12" ht="16.5" customHeight="1">
      <c r="A31" s="271"/>
      <c r="B31" s="703" t="s">
        <v>378</v>
      </c>
      <c r="C31" s="703"/>
      <c r="D31" s="703"/>
      <c r="E31" s="703"/>
      <c r="F31" s="275"/>
      <c r="G31" s="338">
        <f>원가!G31</f>
        <v>2733077</v>
      </c>
      <c r="H31" s="338">
        <f>원가!G64</f>
        <v>2619649</v>
      </c>
      <c r="I31" s="338">
        <f>원가!G97</f>
        <v>2604399</v>
      </c>
      <c r="J31" s="338">
        <f>원가!G130</f>
        <v>2569262</v>
      </c>
      <c r="K31" s="338">
        <f>원가!G163</f>
        <v>2027200</v>
      </c>
      <c r="L31" s="338">
        <f>원가!G196</f>
        <v>2027200</v>
      </c>
    </row>
    <row r="32" spans="1:12" ht="16.5" customHeight="1">
      <c r="A32" s="271"/>
      <c r="B32" s="703" t="s">
        <v>379</v>
      </c>
      <c r="C32" s="703"/>
      <c r="D32" s="703"/>
      <c r="E32" s="703"/>
      <c r="F32" s="275"/>
      <c r="G32" s="338">
        <f>원가!G32</f>
        <v>273307</v>
      </c>
      <c r="H32" s="338">
        <f>원가!G65</f>
        <v>261964</v>
      </c>
      <c r="I32" s="338">
        <f>원가!G98</f>
        <v>260439</v>
      </c>
      <c r="J32" s="338">
        <f>원가!G131</f>
        <v>256926</v>
      </c>
      <c r="K32" s="338">
        <f>원가!G164</f>
        <v>202720</v>
      </c>
      <c r="L32" s="338">
        <f>원가!G197</f>
        <v>202720</v>
      </c>
    </row>
    <row r="33" spans="1:12" ht="16.5" customHeight="1">
      <c r="A33" s="3"/>
      <c r="B33" s="703" t="s">
        <v>380</v>
      </c>
      <c r="C33" s="703"/>
      <c r="D33" s="703"/>
      <c r="E33" s="703"/>
      <c r="F33" s="275"/>
      <c r="G33" s="338">
        <f>원가!G33</f>
        <v>3006384</v>
      </c>
      <c r="H33" s="338">
        <f>원가!G66</f>
        <v>2881613</v>
      </c>
      <c r="I33" s="338">
        <f>원가!G99</f>
        <v>2864838</v>
      </c>
      <c r="J33" s="338">
        <f>원가!G132</f>
        <v>2826188</v>
      </c>
      <c r="K33" s="338">
        <f>원가!G165</f>
        <v>2229920</v>
      </c>
      <c r="L33" s="338">
        <f>원가!G198</f>
        <v>2229920</v>
      </c>
    </row>
  </sheetData>
  <sheetProtection/>
  <mergeCells count="17">
    <mergeCell ref="B33:E33"/>
    <mergeCell ref="B32:E32"/>
    <mergeCell ref="B30:E30"/>
    <mergeCell ref="B31:E31"/>
    <mergeCell ref="C7:F7"/>
    <mergeCell ref="A7:B15"/>
    <mergeCell ref="C16:C22"/>
    <mergeCell ref="C23:C24"/>
    <mergeCell ref="C8:C12"/>
    <mergeCell ref="C13:F13"/>
    <mergeCell ref="C14:F14"/>
    <mergeCell ref="C15:F15"/>
    <mergeCell ref="B28:E28"/>
    <mergeCell ref="B29:E29"/>
    <mergeCell ref="A16:B27"/>
    <mergeCell ref="C27:F27"/>
    <mergeCell ref="C25:C26"/>
  </mergeCells>
  <printOptions horizontalCentered="1"/>
  <pageMargins left="0.7874015748031497" right="0.7086614173228347" top="0.7874015748031497" bottom="0.5905511811023623" header="0.5118110236220472" footer="0.3937007874015748"/>
  <pageSetup horizontalDpi="600" verticalDpi="600" orientation="landscape" paperSize="9" scale="77" r:id="rId2"/>
  <headerFooter alignWithMargins="0">
    <oddFooter>&amp;C- &amp;P+2 -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view="pageBreakPreview" zoomScaleSheetLayoutView="100" zoomScalePageLayoutView="0" workbookViewId="0" topLeftCell="A4">
      <selection activeCell="E26" sqref="E26"/>
    </sheetView>
  </sheetViews>
  <sheetFormatPr defaultColWidth="9.140625" defaultRowHeight="23.25" customHeight="1"/>
  <cols>
    <col min="1" max="1" width="1.7109375" style="103" customWidth="1"/>
    <col min="2" max="2" width="3.7109375" style="103" customWidth="1"/>
    <col min="3" max="3" width="29.7109375" style="128" customWidth="1"/>
    <col min="4" max="4" width="1.7109375" style="103" customWidth="1"/>
    <col min="5" max="5" width="15.7109375" style="124" customWidth="1"/>
    <col min="6" max="6" width="2.7109375" style="124" customWidth="1"/>
    <col min="7" max="7" width="15.7109375" style="103" customWidth="1"/>
    <col min="8" max="8" width="2.7109375" style="103" customWidth="1"/>
    <col min="9" max="9" width="21.57421875" style="103" customWidth="1"/>
    <col min="10" max="16384" width="9.140625" style="103" customWidth="1"/>
  </cols>
  <sheetData>
    <row r="1" spans="1:6" ht="19.5" customHeight="1">
      <c r="A1" s="101" t="s">
        <v>474</v>
      </c>
      <c r="B1" s="102"/>
      <c r="C1" s="103"/>
      <c r="D1" s="102"/>
      <c r="E1" s="104"/>
      <c r="F1" s="104"/>
    </row>
    <row r="2" spans="1:9" ht="39.75" customHeight="1">
      <c r="A2" s="105" t="s">
        <v>177</v>
      </c>
      <c r="B2" s="106"/>
      <c r="C2" s="106"/>
      <c r="D2" s="106"/>
      <c r="E2" s="107"/>
      <c r="F2" s="107"/>
      <c r="G2" s="106"/>
      <c r="H2" s="106"/>
      <c r="I2" s="106"/>
    </row>
    <row r="3" spans="1:9" ht="19.5" customHeight="1">
      <c r="A3" s="115"/>
      <c r="B3" s="106"/>
      <c r="C3" s="106"/>
      <c r="D3" s="106"/>
      <c r="E3" s="107"/>
      <c r="F3" s="107"/>
      <c r="G3" s="106"/>
      <c r="H3" s="106"/>
      <c r="I3" s="106"/>
    </row>
    <row r="4" spans="1:9" ht="19.5" customHeight="1">
      <c r="A4" s="108" t="s">
        <v>178</v>
      </c>
      <c r="B4" s="323"/>
      <c r="C4" s="106"/>
      <c r="D4" s="323"/>
      <c r="E4" s="324"/>
      <c r="F4" s="324"/>
      <c r="G4" s="106"/>
      <c r="H4" s="106"/>
      <c r="I4" s="106"/>
    </row>
    <row r="5" spans="1:9" ht="49.5" customHeight="1">
      <c r="A5" s="109"/>
      <c r="B5" s="807" t="s">
        <v>179</v>
      </c>
      <c r="C5" s="807"/>
      <c r="D5" s="110"/>
      <c r="E5" s="111" t="s">
        <v>180</v>
      </c>
      <c r="F5" s="111"/>
      <c r="G5" s="808" t="s">
        <v>196</v>
      </c>
      <c r="H5" s="809"/>
      <c r="I5" s="112" t="s">
        <v>181</v>
      </c>
    </row>
    <row r="6" spans="1:9" ht="24.75" customHeight="1">
      <c r="A6" s="113"/>
      <c r="B6" s="114"/>
      <c r="C6" s="115"/>
      <c r="D6" s="116"/>
      <c r="E6" s="107"/>
      <c r="F6" s="107"/>
      <c r="G6" s="117"/>
      <c r="H6" s="118"/>
      <c r="I6" s="119"/>
    </row>
    <row r="7" spans="1:9" ht="24.75" customHeight="1">
      <c r="A7" s="120"/>
      <c r="B7" s="121" t="s">
        <v>182</v>
      </c>
      <c r="C7" s="122" t="s">
        <v>162</v>
      </c>
      <c r="D7" s="123"/>
      <c r="E7" s="142"/>
      <c r="F7" s="142"/>
      <c r="G7" s="143">
        <f>기업!F7</f>
        <v>10964383</v>
      </c>
      <c r="H7" s="125"/>
      <c r="I7" s="126" t="s">
        <v>183</v>
      </c>
    </row>
    <row r="8" spans="1:9" ht="24.75" customHeight="1">
      <c r="A8" s="120"/>
      <c r="B8" s="121" t="s">
        <v>184</v>
      </c>
      <c r="C8" s="122" t="s">
        <v>185</v>
      </c>
      <c r="D8" s="123"/>
      <c r="E8" s="143"/>
      <c r="F8" s="142"/>
      <c r="G8" s="143">
        <f>G9-G10</f>
        <v>9306224</v>
      </c>
      <c r="H8" s="125"/>
      <c r="I8" s="126"/>
    </row>
    <row r="9" spans="1:9" ht="24.75" customHeight="1">
      <c r="A9" s="120"/>
      <c r="B9" s="127" t="s">
        <v>148</v>
      </c>
      <c r="C9" s="122" t="s">
        <v>163</v>
      </c>
      <c r="D9" s="123"/>
      <c r="E9" s="142"/>
      <c r="F9" s="142"/>
      <c r="G9" s="143">
        <f>기업!F9</f>
        <v>11880957</v>
      </c>
      <c r="H9" s="125"/>
      <c r="I9" s="126"/>
    </row>
    <row r="10" spans="1:9" ht="24.75" customHeight="1">
      <c r="A10" s="120"/>
      <c r="B10" s="127" t="s">
        <v>148</v>
      </c>
      <c r="C10" s="122" t="s">
        <v>186</v>
      </c>
      <c r="D10" s="123"/>
      <c r="E10" s="142"/>
      <c r="F10" s="142"/>
      <c r="G10" s="143">
        <f>SUM(G11:G16)</f>
        <v>2574733</v>
      </c>
      <c r="H10" s="125"/>
      <c r="I10" s="126"/>
    </row>
    <row r="11" spans="1:9" ht="24.75" customHeight="1">
      <c r="A11" s="120"/>
      <c r="B11" s="127"/>
      <c r="C11" s="128" t="s">
        <v>187</v>
      </c>
      <c r="D11" s="123"/>
      <c r="E11" s="142"/>
      <c r="F11" s="142"/>
      <c r="G11" s="143">
        <f>기업!F17</f>
        <v>116240</v>
      </c>
      <c r="H11" s="125"/>
      <c r="I11" s="126"/>
    </row>
    <row r="12" spans="1:9" ht="24.75" customHeight="1">
      <c r="A12" s="120"/>
      <c r="B12" s="127"/>
      <c r="C12" s="128" t="s">
        <v>188</v>
      </c>
      <c r="D12" s="123"/>
      <c r="E12" s="142"/>
      <c r="F12" s="142"/>
      <c r="G12" s="143">
        <f>기업!F18</f>
        <v>139607</v>
      </c>
      <c r="H12" s="125"/>
      <c r="I12" s="126"/>
    </row>
    <row r="13" spans="1:9" ht="24.75" customHeight="1">
      <c r="A13" s="120"/>
      <c r="B13" s="127"/>
      <c r="C13" s="128" t="s">
        <v>189</v>
      </c>
      <c r="D13" s="123"/>
      <c r="E13" s="142"/>
      <c r="F13" s="142"/>
      <c r="G13" s="143">
        <f>기업!F21</f>
        <v>19736</v>
      </c>
      <c r="H13" s="125"/>
      <c r="I13" s="126"/>
    </row>
    <row r="14" spans="1:9" ht="24.75" customHeight="1">
      <c r="A14" s="120"/>
      <c r="B14" s="127"/>
      <c r="C14" s="128" t="s">
        <v>190</v>
      </c>
      <c r="D14" s="123"/>
      <c r="E14" s="142"/>
      <c r="F14" s="142"/>
      <c r="G14" s="143">
        <f>기업!F22</f>
        <v>33255</v>
      </c>
      <c r="H14" s="125"/>
      <c r="I14" s="126"/>
    </row>
    <row r="15" spans="1:9" ht="24.75" customHeight="1">
      <c r="A15" s="120"/>
      <c r="B15" s="127"/>
      <c r="C15" s="128" t="s">
        <v>191</v>
      </c>
      <c r="D15" s="123"/>
      <c r="E15" s="142"/>
      <c r="F15" s="142"/>
      <c r="G15" s="143">
        <f>기업!F23</f>
        <v>56185</v>
      </c>
      <c r="H15" s="125"/>
      <c r="I15" s="126"/>
    </row>
    <row r="16" spans="1:9" ht="24.75" customHeight="1">
      <c r="A16" s="120"/>
      <c r="B16" s="127"/>
      <c r="C16" s="128" t="s">
        <v>192</v>
      </c>
      <c r="D16" s="123"/>
      <c r="E16" s="142"/>
      <c r="F16" s="142"/>
      <c r="G16" s="143">
        <f>기업!F26</f>
        <v>2209710</v>
      </c>
      <c r="H16" s="125"/>
      <c r="I16" s="126"/>
    </row>
    <row r="17" spans="1:9" ht="24.75" customHeight="1">
      <c r="A17" s="120"/>
      <c r="B17" s="127"/>
      <c r="D17" s="123"/>
      <c r="E17" s="142"/>
      <c r="F17" s="142"/>
      <c r="G17" s="144"/>
      <c r="H17" s="123"/>
      <c r="I17" s="126"/>
    </row>
    <row r="18" spans="1:9" ht="45" customHeight="1">
      <c r="A18" s="129"/>
      <c r="B18" s="130" t="s">
        <v>193</v>
      </c>
      <c r="C18" s="131" t="s">
        <v>194</v>
      </c>
      <c r="D18" s="132"/>
      <c r="E18" s="145">
        <v>5</v>
      </c>
      <c r="F18" s="146"/>
      <c r="G18" s="145">
        <f>TRUNC(G8/G7*100,2)</f>
        <v>84.87</v>
      </c>
      <c r="H18" s="133"/>
      <c r="I18" s="134" t="s">
        <v>195</v>
      </c>
    </row>
    <row r="19" spans="1:6" ht="24.75" customHeight="1">
      <c r="A19" s="135" t="str">
        <f>"주 1) 금액 : "&amp;기업!A1&amp;기업!A2&amp;" 참조"</f>
        <v>주 1) 금액 : &lt; 표 : 23 &gt; 기업경영분석자료 참조</v>
      </c>
      <c r="B19" s="135"/>
      <c r="C19" s="101"/>
      <c r="D19" s="102"/>
      <c r="E19" s="104"/>
      <c r="F19" s="104"/>
    </row>
    <row r="20" spans="1:2" ht="24.75" customHeight="1">
      <c r="A20" s="101" t="s">
        <v>289</v>
      </c>
      <c r="B20" s="135"/>
    </row>
    <row r="21" spans="1:3" ht="24.75" customHeight="1">
      <c r="A21" s="136" t="s">
        <v>290</v>
      </c>
      <c r="B21" s="136"/>
      <c r="C21" s="137"/>
    </row>
    <row r="22" spans="1:3" s="140" customFormat="1" ht="24.75" customHeight="1">
      <c r="A22" s="138" t="str">
        <f>"   행정안전부예규에 의한 '용역 및 서비스업'의 일반관리비율 적용 한도율은 "&amp;E18&amp;"%이며, 기업경영"</f>
        <v>   행정안전부예규에 의한 '용역 및 서비스업'의 일반관리비율 적용 한도율은 5%이며, 기업경영</v>
      </c>
      <c r="B22" s="139"/>
      <c r="C22" s="139"/>
    </row>
    <row r="23" spans="1:3" s="140" customFormat="1" ht="24.75" customHeight="1">
      <c r="A23" s="138" t="str">
        <f>"   분석자료 비율은 "&amp;G18&amp;"%로 발생되어 본 원가산출시 적용 일반관리비율은 "&amp;MIN(E18:G18)&amp;"%를 적용하였다."</f>
        <v>   분석자료 비율은 84.87%로 발생되어 본 원가산출시 적용 일반관리비율은 5%를 적용하였다.</v>
      </c>
      <c r="B23" s="138"/>
      <c r="C23" s="138"/>
    </row>
    <row r="24" spans="1:3" ht="23.25" customHeight="1">
      <c r="A24" s="136"/>
      <c r="B24" s="141"/>
      <c r="C24" s="136"/>
    </row>
  </sheetData>
  <sheetProtection/>
  <mergeCells count="2">
    <mergeCell ref="B5:C5"/>
    <mergeCell ref="G5:H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&amp;P+46 -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view="pageBreakPreview" zoomScaleSheetLayoutView="100" zoomScalePageLayoutView="0" workbookViewId="0" topLeftCell="A1">
      <selection activeCell="L12" sqref="L12"/>
    </sheetView>
  </sheetViews>
  <sheetFormatPr defaultColWidth="9.140625" defaultRowHeight="27" customHeight="1"/>
  <cols>
    <col min="1" max="1" width="1.7109375" style="84" customWidth="1"/>
    <col min="2" max="2" width="12.7109375" style="84" customWidth="1"/>
    <col min="3" max="3" width="1.7109375" style="84" customWidth="1"/>
    <col min="4" max="4" width="0.85546875" style="84" customWidth="1"/>
    <col min="5" max="5" width="14.7109375" style="84" customWidth="1"/>
    <col min="6" max="6" width="0.85546875" style="84" customWidth="1"/>
    <col min="7" max="7" width="11.7109375" style="84" customWidth="1"/>
    <col min="8" max="9" width="10.7109375" style="84" customWidth="1"/>
    <col min="10" max="10" width="11.7109375" style="84" customWidth="1"/>
    <col min="11" max="11" width="7.28125" style="84" customWidth="1"/>
    <col min="12" max="12" width="10.7109375" style="93" customWidth="1"/>
    <col min="13" max="16384" width="9.140625" style="84" customWidth="1"/>
  </cols>
  <sheetData>
    <row r="1" spans="1:11" ht="19.5" customHeight="1">
      <c r="A1" s="67" t="s">
        <v>475</v>
      </c>
      <c r="B1" s="94"/>
      <c r="K1" s="74"/>
    </row>
    <row r="2" spans="1:12" ht="39.75" customHeight="1">
      <c r="A2" s="68" t="s">
        <v>164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9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320"/>
      <c r="B4" s="74"/>
      <c r="C4" s="74"/>
      <c r="D4" s="74"/>
      <c r="E4" s="74"/>
      <c r="F4" s="74"/>
      <c r="G4" s="321"/>
      <c r="H4" s="321"/>
      <c r="I4" s="321"/>
      <c r="J4" s="321"/>
      <c r="K4" s="322"/>
      <c r="L4" s="468" t="s">
        <v>347</v>
      </c>
    </row>
    <row r="5" spans="1:12" s="74" customFormat="1" ht="24.75" customHeight="1">
      <c r="A5" s="70"/>
      <c r="B5" s="801" t="s">
        <v>165</v>
      </c>
      <c r="C5" s="71"/>
      <c r="D5" s="803"/>
      <c r="E5" s="801" t="s">
        <v>166</v>
      </c>
      <c r="F5" s="72"/>
      <c r="G5" s="73" t="s">
        <v>167</v>
      </c>
      <c r="H5" s="73"/>
      <c r="I5" s="73"/>
      <c r="J5" s="73"/>
      <c r="K5" s="797" t="s">
        <v>249</v>
      </c>
      <c r="L5" s="799" t="s">
        <v>168</v>
      </c>
    </row>
    <row r="6" spans="1:12" s="74" customFormat="1" ht="24.75" customHeight="1">
      <c r="A6" s="75"/>
      <c r="B6" s="802"/>
      <c r="C6" s="76"/>
      <c r="D6" s="804"/>
      <c r="E6" s="802"/>
      <c r="F6" s="77"/>
      <c r="G6" s="78" t="s">
        <v>169</v>
      </c>
      <c r="H6" s="78" t="s">
        <v>170</v>
      </c>
      <c r="I6" s="78" t="s">
        <v>171</v>
      </c>
      <c r="J6" s="78" t="s">
        <v>172</v>
      </c>
      <c r="K6" s="798"/>
      <c r="L6" s="800"/>
    </row>
    <row r="7" spans="1:12" s="74" customFormat="1" ht="9.75" customHeight="1">
      <c r="A7" s="79"/>
      <c r="B7" s="87"/>
      <c r="C7" s="87"/>
      <c r="D7" s="98"/>
      <c r="E7" s="87"/>
      <c r="F7" s="99"/>
      <c r="G7" s="82"/>
      <c r="H7" s="82"/>
      <c r="I7" s="82"/>
      <c r="J7" s="82"/>
      <c r="K7" s="81"/>
      <c r="L7" s="83"/>
    </row>
    <row r="8" spans="1:12" ht="30" customHeight="1">
      <c r="A8" s="79"/>
      <c r="B8" s="74"/>
      <c r="C8" s="74"/>
      <c r="D8" s="79"/>
      <c r="E8" s="74"/>
      <c r="F8" s="80"/>
      <c r="G8" s="81" t="s">
        <v>173</v>
      </c>
      <c r="H8" s="81" t="s">
        <v>174</v>
      </c>
      <c r="I8" s="81" t="s">
        <v>175</v>
      </c>
      <c r="J8" s="81"/>
      <c r="K8" s="82" t="s">
        <v>176</v>
      </c>
      <c r="L8" s="83"/>
    </row>
    <row r="9" spans="1:12" ht="30" customHeight="1">
      <c r="A9" s="79"/>
      <c r="B9" s="85" t="str">
        <f>일반!B9</f>
        <v>전기반장</v>
      </c>
      <c r="C9" s="74"/>
      <c r="D9" s="79"/>
      <c r="E9" s="511" t="str">
        <f>일반!E9</f>
        <v>전기기능사</v>
      </c>
      <c r="F9" s="80"/>
      <c r="G9" s="97">
        <f>일반!G9</f>
        <v>2200928</v>
      </c>
      <c r="H9" s="97">
        <f>일반!H9</f>
        <v>278954</v>
      </c>
      <c r="I9" s="97">
        <f>일반!K9</f>
        <v>123994</v>
      </c>
      <c r="J9" s="97">
        <f>SUM(G9:I9)</f>
        <v>2603876</v>
      </c>
      <c r="K9" s="95">
        <v>10</v>
      </c>
      <c r="L9" s="97">
        <f>TRUNC(J9*K9%,0)</f>
        <v>260387</v>
      </c>
    </row>
    <row r="10" spans="1:12" ht="30" customHeight="1">
      <c r="A10" s="79"/>
      <c r="B10" s="85" t="str">
        <f>일반!B10</f>
        <v>전기기사</v>
      </c>
      <c r="C10" s="74"/>
      <c r="D10" s="79"/>
      <c r="E10" s="511" t="str">
        <f>일반!E10</f>
        <v>전기정비공</v>
      </c>
      <c r="F10" s="80"/>
      <c r="G10" s="97">
        <f>일반!G10</f>
        <v>2106882</v>
      </c>
      <c r="H10" s="97">
        <f>일반!H10</f>
        <v>270081</v>
      </c>
      <c r="I10" s="97">
        <f>일반!K10</f>
        <v>118848</v>
      </c>
      <c r="J10" s="97">
        <f aca="true" t="shared" si="0" ref="J10:J17">SUM(G10:I10)</f>
        <v>2495811</v>
      </c>
      <c r="K10" s="96">
        <f>K9</f>
        <v>10</v>
      </c>
      <c r="L10" s="97">
        <f>TRUNC(J10*K10%,0)</f>
        <v>249581</v>
      </c>
    </row>
    <row r="11" spans="1:12" ht="30" customHeight="1">
      <c r="A11" s="79"/>
      <c r="B11" s="85" t="str">
        <f>일반!B11</f>
        <v>기계반장</v>
      </c>
      <c r="C11" s="74"/>
      <c r="D11" s="79"/>
      <c r="E11" s="511" t="str">
        <f>일반!E11</f>
        <v>보일러공</v>
      </c>
      <c r="F11" s="80"/>
      <c r="G11" s="97">
        <f>일반!G11</f>
        <v>2094237</v>
      </c>
      <c r="H11" s="97">
        <f>일반!H11</f>
        <v>268888</v>
      </c>
      <c r="I11" s="97">
        <f>일반!K11</f>
        <v>118156</v>
      </c>
      <c r="J11" s="97">
        <f t="shared" si="0"/>
        <v>2481281</v>
      </c>
      <c r="K11" s="96">
        <f aca="true" t="shared" si="1" ref="K11:K17">K10</f>
        <v>10</v>
      </c>
      <c r="L11" s="97">
        <f>TRUNC(J11*K11%,0)</f>
        <v>248128</v>
      </c>
    </row>
    <row r="12" spans="1:12" ht="30" customHeight="1">
      <c r="A12" s="79"/>
      <c r="B12" s="85" t="str">
        <f>일반!B12</f>
        <v>기계기사</v>
      </c>
      <c r="C12" s="74"/>
      <c r="D12" s="79"/>
      <c r="E12" s="511" t="str">
        <f>일반!E12</f>
        <v>기계정비공</v>
      </c>
      <c r="F12" s="80"/>
      <c r="G12" s="97">
        <f>일반!G12</f>
        <v>2065103</v>
      </c>
      <c r="H12" s="97">
        <f>일반!H12</f>
        <v>266140</v>
      </c>
      <c r="I12" s="97">
        <f>일반!K12</f>
        <v>116562</v>
      </c>
      <c r="J12" s="97">
        <f t="shared" si="0"/>
        <v>2447805</v>
      </c>
      <c r="K12" s="96">
        <f t="shared" si="1"/>
        <v>10</v>
      </c>
      <c r="L12" s="97">
        <f aca="true" t="shared" si="2" ref="L12:L17">TRUNC(J12*K12%,0)</f>
        <v>244780</v>
      </c>
    </row>
    <row r="13" spans="1:12" ht="30" customHeight="1">
      <c r="A13" s="79"/>
      <c r="B13" s="85" t="str">
        <f>일반!B13</f>
        <v>미화반장</v>
      </c>
      <c r="C13" s="74"/>
      <c r="D13" s="79"/>
      <c r="E13" s="86" t="str">
        <f>일반!E13</f>
        <v>보통인부</v>
      </c>
      <c r="F13" s="80"/>
      <c r="G13" s="97">
        <f>일반!G13</f>
        <v>1623272</v>
      </c>
      <c r="H13" s="97">
        <f>일반!H13</f>
        <v>216127</v>
      </c>
      <c r="I13" s="97">
        <f>일반!K13</f>
        <v>91969</v>
      </c>
      <c r="J13" s="97">
        <f t="shared" si="0"/>
        <v>1931368</v>
      </c>
      <c r="K13" s="96">
        <f t="shared" si="1"/>
        <v>10</v>
      </c>
      <c r="L13" s="97">
        <f t="shared" si="2"/>
        <v>193136</v>
      </c>
    </row>
    <row r="14" spans="1:12" ht="30" customHeight="1">
      <c r="A14" s="79"/>
      <c r="B14" s="85" t="str">
        <f>일반!B14</f>
        <v>미화원</v>
      </c>
      <c r="C14" s="74"/>
      <c r="D14" s="79"/>
      <c r="E14" s="86" t="str">
        <f>일반!E14</f>
        <v>보통인부</v>
      </c>
      <c r="F14" s="80"/>
      <c r="G14" s="97">
        <f>일반!G14</f>
        <v>1623272</v>
      </c>
      <c r="H14" s="97">
        <f>일반!H14</f>
        <v>216127</v>
      </c>
      <c r="I14" s="97">
        <f>일반!K14</f>
        <v>91969</v>
      </c>
      <c r="J14" s="97">
        <f t="shared" si="0"/>
        <v>1931368</v>
      </c>
      <c r="K14" s="96">
        <f t="shared" si="1"/>
        <v>10</v>
      </c>
      <c r="L14" s="97">
        <f t="shared" si="2"/>
        <v>193136</v>
      </c>
    </row>
    <row r="15" spans="1:12" ht="30" customHeight="1">
      <c r="A15" s="79"/>
      <c r="B15" s="85" t="str">
        <f>일반!B15</f>
        <v>경비반장</v>
      </c>
      <c r="C15" s="74"/>
      <c r="D15" s="79"/>
      <c r="E15" s="86" t="str">
        <f>일반!E15</f>
        <v>보통인부</v>
      </c>
      <c r="F15" s="80"/>
      <c r="G15" s="97">
        <f>일반!G15</f>
        <v>1623272</v>
      </c>
      <c r="H15" s="97">
        <f>일반!H15</f>
        <v>224460</v>
      </c>
      <c r="I15" s="97">
        <f>일반!K15</f>
        <v>92386</v>
      </c>
      <c r="J15" s="97">
        <f t="shared" si="0"/>
        <v>1940118</v>
      </c>
      <c r="K15" s="96">
        <f t="shared" si="1"/>
        <v>10</v>
      </c>
      <c r="L15" s="97">
        <f t="shared" si="2"/>
        <v>194011</v>
      </c>
    </row>
    <row r="16" spans="1:12" ht="30" customHeight="1">
      <c r="A16" s="79"/>
      <c r="B16" s="85" t="str">
        <f>일반!B16</f>
        <v>경비원</v>
      </c>
      <c r="C16" s="74"/>
      <c r="D16" s="79"/>
      <c r="E16" s="86" t="str">
        <f>일반!E16</f>
        <v>보통인부</v>
      </c>
      <c r="F16" s="80"/>
      <c r="G16" s="97">
        <f>일반!G16</f>
        <v>1623272</v>
      </c>
      <c r="H16" s="97">
        <f>일반!H16</f>
        <v>216127</v>
      </c>
      <c r="I16" s="97">
        <f>일반!K16</f>
        <v>91969</v>
      </c>
      <c r="J16" s="97">
        <f t="shared" si="0"/>
        <v>1931368</v>
      </c>
      <c r="K16" s="96">
        <f t="shared" si="1"/>
        <v>10</v>
      </c>
      <c r="L16" s="97">
        <f t="shared" si="2"/>
        <v>193136</v>
      </c>
    </row>
    <row r="17" spans="1:12" ht="30" customHeight="1">
      <c r="A17" s="79"/>
      <c r="B17" s="85" t="str">
        <f>일반!B17</f>
        <v>주차관리</v>
      </c>
      <c r="C17" s="74"/>
      <c r="D17" s="79"/>
      <c r="E17" s="86" t="str">
        <f>일반!E17</f>
        <v>보통인부</v>
      </c>
      <c r="F17" s="80"/>
      <c r="G17" s="97">
        <f>일반!G17</f>
        <v>1623272</v>
      </c>
      <c r="H17" s="97">
        <f>일반!H17</f>
        <v>216127</v>
      </c>
      <c r="I17" s="97">
        <f>일반!K17</f>
        <v>91969</v>
      </c>
      <c r="J17" s="97">
        <f t="shared" si="0"/>
        <v>1931368</v>
      </c>
      <c r="K17" s="96">
        <f t="shared" si="1"/>
        <v>10</v>
      </c>
      <c r="L17" s="97">
        <f t="shared" si="2"/>
        <v>193136</v>
      </c>
    </row>
    <row r="18" spans="1:12" ht="9.75" customHeight="1">
      <c r="A18" s="75"/>
      <c r="B18" s="88"/>
      <c r="C18" s="89"/>
      <c r="D18" s="75"/>
      <c r="E18" s="89"/>
      <c r="F18" s="90"/>
      <c r="G18" s="91"/>
      <c r="H18" s="91"/>
      <c r="I18" s="91"/>
      <c r="J18" s="91"/>
      <c r="K18" s="76"/>
      <c r="L18" s="92"/>
    </row>
    <row r="19" spans="1:11" ht="19.5" customHeight="1">
      <c r="A19" s="67" t="str">
        <f>"주 1) 인건비 : "&amp;인집!A1&amp;인집!A2&amp;" 참조"</f>
        <v>주 1) 인건비 : &lt; 표 : 4 &gt; 단위당인건비집계표 참조</v>
      </c>
      <c r="B19" s="67"/>
      <c r="K19" s="74"/>
    </row>
    <row r="20" spans="1:11" ht="19.5" customHeight="1">
      <c r="A20" s="94" t="str">
        <f>"   2) 경비 : "&amp;경비집계표!A1&amp;" "&amp;경비집계표!A2&amp;" 참조"</f>
        <v>   2) 경비 : &lt; 표 : 11 &gt;  경비집계표 참조</v>
      </c>
      <c r="B20" s="67"/>
      <c r="K20" s="74"/>
    </row>
    <row r="21" spans="1:11" ht="19.5" customHeight="1">
      <c r="A21" s="67" t="str">
        <f>"   3) 일반관리비 : "&amp;일반!A1&amp;일반!A2&amp;" 참조"</f>
        <v>   3) 일반관리비 : &lt; 표 : 19 &gt; 일반관리비산출표 참조</v>
      </c>
      <c r="B21" s="67"/>
      <c r="K21" s="74"/>
    </row>
    <row r="22" spans="1:11" ht="19.5" customHeight="1">
      <c r="A22" s="67" t="str">
        <f>"   4) 비율(%) : "&amp;이윤율!A1&amp;이윤율!A2&amp;" 참조"</f>
        <v>   4) 비율(%) : &lt; 표 : 22 &gt; 이윤비율표 참조</v>
      </c>
      <c r="B22" s="94"/>
      <c r="K22" s="74"/>
    </row>
    <row r="23" spans="1:11" ht="27" customHeight="1">
      <c r="A23" s="94"/>
      <c r="B23" s="67"/>
      <c r="K23" s="74"/>
    </row>
    <row r="24" ht="27" customHeight="1">
      <c r="B24" s="67"/>
    </row>
  </sheetData>
  <sheetProtection/>
  <mergeCells count="5">
    <mergeCell ref="L5:L6"/>
    <mergeCell ref="B5:B6"/>
    <mergeCell ref="D5:D6"/>
    <mergeCell ref="E5:E6"/>
    <mergeCell ref="K5:K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&amp;P+47 -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view="pageBreakPreview" zoomScaleSheetLayoutView="100" zoomScalePageLayoutView="0" workbookViewId="0" topLeftCell="A1">
      <selection activeCell="J8" sqref="J8"/>
    </sheetView>
  </sheetViews>
  <sheetFormatPr defaultColWidth="11.421875" defaultRowHeight="12"/>
  <cols>
    <col min="1" max="1" width="5.7109375" style="45" customWidth="1"/>
    <col min="2" max="2" width="25.7109375" style="45" customWidth="1"/>
    <col min="3" max="3" width="5.7109375" style="45" customWidth="1"/>
    <col min="4" max="5" width="17.7109375" style="45" customWidth="1"/>
    <col min="6" max="6" width="22.7109375" style="45" customWidth="1"/>
    <col min="7" max="16384" width="11.421875" style="45" customWidth="1"/>
  </cols>
  <sheetData>
    <row r="1" ht="19.5" customHeight="1">
      <c r="A1" s="44" t="s">
        <v>373</v>
      </c>
    </row>
    <row r="2" spans="1:7" s="48" customFormat="1" ht="39.75" customHeight="1">
      <c r="A2" s="46" t="s">
        <v>149</v>
      </c>
      <c r="B2" s="47"/>
      <c r="C2" s="47"/>
      <c r="D2" s="47"/>
      <c r="E2" s="47"/>
      <c r="F2" s="47"/>
      <c r="G2" s="64"/>
    </row>
    <row r="3" spans="1:6" s="48" customFormat="1" ht="19.5" customHeight="1">
      <c r="A3" s="46"/>
      <c r="B3" s="47"/>
      <c r="C3" s="47"/>
      <c r="D3" s="47"/>
      <c r="E3" s="47"/>
      <c r="F3" s="47"/>
    </row>
    <row r="4" ht="19.5" customHeight="1"/>
    <row r="5" spans="1:6" ht="49.5" customHeight="1">
      <c r="A5" s="49"/>
      <c r="B5" s="50" t="s">
        <v>150</v>
      </c>
      <c r="C5" s="51"/>
      <c r="D5" s="52" t="s">
        <v>151</v>
      </c>
      <c r="E5" s="52" t="s">
        <v>152</v>
      </c>
      <c r="F5" s="53" t="s">
        <v>153</v>
      </c>
    </row>
    <row r="6" spans="1:6" ht="19.5" customHeight="1">
      <c r="A6" s="54"/>
      <c r="B6" s="55"/>
      <c r="C6" s="56"/>
      <c r="D6" s="43"/>
      <c r="E6" s="43"/>
      <c r="F6" s="43"/>
    </row>
    <row r="7" spans="1:6" ht="60" customHeight="1">
      <c r="A7" s="57"/>
      <c r="B7" s="58" t="s">
        <v>154</v>
      </c>
      <c r="C7" s="43"/>
      <c r="D7" s="66">
        <v>15</v>
      </c>
      <c r="E7" s="66"/>
      <c r="F7" s="43"/>
    </row>
    <row r="8" spans="1:6" ht="60" customHeight="1">
      <c r="A8" s="57"/>
      <c r="B8" s="58" t="s">
        <v>155</v>
      </c>
      <c r="C8" s="43"/>
      <c r="D8" s="66">
        <v>25</v>
      </c>
      <c r="E8" s="66"/>
      <c r="F8" s="59"/>
    </row>
    <row r="9" spans="1:6" ht="60" customHeight="1">
      <c r="A9" s="57"/>
      <c r="B9" s="58" t="s">
        <v>156</v>
      </c>
      <c r="C9" s="43"/>
      <c r="D9" s="66">
        <v>10</v>
      </c>
      <c r="E9" s="66">
        <v>10</v>
      </c>
      <c r="F9" s="59"/>
    </row>
    <row r="10" spans="1:6" ht="60" customHeight="1">
      <c r="A10" s="57"/>
      <c r="B10" s="58" t="s">
        <v>157</v>
      </c>
      <c r="C10" s="43"/>
      <c r="D10" s="66">
        <v>10</v>
      </c>
      <c r="E10" s="66"/>
      <c r="F10" s="59"/>
    </row>
    <row r="11" spans="1:6" ht="19.5" customHeight="1">
      <c r="A11" s="60"/>
      <c r="B11" s="61"/>
      <c r="C11" s="62"/>
      <c r="D11" s="63"/>
      <c r="E11" s="63"/>
      <c r="F11" s="63"/>
    </row>
    <row r="12" ht="24.75" customHeight="1">
      <c r="A12" s="65" t="s">
        <v>530</v>
      </c>
    </row>
    <row r="13" ht="24.75" customHeight="1">
      <c r="A13" s="45" t="s">
        <v>158</v>
      </c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&amp;P+48 -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view="pageBreakPreview" zoomScaleSheetLayoutView="100" zoomScalePageLayoutView="0" workbookViewId="0" topLeftCell="A1">
      <selection activeCell="A5" sqref="A5"/>
    </sheetView>
  </sheetViews>
  <sheetFormatPr defaultColWidth="9.140625" defaultRowHeight="17.25" customHeight="1"/>
  <cols>
    <col min="1" max="1" width="3.140625" style="522" customWidth="1"/>
    <col min="2" max="2" width="10.57421875" style="522" customWidth="1"/>
    <col min="3" max="3" width="1.8515625" style="522" customWidth="1"/>
    <col min="4" max="4" width="27.57421875" style="522" customWidth="1"/>
    <col min="5" max="5" width="1.8515625" style="522" customWidth="1"/>
    <col min="6" max="6" width="16.57421875" style="522" customWidth="1"/>
    <col min="7" max="7" width="14.8515625" style="522" customWidth="1"/>
    <col min="8" max="8" width="18.7109375" style="522" customWidth="1"/>
    <col min="9" max="9" width="9.140625" style="522" customWidth="1"/>
    <col min="10" max="10" width="14.421875" style="522" bestFit="1" customWidth="1"/>
    <col min="11" max="16384" width="9.140625" style="522" customWidth="1"/>
  </cols>
  <sheetData>
    <row r="1" spans="1:13" ht="17.25" customHeight="1">
      <c r="A1" s="521" t="s">
        <v>476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8" s="528" customFormat="1" ht="38.25" customHeight="1">
      <c r="A2" s="523" t="s">
        <v>407</v>
      </c>
      <c r="B2" s="524"/>
      <c r="C2" s="525"/>
      <c r="D2" s="525"/>
      <c r="E2" s="525"/>
      <c r="F2" s="526"/>
      <c r="G2" s="526"/>
      <c r="H2" s="527"/>
    </row>
    <row r="3" ht="7.5" customHeight="1"/>
    <row r="4" spans="1:8" s="530" customFormat="1" ht="17.25" customHeight="1">
      <c r="A4" s="529" t="s">
        <v>529</v>
      </c>
      <c r="C4" s="531"/>
      <c r="D4" s="532"/>
      <c r="F4" s="533"/>
      <c r="G4" s="534"/>
      <c r="H4" s="535" t="s">
        <v>408</v>
      </c>
    </row>
    <row r="5" spans="1:8" s="544" customFormat="1" ht="21.75" customHeight="1">
      <c r="A5" s="536" t="s">
        <v>159</v>
      </c>
      <c r="B5" s="537"/>
      <c r="C5" s="538"/>
      <c r="D5" s="539" t="s">
        <v>409</v>
      </c>
      <c r="E5" s="540"/>
      <c r="F5" s="541" t="s">
        <v>160</v>
      </c>
      <c r="G5" s="542" t="s">
        <v>410</v>
      </c>
      <c r="H5" s="543" t="s">
        <v>140</v>
      </c>
    </row>
    <row r="6" spans="1:8" s="552" customFormat="1" ht="12" customHeight="1">
      <c r="A6" s="545"/>
      <c r="B6" s="546">
        <v>21</v>
      </c>
      <c r="C6" s="545"/>
      <c r="D6" s="547" t="s">
        <v>411</v>
      </c>
      <c r="E6" s="548"/>
      <c r="F6" s="549">
        <v>23491772</v>
      </c>
      <c r="G6" s="550">
        <f>SUM(F6/$F$6%)</f>
        <v>100</v>
      </c>
      <c r="H6" s="551"/>
    </row>
    <row r="7" spans="1:8" s="552" customFormat="1" ht="12" customHeight="1">
      <c r="A7" s="545"/>
      <c r="B7" s="546">
        <v>22</v>
      </c>
      <c r="C7" s="545"/>
      <c r="D7" s="547" t="s">
        <v>412</v>
      </c>
      <c r="E7" s="548"/>
      <c r="F7" s="549">
        <v>10964383</v>
      </c>
      <c r="G7" s="550">
        <f aca="true" t="shared" si="0" ref="G7:G52">SUM(F7/$F$6%)</f>
        <v>46.67329054615378</v>
      </c>
      <c r="H7" s="551"/>
    </row>
    <row r="8" spans="1:8" s="552" customFormat="1" ht="12" customHeight="1">
      <c r="A8" s="545"/>
      <c r="B8" s="546">
        <v>23</v>
      </c>
      <c r="C8" s="545"/>
      <c r="D8" s="547" t="s">
        <v>413</v>
      </c>
      <c r="E8" s="548"/>
      <c r="F8" s="549">
        <v>12527389</v>
      </c>
      <c r="G8" s="550">
        <f t="shared" si="0"/>
        <v>53.32670945384622</v>
      </c>
      <c r="H8" s="551"/>
    </row>
    <row r="9" spans="1:8" s="552" customFormat="1" ht="12" customHeight="1">
      <c r="A9" s="545"/>
      <c r="B9" s="546">
        <v>241</v>
      </c>
      <c r="C9" s="545"/>
      <c r="D9" s="547" t="s">
        <v>414</v>
      </c>
      <c r="E9" s="548"/>
      <c r="F9" s="549">
        <v>11880957</v>
      </c>
      <c r="G9" s="550">
        <f t="shared" si="0"/>
        <v>50.57497152620075</v>
      </c>
      <c r="H9" s="551"/>
    </row>
    <row r="10" spans="1:8" s="552" customFormat="1" ht="12" customHeight="1">
      <c r="A10" s="553"/>
      <c r="B10" s="554">
        <v>24101</v>
      </c>
      <c r="C10" s="553"/>
      <c r="D10" s="555" t="s">
        <v>415</v>
      </c>
      <c r="E10" s="556"/>
      <c r="F10" s="557">
        <v>6328584</v>
      </c>
      <c r="G10" s="558">
        <f t="shared" si="0"/>
        <v>26.939576971886158</v>
      </c>
      <c r="H10" s="559"/>
    </row>
    <row r="11" spans="1:8" s="552" customFormat="1" ht="12" customHeight="1">
      <c r="A11" s="560"/>
      <c r="B11" s="561">
        <v>24102</v>
      </c>
      <c r="C11" s="560"/>
      <c r="D11" s="562" t="s">
        <v>416</v>
      </c>
      <c r="E11" s="563"/>
      <c r="F11" s="564">
        <v>369513</v>
      </c>
      <c r="G11" s="565">
        <f t="shared" si="0"/>
        <v>1.5729464767493913</v>
      </c>
      <c r="H11" s="566"/>
    </row>
    <row r="12" spans="1:8" s="552" customFormat="1" ht="12" customHeight="1">
      <c r="A12" s="560"/>
      <c r="B12" s="561">
        <v>24103</v>
      </c>
      <c r="C12" s="560"/>
      <c r="D12" s="562" t="s">
        <v>417</v>
      </c>
      <c r="E12" s="563"/>
      <c r="F12" s="564">
        <v>559666</v>
      </c>
      <c r="G12" s="565">
        <f t="shared" si="0"/>
        <v>2.3823915879994066</v>
      </c>
      <c r="H12" s="566"/>
    </row>
    <row r="13" spans="1:8" s="552" customFormat="1" ht="12" customHeight="1">
      <c r="A13" s="560"/>
      <c r="B13" s="561">
        <v>24104</v>
      </c>
      <c r="C13" s="560"/>
      <c r="D13" s="562" t="s">
        <v>418</v>
      </c>
      <c r="E13" s="563"/>
      <c r="F13" s="564">
        <v>252048</v>
      </c>
      <c r="G13" s="565">
        <f t="shared" si="0"/>
        <v>1.0729203399385963</v>
      </c>
      <c r="H13" s="566"/>
    </row>
    <row r="14" spans="1:8" s="552" customFormat="1" ht="12" customHeight="1">
      <c r="A14" s="560"/>
      <c r="B14" s="561">
        <v>24105</v>
      </c>
      <c r="C14" s="560"/>
      <c r="D14" s="562" t="s">
        <v>419</v>
      </c>
      <c r="E14" s="563"/>
      <c r="F14" s="564">
        <v>197312</v>
      </c>
      <c r="G14" s="565">
        <f t="shared" si="0"/>
        <v>0.8399196110025247</v>
      </c>
      <c r="H14" s="566"/>
    </row>
    <row r="15" spans="1:8" s="552" customFormat="1" ht="12" customHeight="1">
      <c r="A15" s="560"/>
      <c r="B15" s="561">
        <v>24106</v>
      </c>
      <c r="C15" s="560"/>
      <c r="D15" s="562" t="s">
        <v>420</v>
      </c>
      <c r="E15" s="563"/>
      <c r="F15" s="564">
        <v>363798</v>
      </c>
      <c r="G15" s="565">
        <f t="shared" si="0"/>
        <v>1.5486188100242075</v>
      </c>
      <c r="H15" s="566"/>
    </row>
    <row r="16" spans="1:8" s="552" customFormat="1" ht="12" customHeight="1">
      <c r="A16" s="560"/>
      <c r="B16" s="561">
        <v>24107</v>
      </c>
      <c r="C16" s="560"/>
      <c r="D16" s="562" t="s">
        <v>421</v>
      </c>
      <c r="E16" s="563"/>
      <c r="F16" s="564">
        <v>155883</v>
      </c>
      <c r="G16" s="565">
        <f t="shared" si="0"/>
        <v>0.663564247090428</v>
      </c>
      <c r="H16" s="566"/>
    </row>
    <row r="17" spans="1:8" s="552" customFormat="1" ht="12" customHeight="1">
      <c r="A17" s="560"/>
      <c r="B17" s="561">
        <v>24108</v>
      </c>
      <c r="C17" s="560"/>
      <c r="D17" s="562" t="s">
        <v>422</v>
      </c>
      <c r="E17" s="563"/>
      <c r="F17" s="567">
        <v>116240</v>
      </c>
      <c r="G17" s="565">
        <f t="shared" si="0"/>
        <v>0.4948115450805499</v>
      </c>
      <c r="H17" s="568" t="s">
        <v>423</v>
      </c>
    </row>
    <row r="18" spans="1:8" s="552" customFormat="1" ht="12" customHeight="1">
      <c r="A18" s="560"/>
      <c r="B18" s="561">
        <v>24109</v>
      </c>
      <c r="C18" s="560"/>
      <c r="D18" s="562" t="s">
        <v>424</v>
      </c>
      <c r="E18" s="563"/>
      <c r="F18" s="567">
        <v>139607</v>
      </c>
      <c r="G18" s="565">
        <f t="shared" si="0"/>
        <v>0.5942804144361694</v>
      </c>
      <c r="H18" s="568" t="s">
        <v>161</v>
      </c>
    </row>
    <row r="19" spans="1:8" s="552" customFormat="1" ht="12" customHeight="1">
      <c r="A19" s="560"/>
      <c r="B19" s="561">
        <v>24110</v>
      </c>
      <c r="C19" s="560"/>
      <c r="D19" s="562" t="s">
        <v>425</v>
      </c>
      <c r="E19" s="563"/>
      <c r="F19" s="567">
        <v>13218</v>
      </c>
      <c r="G19" s="565">
        <f t="shared" si="0"/>
        <v>0.056266508971736996</v>
      </c>
      <c r="H19" s="568"/>
    </row>
    <row r="20" spans="1:8" s="552" customFormat="1" ht="12" customHeight="1">
      <c r="A20" s="560"/>
      <c r="B20" s="561">
        <v>24111</v>
      </c>
      <c r="C20" s="560"/>
      <c r="D20" s="562" t="s">
        <v>426</v>
      </c>
      <c r="E20" s="563"/>
      <c r="F20" s="567">
        <v>178693</v>
      </c>
      <c r="G20" s="565">
        <f t="shared" si="0"/>
        <v>0.760662073512377</v>
      </c>
      <c r="H20" s="568"/>
    </row>
    <row r="21" spans="1:8" s="552" customFormat="1" ht="12" customHeight="1">
      <c r="A21" s="560"/>
      <c r="B21" s="561">
        <v>24112</v>
      </c>
      <c r="C21" s="560"/>
      <c r="D21" s="562" t="s">
        <v>528</v>
      </c>
      <c r="E21" s="563"/>
      <c r="F21" s="567">
        <v>19736</v>
      </c>
      <c r="G21" s="565">
        <f t="shared" si="0"/>
        <v>0.08401239378621587</v>
      </c>
      <c r="H21" s="568" t="s">
        <v>423</v>
      </c>
    </row>
    <row r="22" spans="1:8" s="552" customFormat="1" ht="12" customHeight="1">
      <c r="A22" s="560"/>
      <c r="B22" s="561">
        <v>24113</v>
      </c>
      <c r="C22" s="560"/>
      <c r="D22" s="562" t="s">
        <v>427</v>
      </c>
      <c r="E22" s="563"/>
      <c r="F22" s="567">
        <v>33255</v>
      </c>
      <c r="G22" s="565">
        <f t="shared" si="0"/>
        <v>0.14156020244024162</v>
      </c>
      <c r="H22" s="568" t="s">
        <v>428</v>
      </c>
    </row>
    <row r="23" spans="1:8" s="552" customFormat="1" ht="12" customHeight="1">
      <c r="A23" s="560"/>
      <c r="B23" s="561">
        <v>24114</v>
      </c>
      <c r="C23" s="560"/>
      <c r="D23" s="562" t="s">
        <v>429</v>
      </c>
      <c r="E23" s="563"/>
      <c r="F23" s="567">
        <v>56185</v>
      </c>
      <c r="G23" s="565">
        <f t="shared" si="0"/>
        <v>0.23916884601127578</v>
      </c>
      <c r="H23" s="568" t="s">
        <v>428</v>
      </c>
    </row>
    <row r="24" spans="1:8" s="552" customFormat="1" ht="12" customHeight="1">
      <c r="A24" s="560"/>
      <c r="B24" s="561">
        <v>241141</v>
      </c>
      <c r="C24" s="560"/>
      <c r="D24" s="562" t="s">
        <v>430</v>
      </c>
      <c r="E24" s="563"/>
      <c r="F24" s="567">
        <v>1750</v>
      </c>
      <c r="G24" s="565">
        <f t="shared" si="0"/>
        <v>0.007449416757492794</v>
      </c>
      <c r="H24" s="568"/>
    </row>
    <row r="25" spans="1:8" s="552" customFormat="1" ht="12" customHeight="1">
      <c r="A25" s="560"/>
      <c r="B25" s="561">
        <v>24115</v>
      </c>
      <c r="C25" s="560"/>
      <c r="D25" s="562" t="s">
        <v>431</v>
      </c>
      <c r="E25" s="563"/>
      <c r="F25" s="567">
        <v>887509</v>
      </c>
      <c r="G25" s="565">
        <f t="shared" si="0"/>
        <v>3.777956809728955</v>
      </c>
      <c r="H25" s="568"/>
    </row>
    <row r="26" spans="1:8" s="552" customFormat="1" ht="12" customHeight="1">
      <c r="A26" s="569"/>
      <c r="B26" s="570">
        <v>24116</v>
      </c>
      <c r="C26" s="569"/>
      <c r="D26" s="571" t="s">
        <v>432</v>
      </c>
      <c r="E26" s="572"/>
      <c r="F26" s="573">
        <v>2209710</v>
      </c>
      <c r="G26" s="574">
        <f t="shared" si="0"/>
        <v>9.406314687542515</v>
      </c>
      <c r="H26" s="568" t="s">
        <v>423</v>
      </c>
    </row>
    <row r="27" spans="1:8" s="552" customFormat="1" ht="12" customHeight="1">
      <c r="A27" s="545"/>
      <c r="B27" s="546">
        <v>24</v>
      </c>
      <c r="C27" s="545"/>
      <c r="D27" s="547" t="s">
        <v>433</v>
      </c>
      <c r="E27" s="548"/>
      <c r="F27" s="575">
        <v>646432</v>
      </c>
      <c r="G27" s="550">
        <f t="shared" si="0"/>
        <v>2.751737927645475</v>
      </c>
      <c r="H27" s="551"/>
    </row>
    <row r="28" spans="1:8" s="552" customFormat="1" ht="12" customHeight="1">
      <c r="A28" s="545"/>
      <c r="B28" s="546">
        <v>251</v>
      </c>
      <c r="C28" s="545"/>
      <c r="D28" s="547" t="s">
        <v>434</v>
      </c>
      <c r="E28" s="548"/>
      <c r="F28" s="575">
        <v>597061</v>
      </c>
      <c r="G28" s="550">
        <f t="shared" si="0"/>
        <v>2.5415749820830884</v>
      </c>
      <c r="H28" s="551"/>
    </row>
    <row r="29" spans="1:8" s="552" customFormat="1" ht="12" customHeight="1">
      <c r="A29" s="553"/>
      <c r="B29" s="554">
        <v>25101</v>
      </c>
      <c r="C29" s="553"/>
      <c r="D29" s="555" t="s">
        <v>435</v>
      </c>
      <c r="E29" s="556"/>
      <c r="F29" s="576">
        <v>194296</v>
      </c>
      <c r="G29" s="558">
        <f t="shared" si="0"/>
        <v>0.8270810733221827</v>
      </c>
      <c r="H29" s="559"/>
    </row>
    <row r="30" spans="1:8" s="552" customFormat="1" ht="12" customHeight="1">
      <c r="A30" s="560"/>
      <c r="B30" s="561">
        <v>25102</v>
      </c>
      <c r="C30" s="560"/>
      <c r="D30" s="562" t="s">
        <v>436</v>
      </c>
      <c r="E30" s="563"/>
      <c r="F30" s="567">
        <v>3400</v>
      </c>
      <c r="G30" s="565">
        <f t="shared" si="0"/>
        <v>0.01447315255741457</v>
      </c>
      <c r="H30" s="566"/>
    </row>
    <row r="31" spans="1:8" s="552" customFormat="1" ht="12" customHeight="1">
      <c r="A31" s="560"/>
      <c r="B31" s="561">
        <v>25103</v>
      </c>
      <c r="C31" s="560"/>
      <c r="D31" s="562" t="s">
        <v>437</v>
      </c>
      <c r="E31" s="563"/>
      <c r="F31" s="564">
        <v>14498</v>
      </c>
      <c r="G31" s="565">
        <f t="shared" si="0"/>
        <v>0.06171522522864601</v>
      </c>
      <c r="H31" s="566"/>
    </row>
    <row r="32" spans="1:8" s="552" customFormat="1" ht="12" customHeight="1">
      <c r="A32" s="560"/>
      <c r="B32" s="561">
        <v>25104</v>
      </c>
      <c r="C32" s="560"/>
      <c r="D32" s="562" t="s">
        <v>438</v>
      </c>
      <c r="E32" s="563"/>
      <c r="F32" s="564">
        <v>22941</v>
      </c>
      <c r="G32" s="565">
        <f t="shared" si="0"/>
        <v>0.09765546847636696</v>
      </c>
      <c r="H32" s="566"/>
    </row>
    <row r="33" spans="1:8" s="552" customFormat="1" ht="12" customHeight="1">
      <c r="A33" s="560"/>
      <c r="B33" s="561">
        <v>25105</v>
      </c>
      <c r="C33" s="560"/>
      <c r="D33" s="562" t="s">
        <v>439</v>
      </c>
      <c r="E33" s="563"/>
      <c r="F33" s="564">
        <v>0</v>
      </c>
      <c r="G33" s="565">
        <f t="shared" si="0"/>
        <v>0</v>
      </c>
      <c r="H33" s="566"/>
    </row>
    <row r="34" spans="1:8" s="552" customFormat="1" ht="12" customHeight="1">
      <c r="A34" s="560"/>
      <c r="B34" s="561">
        <v>25106</v>
      </c>
      <c r="C34" s="560"/>
      <c r="D34" s="562" t="s">
        <v>440</v>
      </c>
      <c r="E34" s="563"/>
      <c r="F34" s="564">
        <v>728</v>
      </c>
      <c r="G34" s="565">
        <f t="shared" si="0"/>
        <v>0.003098957371117002</v>
      </c>
      <c r="H34" s="566"/>
    </row>
    <row r="35" spans="1:8" s="577" customFormat="1" ht="12" customHeight="1">
      <c r="A35" s="560"/>
      <c r="B35" s="561">
        <v>25107</v>
      </c>
      <c r="C35" s="560"/>
      <c r="D35" s="562" t="s">
        <v>441</v>
      </c>
      <c r="E35" s="563"/>
      <c r="F35" s="564">
        <v>121820</v>
      </c>
      <c r="G35" s="565">
        <f t="shared" si="0"/>
        <v>0.5185645425130126</v>
      </c>
      <c r="H35" s="566"/>
    </row>
    <row r="36" spans="1:8" s="577" customFormat="1" ht="12" customHeight="1">
      <c r="A36" s="560"/>
      <c r="B36" s="561">
        <v>25108</v>
      </c>
      <c r="C36" s="560"/>
      <c r="D36" s="562" t="s">
        <v>442</v>
      </c>
      <c r="E36" s="563"/>
      <c r="F36" s="564">
        <v>52313</v>
      </c>
      <c r="G36" s="565">
        <f t="shared" si="0"/>
        <v>0.222686479334126</v>
      </c>
      <c r="H36" s="566"/>
    </row>
    <row r="37" spans="1:8" s="577" customFormat="1" ht="12" customHeight="1">
      <c r="A37" s="569"/>
      <c r="B37" s="561">
        <v>25109</v>
      </c>
      <c r="C37" s="569"/>
      <c r="D37" s="571" t="s">
        <v>443</v>
      </c>
      <c r="E37" s="572"/>
      <c r="F37" s="564">
        <v>187065</v>
      </c>
      <c r="G37" s="574">
        <f t="shared" si="0"/>
        <v>0.7963000832802225</v>
      </c>
      <c r="H37" s="578"/>
    </row>
    <row r="38" spans="1:8" s="552" customFormat="1" ht="12" customHeight="1">
      <c r="A38" s="545"/>
      <c r="B38" s="546">
        <v>252</v>
      </c>
      <c r="C38" s="545"/>
      <c r="D38" s="547" t="s">
        <v>444</v>
      </c>
      <c r="E38" s="548"/>
      <c r="F38" s="549">
        <v>460153</v>
      </c>
      <c r="G38" s="550">
        <f t="shared" si="0"/>
        <v>1.958783696691761</v>
      </c>
      <c r="H38" s="551"/>
    </row>
    <row r="39" spans="1:8" s="552" customFormat="1" ht="12" customHeight="1">
      <c r="A39" s="553"/>
      <c r="B39" s="554">
        <v>25201</v>
      </c>
      <c r="C39" s="553"/>
      <c r="D39" s="555" t="s">
        <v>445</v>
      </c>
      <c r="E39" s="556"/>
      <c r="F39" s="557">
        <v>207001</v>
      </c>
      <c r="G39" s="558">
        <f t="shared" si="0"/>
        <v>0.8811638389815805</v>
      </c>
      <c r="H39" s="559"/>
    </row>
    <row r="40" spans="1:8" s="552" customFormat="1" ht="12" customHeight="1">
      <c r="A40" s="560"/>
      <c r="B40" s="561">
        <v>25202</v>
      </c>
      <c r="C40" s="560"/>
      <c r="D40" s="562" t="s">
        <v>446</v>
      </c>
      <c r="E40" s="563"/>
      <c r="F40" s="564">
        <v>50258</v>
      </c>
      <c r="G40" s="565">
        <f t="shared" si="0"/>
        <v>0.2139387356560416</v>
      </c>
      <c r="H40" s="566"/>
    </row>
    <row r="41" spans="1:8" s="552" customFormat="1" ht="12" customHeight="1">
      <c r="A41" s="560"/>
      <c r="B41" s="561">
        <v>25203</v>
      </c>
      <c r="C41" s="560"/>
      <c r="D41" s="562" t="s">
        <v>447</v>
      </c>
      <c r="E41" s="563"/>
      <c r="F41" s="564">
        <v>8307</v>
      </c>
      <c r="G41" s="565">
        <f t="shared" si="0"/>
        <v>0.03536131714542436</v>
      </c>
      <c r="H41" s="566"/>
    </row>
    <row r="42" spans="1:8" s="552" customFormat="1" ht="12" customHeight="1">
      <c r="A42" s="560"/>
      <c r="B42" s="561">
        <v>25204</v>
      </c>
      <c r="C42" s="560"/>
      <c r="D42" s="562" t="s">
        <v>448</v>
      </c>
      <c r="E42" s="563"/>
      <c r="F42" s="564">
        <v>1380</v>
      </c>
      <c r="G42" s="565">
        <f t="shared" si="0"/>
        <v>0.005874397214480032</v>
      </c>
      <c r="H42" s="566"/>
    </row>
    <row r="43" spans="1:8" s="552" customFormat="1" ht="12" customHeight="1">
      <c r="A43" s="560"/>
      <c r="B43" s="561">
        <v>25205</v>
      </c>
      <c r="C43" s="560"/>
      <c r="D43" s="562" t="s">
        <v>449</v>
      </c>
      <c r="E43" s="563"/>
      <c r="F43" s="564">
        <v>4430</v>
      </c>
      <c r="G43" s="565">
        <f t="shared" si="0"/>
        <v>0.018857666420396043</v>
      </c>
      <c r="H43" s="566"/>
    </row>
    <row r="44" spans="1:8" s="577" customFormat="1" ht="12" customHeight="1">
      <c r="A44" s="560"/>
      <c r="B44" s="561">
        <v>25206</v>
      </c>
      <c r="C44" s="560"/>
      <c r="D44" s="562" t="s">
        <v>450</v>
      </c>
      <c r="E44" s="563"/>
      <c r="F44" s="564">
        <v>18920</v>
      </c>
      <c r="G44" s="565">
        <f t="shared" si="0"/>
        <v>0.08053883717243637</v>
      </c>
      <c r="H44" s="566"/>
    </row>
    <row r="45" spans="1:8" s="577" customFormat="1" ht="12" customHeight="1">
      <c r="A45" s="560"/>
      <c r="B45" s="561">
        <v>25207</v>
      </c>
      <c r="C45" s="560"/>
      <c r="D45" s="562" t="s">
        <v>451</v>
      </c>
      <c r="E45" s="563"/>
      <c r="F45" s="564">
        <v>49712</v>
      </c>
      <c r="G45" s="565">
        <f t="shared" si="0"/>
        <v>0.21161451762770386</v>
      </c>
      <c r="H45" s="566"/>
    </row>
    <row r="46" spans="1:8" s="577" customFormat="1" ht="12" customHeight="1">
      <c r="A46" s="560"/>
      <c r="B46" s="561">
        <v>25208</v>
      </c>
      <c r="C46" s="560"/>
      <c r="D46" s="562" t="s">
        <v>452</v>
      </c>
      <c r="E46" s="563"/>
      <c r="F46" s="564">
        <v>0</v>
      </c>
      <c r="G46" s="565">
        <f t="shared" si="0"/>
        <v>0</v>
      </c>
      <c r="H46" s="566"/>
    </row>
    <row r="47" spans="1:8" s="552" customFormat="1" ht="12" customHeight="1">
      <c r="A47" s="569"/>
      <c r="B47" s="561">
        <v>25209</v>
      </c>
      <c r="C47" s="569"/>
      <c r="D47" s="571" t="s">
        <v>453</v>
      </c>
      <c r="E47" s="572"/>
      <c r="F47" s="579">
        <v>120145</v>
      </c>
      <c r="G47" s="574">
        <f t="shared" si="0"/>
        <v>0.5114343864736981</v>
      </c>
      <c r="H47" s="578"/>
    </row>
    <row r="48" spans="1:8" s="552" customFormat="1" ht="12" customHeight="1">
      <c r="A48" s="545"/>
      <c r="B48" s="546">
        <v>25</v>
      </c>
      <c r="C48" s="545"/>
      <c r="D48" s="547" t="s">
        <v>454</v>
      </c>
      <c r="E48" s="548"/>
      <c r="F48" s="580">
        <v>783339</v>
      </c>
      <c r="G48" s="550">
        <f t="shared" si="0"/>
        <v>3.334524956227227</v>
      </c>
      <c r="H48" s="551"/>
    </row>
    <row r="49" spans="1:8" s="552" customFormat="1" ht="12" customHeight="1">
      <c r="A49" s="545"/>
      <c r="B49" s="546">
        <v>261</v>
      </c>
      <c r="C49" s="545"/>
      <c r="D49" s="547" t="s">
        <v>455</v>
      </c>
      <c r="E49" s="548"/>
      <c r="F49" s="549">
        <v>232509</v>
      </c>
      <c r="G49" s="550">
        <f t="shared" si="0"/>
        <v>0.9897465376387954</v>
      </c>
      <c r="H49" s="551"/>
    </row>
    <row r="50" spans="1:8" s="552" customFormat="1" ht="12" customHeight="1">
      <c r="A50" s="545"/>
      <c r="B50" s="546">
        <v>26</v>
      </c>
      <c r="C50" s="545"/>
      <c r="D50" s="547" t="s">
        <v>456</v>
      </c>
      <c r="E50" s="548"/>
      <c r="F50" s="580">
        <v>550831</v>
      </c>
      <c r="G50" s="550">
        <f t="shared" si="0"/>
        <v>2.344782675398007</v>
      </c>
      <c r="H50" s="551"/>
    </row>
    <row r="51" spans="1:8" s="552" customFormat="1" ht="12" customHeight="1">
      <c r="A51" s="545"/>
      <c r="B51" s="546">
        <v>27</v>
      </c>
      <c r="C51" s="545"/>
      <c r="D51" s="547" t="s">
        <v>457</v>
      </c>
      <c r="E51" s="548"/>
      <c r="F51" s="580">
        <v>0</v>
      </c>
      <c r="G51" s="550">
        <f t="shared" si="0"/>
        <v>0</v>
      </c>
      <c r="H51" s="551"/>
    </row>
    <row r="52" spans="1:8" s="552" customFormat="1" ht="12" customHeight="1">
      <c r="A52" s="545"/>
      <c r="B52" s="546">
        <v>28</v>
      </c>
      <c r="C52" s="545"/>
      <c r="D52" s="547" t="s">
        <v>458</v>
      </c>
      <c r="E52" s="548"/>
      <c r="F52" s="580">
        <v>550831</v>
      </c>
      <c r="G52" s="550">
        <f t="shared" si="0"/>
        <v>2.344782675398007</v>
      </c>
      <c r="H52" s="551"/>
    </row>
    <row r="53" spans="1:8" s="544" customFormat="1" ht="12" customHeight="1">
      <c r="A53" s="635" t="s">
        <v>526</v>
      </c>
      <c r="C53" s="581"/>
      <c r="D53" s="582"/>
      <c r="E53" s="583"/>
      <c r="F53" s="584"/>
      <c r="G53" s="585"/>
      <c r="H53" s="583"/>
    </row>
    <row r="54" spans="1:8" s="544" customFormat="1" ht="12" customHeight="1">
      <c r="A54" s="635" t="s">
        <v>527</v>
      </c>
      <c r="C54" s="581"/>
      <c r="D54" s="582"/>
      <c r="E54" s="583"/>
      <c r="F54" s="584"/>
      <c r="G54" s="585"/>
      <c r="H54" s="583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&amp;P+49 -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7"/>
  <sheetViews>
    <sheetView showGridLines="0" showZeros="0" view="pageBreakPreview" zoomScaleSheetLayoutView="100" zoomScalePageLayoutView="0" workbookViewId="0" topLeftCell="A271">
      <selection activeCell="G285" sqref="G285"/>
    </sheetView>
  </sheetViews>
  <sheetFormatPr defaultColWidth="9.140625" defaultRowHeight="12"/>
  <cols>
    <col min="1" max="1" width="1.7109375" style="152" customWidth="1"/>
    <col min="2" max="2" width="3.7109375" style="10" customWidth="1"/>
    <col min="3" max="3" width="6.7109375" style="152" customWidth="1"/>
    <col min="4" max="4" width="1.7109375" style="152" customWidth="1"/>
    <col min="5" max="5" width="20.7109375" style="10" customWidth="1"/>
    <col min="6" max="6" width="1.7109375" style="10" customWidth="1"/>
    <col min="7" max="7" width="14.7109375" style="34" customWidth="1"/>
    <col min="8" max="8" width="1.7109375" style="33" customWidth="1"/>
    <col min="9" max="9" width="9.28125" style="34" customWidth="1"/>
    <col min="10" max="10" width="1.28515625" style="33" customWidth="1"/>
    <col min="11" max="11" width="0.85546875" style="34" customWidth="1"/>
    <col min="12" max="12" width="31.140625" style="152" customWidth="1"/>
    <col min="13" max="13" width="11.421875" style="152" customWidth="1"/>
    <col min="14" max="14" width="10.7109375" style="440" bestFit="1" customWidth="1"/>
    <col min="15" max="15" width="9.28125" style="440" bestFit="1" customWidth="1"/>
    <col min="16" max="16384" width="9.140625" style="152" customWidth="1"/>
  </cols>
  <sheetData>
    <row r="1" spans="1:15" ht="19.5" customHeight="1">
      <c r="A1" s="223" t="s">
        <v>401</v>
      </c>
      <c r="B1" s="223"/>
      <c r="C1" s="223"/>
      <c r="D1" s="223"/>
      <c r="E1" s="152"/>
      <c r="F1" s="152"/>
      <c r="G1" s="152"/>
      <c r="I1" s="33"/>
      <c r="L1" s="33"/>
      <c r="M1" s="33"/>
      <c r="N1" s="438"/>
      <c r="O1" s="438"/>
    </row>
    <row r="2" spans="1:15" s="168" customFormat="1" ht="39.75" customHeight="1">
      <c r="A2" s="165" t="s">
        <v>391</v>
      </c>
      <c r="B2" s="166"/>
      <c r="C2" s="224"/>
      <c r="D2" s="224"/>
      <c r="E2" s="225"/>
      <c r="F2" s="225"/>
      <c r="G2" s="167"/>
      <c r="H2" s="153"/>
      <c r="I2" s="29"/>
      <c r="J2" s="30"/>
      <c r="K2" s="29"/>
      <c r="L2" s="165"/>
      <c r="N2" s="439"/>
      <c r="O2" s="439"/>
    </row>
    <row r="3" spans="1:15" ht="19.5" customHeight="1">
      <c r="A3" s="260"/>
      <c r="B3" s="261"/>
      <c r="C3" s="260"/>
      <c r="D3" s="260"/>
      <c r="E3" s="261"/>
      <c r="F3" s="261"/>
      <c r="G3" s="154"/>
      <c r="H3" s="262"/>
      <c r="I3" s="31"/>
      <c r="J3" s="32"/>
      <c r="K3" s="31"/>
      <c r="L3" s="182"/>
      <c r="O3" s="439"/>
    </row>
    <row r="4" spans="1:15" ht="19.5" customHeight="1">
      <c r="A4" s="169" t="str">
        <f>"구 분 : "&amp;월기본급!B9&amp;"                       직종명 : "&amp;월기본급!F9&amp;""</f>
        <v>구 분 : 전기반장                       직종명 : 전기기능사</v>
      </c>
      <c r="B4" s="170"/>
      <c r="C4" s="169"/>
      <c r="D4" s="169"/>
      <c r="G4" s="171"/>
      <c r="H4" s="171"/>
      <c r="I4" s="171"/>
      <c r="L4" s="263" t="s">
        <v>18</v>
      </c>
      <c r="O4" s="439"/>
    </row>
    <row r="5" spans="1:15" ht="19.5" customHeight="1">
      <c r="A5" s="264"/>
      <c r="B5" s="265"/>
      <c r="C5" s="265"/>
      <c r="D5" s="265"/>
      <c r="E5" s="266" t="s">
        <v>19</v>
      </c>
      <c r="F5" s="266"/>
      <c r="G5" s="708" t="s">
        <v>20</v>
      </c>
      <c r="H5" s="709"/>
      <c r="I5" s="708" t="s">
        <v>21</v>
      </c>
      <c r="J5" s="709"/>
      <c r="K5" s="708" t="s">
        <v>22</v>
      </c>
      <c r="L5" s="709"/>
      <c r="O5" s="439"/>
    </row>
    <row r="6" spans="1:12" ht="19.5" customHeight="1">
      <c r="A6" s="267" t="s">
        <v>23</v>
      </c>
      <c r="B6" s="273"/>
      <c r="C6" s="268"/>
      <c r="D6" s="268"/>
      <c r="E6" s="268"/>
      <c r="F6" s="268"/>
      <c r="G6" s="710"/>
      <c r="H6" s="711"/>
      <c r="I6" s="710"/>
      <c r="J6" s="711"/>
      <c r="K6" s="710"/>
      <c r="L6" s="711"/>
    </row>
    <row r="7" spans="1:12" ht="19.5" customHeight="1">
      <c r="A7" s="695" t="s">
        <v>245</v>
      </c>
      <c r="B7" s="696"/>
      <c r="C7" s="692" t="s">
        <v>24</v>
      </c>
      <c r="D7" s="690"/>
      <c r="E7" s="690"/>
      <c r="F7" s="691"/>
      <c r="G7" s="184">
        <f>단위당인건비!E27</f>
        <v>1412229</v>
      </c>
      <c r="H7" s="231"/>
      <c r="I7" s="184"/>
      <c r="J7" s="231"/>
      <c r="K7" s="276"/>
      <c r="L7" s="21"/>
    </row>
    <row r="8" spans="1:12" ht="19.5" customHeight="1">
      <c r="A8" s="697"/>
      <c r="B8" s="698"/>
      <c r="C8" s="701" t="s">
        <v>323</v>
      </c>
      <c r="D8" s="22"/>
      <c r="E8" s="24" t="s">
        <v>1</v>
      </c>
      <c r="F8" s="22"/>
      <c r="G8" s="184">
        <f>단위당인건비!E28</f>
        <v>0</v>
      </c>
      <c r="H8" s="231"/>
      <c r="I8" s="184"/>
      <c r="J8" s="231"/>
      <c r="K8" s="276"/>
      <c r="L8" s="21"/>
    </row>
    <row r="9" spans="1:12" ht="19.5" customHeight="1">
      <c r="A9" s="697"/>
      <c r="B9" s="698"/>
      <c r="C9" s="704"/>
      <c r="D9" s="22"/>
      <c r="E9" s="24" t="s">
        <v>287</v>
      </c>
      <c r="F9" s="269"/>
      <c r="G9" s="184">
        <f>단위당인건비!E29</f>
        <v>81084</v>
      </c>
      <c r="H9" s="231"/>
      <c r="I9" s="184"/>
      <c r="J9" s="231"/>
      <c r="K9" s="276"/>
      <c r="L9" s="21"/>
    </row>
    <row r="10" spans="1:12" ht="19.5" customHeight="1">
      <c r="A10" s="697"/>
      <c r="B10" s="698"/>
      <c r="C10" s="704"/>
      <c r="D10" s="22"/>
      <c r="E10" s="24" t="s">
        <v>6</v>
      </c>
      <c r="F10" s="269"/>
      <c r="G10" s="184">
        <f>단위당인건비!E30</f>
        <v>67570</v>
      </c>
      <c r="H10" s="231"/>
      <c r="I10" s="184"/>
      <c r="J10" s="231"/>
      <c r="K10" s="276"/>
      <c r="L10" s="21"/>
    </row>
    <row r="11" spans="1:12" ht="19.5" customHeight="1">
      <c r="A11" s="697"/>
      <c r="B11" s="698"/>
      <c r="C11" s="704"/>
      <c r="D11" s="22"/>
      <c r="E11" s="24" t="s">
        <v>325</v>
      </c>
      <c r="F11" s="269"/>
      <c r="G11" s="184">
        <f>단위당인건비!E31</f>
        <v>0</v>
      </c>
      <c r="H11" s="231"/>
      <c r="I11" s="184"/>
      <c r="J11" s="231"/>
      <c r="K11" s="276"/>
      <c r="L11" s="21"/>
    </row>
    <row r="12" spans="1:12" ht="19.5" customHeight="1">
      <c r="A12" s="697"/>
      <c r="B12" s="698"/>
      <c r="C12" s="702"/>
      <c r="D12" s="22"/>
      <c r="E12" s="270" t="s">
        <v>26</v>
      </c>
      <c r="F12" s="270"/>
      <c r="G12" s="184">
        <f>단위당인건비!E32</f>
        <v>148654</v>
      </c>
      <c r="H12" s="231"/>
      <c r="I12" s="244"/>
      <c r="J12" s="231"/>
      <c r="K12" s="276"/>
      <c r="L12" s="177"/>
    </row>
    <row r="13" spans="1:12" ht="19.5" customHeight="1">
      <c r="A13" s="697"/>
      <c r="B13" s="698"/>
      <c r="C13" s="692" t="s">
        <v>27</v>
      </c>
      <c r="D13" s="690"/>
      <c r="E13" s="690"/>
      <c r="F13" s="691"/>
      <c r="G13" s="184">
        <f>단위당인건비!E33</f>
        <v>470743</v>
      </c>
      <c r="H13" s="231"/>
      <c r="I13" s="244"/>
      <c r="J13" s="231"/>
      <c r="K13" s="276"/>
      <c r="L13" s="177"/>
    </row>
    <row r="14" spans="1:12" ht="19.5" customHeight="1">
      <c r="A14" s="697"/>
      <c r="B14" s="698"/>
      <c r="C14" s="692" t="s">
        <v>28</v>
      </c>
      <c r="D14" s="690"/>
      <c r="E14" s="690"/>
      <c r="F14" s="691"/>
      <c r="G14" s="184">
        <f>단위당인건비!E34</f>
        <v>169302</v>
      </c>
      <c r="H14" s="231"/>
      <c r="I14" s="244"/>
      <c r="J14" s="231"/>
      <c r="K14" s="276"/>
      <c r="L14" s="177"/>
    </row>
    <row r="15" spans="1:12" ht="19.5" customHeight="1">
      <c r="A15" s="699"/>
      <c r="B15" s="700"/>
      <c r="C15" s="692" t="s">
        <v>29</v>
      </c>
      <c r="D15" s="690"/>
      <c r="E15" s="690"/>
      <c r="F15" s="691"/>
      <c r="G15" s="184">
        <f>단위당인건비!E35</f>
        <v>2200928</v>
      </c>
      <c r="H15" s="231"/>
      <c r="I15" s="272">
        <f>TRUNC(G15/$G$31*100,2)</f>
        <v>80.52</v>
      </c>
      <c r="J15" s="231"/>
      <c r="K15" s="276"/>
      <c r="L15" s="177" t="str">
        <f>단위당인건비!$A$1&amp;"참조"</f>
        <v>&lt; 표 : 5 &gt; 참조</v>
      </c>
    </row>
    <row r="16" spans="1:14" ht="19.5" customHeight="1">
      <c r="A16" s="695" t="s">
        <v>256</v>
      </c>
      <c r="B16" s="696"/>
      <c r="C16" s="701" t="s">
        <v>5</v>
      </c>
      <c r="D16" s="22"/>
      <c r="E16" s="24" t="s">
        <v>30</v>
      </c>
      <c r="F16" s="24"/>
      <c r="G16" s="184">
        <f>경비집계표!E7</f>
        <v>42664</v>
      </c>
      <c r="H16" s="231"/>
      <c r="I16" s="184"/>
      <c r="J16" s="231"/>
      <c r="K16" s="276"/>
      <c r="L16" s="177"/>
      <c r="M16" s="463">
        <f>TRUNC(SUM(G7+G12+G13)*2.1%)</f>
        <v>42664</v>
      </c>
      <c r="N16" s="463">
        <f aca="true" t="shared" si="0" ref="N16:N21">G16-M16</f>
        <v>0</v>
      </c>
    </row>
    <row r="17" spans="1:14" ht="19.5" customHeight="1">
      <c r="A17" s="697"/>
      <c r="B17" s="698"/>
      <c r="C17" s="704"/>
      <c r="D17" s="22"/>
      <c r="E17" s="24" t="s">
        <v>31</v>
      </c>
      <c r="F17" s="24"/>
      <c r="G17" s="184">
        <f>경비집계표!E8</f>
        <v>91423</v>
      </c>
      <c r="H17" s="231"/>
      <c r="I17" s="184"/>
      <c r="J17" s="231"/>
      <c r="K17" s="276"/>
      <c r="L17" s="177"/>
      <c r="M17" s="463">
        <f>TRUNC(SUM(G7+G12+G13)*4.5%)</f>
        <v>91423</v>
      </c>
      <c r="N17" s="463">
        <f t="shared" si="0"/>
        <v>0</v>
      </c>
    </row>
    <row r="18" spans="1:14" ht="19.5" customHeight="1">
      <c r="A18" s="697"/>
      <c r="B18" s="698"/>
      <c r="C18" s="704"/>
      <c r="D18" s="22"/>
      <c r="E18" s="24" t="s">
        <v>32</v>
      </c>
      <c r="F18" s="24"/>
      <c r="G18" s="184">
        <f>경비집계표!E9</f>
        <v>14221</v>
      </c>
      <c r="H18" s="231"/>
      <c r="I18" s="184"/>
      <c r="J18" s="231"/>
      <c r="K18" s="276"/>
      <c r="L18" s="177"/>
      <c r="M18" s="463">
        <f>TRUNC(SUM(G7+G12+G13)*1.15%)</f>
        <v>23363</v>
      </c>
      <c r="N18" s="463">
        <f t="shared" si="0"/>
        <v>-9142</v>
      </c>
    </row>
    <row r="19" spans="1:14" ht="19.5" customHeight="1">
      <c r="A19" s="697"/>
      <c r="B19" s="698"/>
      <c r="C19" s="704"/>
      <c r="D19" s="22"/>
      <c r="E19" s="24" t="s">
        <v>33</v>
      </c>
      <c r="F19" s="24"/>
      <c r="G19" s="184">
        <f>경비집계표!E10</f>
        <v>54142</v>
      </c>
      <c r="H19" s="231"/>
      <c r="I19" s="184"/>
      <c r="J19" s="231"/>
      <c r="K19" s="276"/>
      <c r="L19" s="177"/>
      <c r="M19" s="463">
        <f>TRUNC(SUM(G7+G12+G13)*2.54%)</f>
        <v>51603</v>
      </c>
      <c r="N19" s="463">
        <f t="shared" si="0"/>
        <v>2539</v>
      </c>
    </row>
    <row r="20" spans="1:14" ht="19.5" customHeight="1">
      <c r="A20" s="697"/>
      <c r="B20" s="698"/>
      <c r="C20" s="704"/>
      <c r="D20" s="22"/>
      <c r="E20" s="329" t="s">
        <v>322</v>
      </c>
      <c r="F20" s="24"/>
      <c r="G20" s="184">
        <f>경비집계표!E11</f>
        <v>3546</v>
      </c>
      <c r="H20" s="231"/>
      <c r="I20" s="184"/>
      <c r="J20" s="231"/>
      <c r="K20" s="276"/>
      <c r="L20" s="177"/>
      <c r="M20" s="463">
        <f>TRUNC(M19*4.78%)</f>
        <v>2466</v>
      </c>
      <c r="N20" s="463">
        <f t="shared" si="0"/>
        <v>1080</v>
      </c>
    </row>
    <row r="21" spans="1:14" ht="19.5" customHeight="1">
      <c r="A21" s="697"/>
      <c r="B21" s="698"/>
      <c r="C21" s="704"/>
      <c r="D21" s="22"/>
      <c r="E21" s="24" t="s">
        <v>34</v>
      </c>
      <c r="F21" s="24"/>
      <c r="G21" s="184">
        <f>경비집계표!E12</f>
        <v>1625</v>
      </c>
      <c r="H21" s="231"/>
      <c r="I21" s="184"/>
      <c r="J21" s="231"/>
      <c r="K21" s="276"/>
      <c r="L21" s="177"/>
      <c r="M21" s="463">
        <f>TRUNC(SUM(G7+G12+G13)*0.04%)</f>
        <v>812</v>
      </c>
      <c r="N21" s="463">
        <f t="shared" si="0"/>
        <v>813</v>
      </c>
    </row>
    <row r="22" spans="1:14" ht="19.5" customHeight="1">
      <c r="A22" s="697"/>
      <c r="B22" s="698"/>
      <c r="C22" s="702"/>
      <c r="D22" s="22"/>
      <c r="E22" s="270" t="s">
        <v>26</v>
      </c>
      <c r="F22" s="24"/>
      <c r="G22" s="184">
        <f>경비집계표!E13</f>
        <v>207621</v>
      </c>
      <c r="H22" s="231"/>
      <c r="I22" s="184"/>
      <c r="J22" s="231"/>
      <c r="K22" s="276"/>
      <c r="L22" s="177"/>
      <c r="M22" s="464">
        <f>SUM(M16:M21)</f>
        <v>212331</v>
      </c>
      <c r="N22" s="463">
        <f>G22-M22</f>
        <v>-4710</v>
      </c>
    </row>
    <row r="23" spans="1:12" ht="19.5" customHeight="1">
      <c r="A23" s="697"/>
      <c r="B23" s="698"/>
      <c r="C23" s="705" t="s">
        <v>388</v>
      </c>
      <c r="D23" s="22"/>
      <c r="E23" s="24" t="s">
        <v>35</v>
      </c>
      <c r="F23" s="24"/>
      <c r="G23" s="184">
        <f>경비집계표!E14</f>
        <v>63000</v>
      </c>
      <c r="H23" s="231"/>
      <c r="I23" s="184"/>
      <c r="J23" s="231"/>
      <c r="K23" s="276"/>
      <c r="L23" s="177"/>
    </row>
    <row r="24" spans="1:12" ht="19.5" customHeight="1">
      <c r="A24" s="697"/>
      <c r="B24" s="698"/>
      <c r="C24" s="706"/>
      <c r="D24" s="22"/>
      <c r="E24" s="270" t="s">
        <v>26</v>
      </c>
      <c r="F24" s="24"/>
      <c r="G24" s="184">
        <f>경비집계표!E15</f>
        <v>63000</v>
      </c>
      <c r="H24" s="231"/>
      <c r="I24" s="184"/>
      <c r="J24" s="231"/>
      <c r="K24" s="276"/>
      <c r="L24" s="177"/>
    </row>
    <row r="25" spans="1:12" ht="19.5" customHeight="1">
      <c r="A25" s="697"/>
      <c r="B25" s="698"/>
      <c r="C25" s="701" t="s">
        <v>327</v>
      </c>
      <c r="D25" s="22"/>
      <c r="E25" s="663" t="s">
        <v>555</v>
      </c>
      <c r="F25" s="24"/>
      <c r="G25" s="184">
        <f>경비집계표!E16</f>
        <v>0</v>
      </c>
      <c r="H25" s="231"/>
      <c r="I25" s="184"/>
      <c r="J25" s="231"/>
      <c r="K25" s="276"/>
      <c r="L25" s="177"/>
    </row>
    <row r="26" spans="1:12" ht="19.5" customHeight="1">
      <c r="A26" s="697"/>
      <c r="B26" s="698"/>
      <c r="C26" s="702"/>
      <c r="D26" s="22"/>
      <c r="E26" s="24" t="s">
        <v>328</v>
      </c>
      <c r="F26" s="24"/>
      <c r="G26" s="184">
        <f>경비집계표!E17</f>
        <v>8333</v>
      </c>
      <c r="H26" s="231"/>
      <c r="I26" s="184"/>
      <c r="J26" s="231"/>
      <c r="K26" s="276"/>
      <c r="L26" s="177"/>
    </row>
    <row r="27" spans="1:12" ht="19.5" customHeight="1">
      <c r="A27" s="699"/>
      <c r="B27" s="700"/>
      <c r="C27" s="692" t="s">
        <v>29</v>
      </c>
      <c r="D27" s="690"/>
      <c r="E27" s="690"/>
      <c r="F27" s="691"/>
      <c r="G27" s="184">
        <f>경비집계표!E18</f>
        <v>278954</v>
      </c>
      <c r="H27" s="231"/>
      <c r="I27" s="272">
        <f>TRUNC(G27/$G$31*100,2)</f>
        <v>10.2</v>
      </c>
      <c r="J27" s="231"/>
      <c r="K27" s="276"/>
      <c r="L27" s="177" t="str">
        <f>경비집계표!$A$1&amp;"참조"</f>
        <v>&lt; 표 : 11 &gt; 참조</v>
      </c>
    </row>
    <row r="28" spans="1:12" ht="19.5" customHeight="1">
      <c r="A28" s="176"/>
      <c r="B28" s="693" t="s">
        <v>212</v>
      </c>
      <c r="C28" s="693"/>
      <c r="D28" s="693"/>
      <c r="E28" s="693"/>
      <c r="F28" s="274"/>
      <c r="G28" s="184">
        <f>SUM(G15,G27)</f>
        <v>2479882</v>
      </c>
      <c r="H28" s="231"/>
      <c r="I28" s="272">
        <f>TRUNC(G28/$G$31*100,2)</f>
        <v>90.73</v>
      </c>
      <c r="J28" s="231"/>
      <c r="K28" s="276"/>
      <c r="L28" s="466" t="s">
        <v>351</v>
      </c>
    </row>
    <row r="29" spans="1:12" ht="19.5" customHeight="1">
      <c r="A29" s="271"/>
      <c r="B29" s="694" t="s">
        <v>564</v>
      </c>
      <c r="C29" s="693"/>
      <c r="D29" s="693"/>
      <c r="E29" s="693"/>
      <c r="F29" s="275"/>
      <c r="G29" s="184">
        <f>TRUNC(G28*3%,0)</f>
        <v>74396</v>
      </c>
      <c r="H29" s="231"/>
      <c r="I29" s="272">
        <f>TRUNC(G29/$G$31*100,2)</f>
        <v>2.72</v>
      </c>
      <c r="J29" s="231"/>
      <c r="K29" s="276"/>
      <c r="L29" s="671" t="s">
        <v>566</v>
      </c>
    </row>
    <row r="30" spans="1:12" ht="19.5" customHeight="1">
      <c r="A30" s="271"/>
      <c r="B30" s="694" t="s">
        <v>565</v>
      </c>
      <c r="C30" s="693"/>
      <c r="D30" s="693"/>
      <c r="E30" s="693"/>
      <c r="F30" s="275"/>
      <c r="G30" s="184">
        <f>TRUNC(SUM(G15,G27,G29)*7%,0)</f>
        <v>178799</v>
      </c>
      <c r="H30" s="231"/>
      <c r="I30" s="272">
        <f>TRUNC(G30/$G$31*100,2)</f>
        <v>6.54</v>
      </c>
      <c r="J30" s="231"/>
      <c r="K30" s="276"/>
      <c r="L30" s="671" t="s">
        <v>567</v>
      </c>
    </row>
    <row r="31" spans="1:12" ht="19.5" customHeight="1">
      <c r="A31" s="271"/>
      <c r="B31" s="693" t="s">
        <v>377</v>
      </c>
      <c r="C31" s="693"/>
      <c r="D31" s="693"/>
      <c r="E31" s="693"/>
      <c r="F31" s="275"/>
      <c r="G31" s="184">
        <f>SUM(G28:G30)</f>
        <v>2733077</v>
      </c>
      <c r="H31" s="231"/>
      <c r="I31" s="272">
        <f>TRUNC(G31/$G$31*100,2)</f>
        <v>100</v>
      </c>
      <c r="J31" s="231"/>
      <c r="K31" s="276"/>
      <c r="L31" s="466" t="s">
        <v>341</v>
      </c>
    </row>
    <row r="32" spans="1:12" ht="19.5" customHeight="1">
      <c r="A32" s="271"/>
      <c r="B32" s="703" t="s">
        <v>381</v>
      </c>
      <c r="C32" s="703"/>
      <c r="D32" s="703"/>
      <c r="E32" s="703"/>
      <c r="F32" s="508"/>
      <c r="G32" s="460">
        <f>TRUNC(G31*10%)</f>
        <v>273307</v>
      </c>
      <c r="H32" s="505"/>
      <c r="I32" s="507"/>
      <c r="J32" s="505"/>
      <c r="K32" s="506"/>
      <c r="L32" s="466" t="s">
        <v>382</v>
      </c>
    </row>
    <row r="33" spans="1:12" ht="19.5" customHeight="1">
      <c r="A33" s="271"/>
      <c r="B33" s="703" t="s">
        <v>383</v>
      </c>
      <c r="C33" s="703"/>
      <c r="D33" s="703"/>
      <c r="E33" s="703"/>
      <c r="F33" s="508"/>
      <c r="G33" s="460">
        <f>SUM(G31:G32)</f>
        <v>3006384</v>
      </c>
      <c r="H33" s="505"/>
      <c r="I33" s="507"/>
      <c r="J33" s="505"/>
      <c r="K33" s="506"/>
      <c r="L33" s="466" t="s">
        <v>384</v>
      </c>
    </row>
    <row r="34" spans="1:15" ht="19.5" customHeight="1">
      <c r="A34" s="223"/>
      <c r="B34" s="223"/>
      <c r="C34" s="223"/>
      <c r="D34" s="223"/>
      <c r="E34" s="152"/>
      <c r="F34" s="152"/>
      <c r="G34" s="152"/>
      <c r="I34" s="33"/>
      <c r="L34" s="33"/>
      <c r="M34" s="33"/>
      <c r="N34" s="438"/>
      <c r="O34" s="438"/>
    </row>
    <row r="35" spans="1:15" s="168" customFormat="1" ht="39.75" customHeight="1">
      <c r="A35" s="165" t="s">
        <v>392</v>
      </c>
      <c r="B35" s="166"/>
      <c r="C35" s="224"/>
      <c r="D35" s="224"/>
      <c r="E35" s="225"/>
      <c r="F35" s="225"/>
      <c r="G35" s="167"/>
      <c r="H35" s="153"/>
      <c r="I35" s="29"/>
      <c r="J35" s="30"/>
      <c r="K35" s="29"/>
      <c r="L35" s="165"/>
      <c r="N35" s="439"/>
      <c r="O35" s="439"/>
    </row>
    <row r="36" spans="1:15" ht="19.5" customHeight="1">
      <c r="A36" s="260"/>
      <c r="B36" s="261"/>
      <c r="C36" s="260"/>
      <c r="D36" s="260"/>
      <c r="E36" s="261"/>
      <c r="F36" s="261"/>
      <c r="G36" s="154"/>
      <c r="H36" s="262"/>
      <c r="I36" s="31"/>
      <c r="J36" s="32"/>
      <c r="K36" s="31"/>
      <c r="L36" s="182"/>
      <c r="O36" s="439"/>
    </row>
    <row r="37" spans="1:15" ht="19.5" customHeight="1">
      <c r="A37" s="169" t="str">
        <f>"구 분 : "&amp;월기본급!B10&amp;"                       직종명 : "&amp;월기본급!F10&amp;""</f>
        <v>구 분 : 전기기사                       직종명 : 전기정비공</v>
      </c>
      <c r="B37" s="170"/>
      <c r="C37" s="169"/>
      <c r="D37" s="169"/>
      <c r="G37" s="171"/>
      <c r="H37" s="171"/>
      <c r="I37" s="171"/>
      <c r="L37" s="263" t="s">
        <v>18</v>
      </c>
      <c r="O37" s="439"/>
    </row>
    <row r="38" spans="1:15" ht="19.5" customHeight="1">
      <c r="A38" s="264"/>
      <c r="B38" s="265"/>
      <c r="C38" s="265"/>
      <c r="D38" s="265"/>
      <c r="E38" s="266" t="s">
        <v>19</v>
      </c>
      <c r="F38" s="266"/>
      <c r="G38" s="708" t="s">
        <v>20</v>
      </c>
      <c r="H38" s="709"/>
      <c r="I38" s="708" t="s">
        <v>21</v>
      </c>
      <c r="J38" s="709"/>
      <c r="K38" s="277"/>
      <c r="L38" s="709" t="s">
        <v>22</v>
      </c>
      <c r="O38" s="439"/>
    </row>
    <row r="39" spans="1:12" ht="19.5" customHeight="1">
      <c r="A39" s="267" t="s">
        <v>23</v>
      </c>
      <c r="B39" s="273"/>
      <c r="C39" s="268"/>
      <c r="D39" s="268"/>
      <c r="E39" s="268"/>
      <c r="F39" s="268"/>
      <c r="G39" s="710"/>
      <c r="H39" s="711"/>
      <c r="I39" s="710"/>
      <c r="J39" s="711"/>
      <c r="K39" s="278"/>
      <c r="L39" s="711"/>
    </row>
    <row r="40" spans="1:12" ht="19.5" customHeight="1">
      <c r="A40" s="695" t="s">
        <v>246</v>
      </c>
      <c r="B40" s="696"/>
      <c r="C40" s="692" t="s">
        <v>24</v>
      </c>
      <c r="D40" s="690"/>
      <c r="E40" s="690"/>
      <c r="F40" s="691"/>
      <c r="G40" s="184">
        <f>단위당인건비!E48</f>
        <v>1347024</v>
      </c>
      <c r="H40" s="231"/>
      <c r="I40" s="184"/>
      <c r="J40" s="231"/>
      <c r="K40" s="276"/>
      <c r="L40" s="21"/>
    </row>
    <row r="41" spans="1:12" ht="19.5" customHeight="1">
      <c r="A41" s="697"/>
      <c r="B41" s="698"/>
      <c r="C41" s="701" t="s">
        <v>323</v>
      </c>
      <c r="D41" s="22"/>
      <c r="E41" s="24" t="s">
        <v>1</v>
      </c>
      <c r="F41" s="22"/>
      <c r="G41" s="184">
        <f>단위당인건비!E49</f>
        <v>6992</v>
      </c>
      <c r="H41" s="231"/>
      <c r="I41" s="184"/>
      <c r="J41" s="231"/>
      <c r="K41" s="276"/>
      <c r="L41" s="21"/>
    </row>
    <row r="42" spans="1:12" ht="19.5" customHeight="1">
      <c r="A42" s="697"/>
      <c r="B42" s="698"/>
      <c r="C42" s="704"/>
      <c r="D42" s="22"/>
      <c r="E42" s="24" t="s">
        <v>287</v>
      </c>
      <c r="F42" s="269"/>
      <c r="G42" s="184">
        <f>단위당인건비!E50</f>
        <v>77341</v>
      </c>
      <c r="H42" s="231"/>
      <c r="I42" s="184"/>
      <c r="J42" s="231"/>
      <c r="K42" s="276"/>
      <c r="L42" s="21"/>
    </row>
    <row r="43" spans="1:12" ht="19.5" customHeight="1">
      <c r="A43" s="697"/>
      <c r="B43" s="698"/>
      <c r="C43" s="704"/>
      <c r="D43" s="22"/>
      <c r="E43" s="24" t="s">
        <v>6</v>
      </c>
      <c r="F43" s="269"/>
      <c r="G43" s="184">
        <f>단위당인건비!E51</f>
        <v>64450</v>
      </c>
      <c r="H43" s="231"/>
      <c r="I43" s="184"/>
      <c r="J43" s="231"/>
      <c r="K43" s="276"/>
      <c r="L43" s="21"/>
    </row>
    <row r="44" spans="1:12" ht="19.5" customHeight="1">
      <c r="A44" s="697"/>
      <c r="B44" s="698"/>
      <c r="C44" s="704"/>
      <c r="D44" s="22"/>
      <c r="E44" s="24" t="s">
        <v>325</v>
      </c>
      <c r="F44" s="269"/>
      <c r="G44" s="184">
        <f>단위당인건비!E52</f>
        <v>0</v>
      </c>
      <c r="H44" s="231"/>
      <c r="I44" s="184"/>
      <c r="J44" s="231"/>
      <c r="K44" s="276"/>
      <c r="L44" s="21"/>
    </row>
    <row r="45" spans="1:12" ht="19.5" customHeight="1">
      <c r="A45" s="697"/>
      <c r="B45" s="698"/>
      <c r="C45" s="702"/>
      <c r="D45" s="22"/>
      <c r="E45" s="270" t="s">
        <v>26</v>
      </c>
      <c r="F45" s="270"/>
      <c r="G45" s="184">
        <f>단위당인건비!E53</f>
        <v>148783</v>
      </c>
      <c r="H45" s="231"/>
      <c r="I45" s="244"/>
      <c r="J45" s="231"/>
      <c r="K45" s="276"/>
      <c r="L45" s="177"/>
    </row>
    <row r="46" spans="1:12" ht="19.5" customHeight="1">
      <c r="A46" s="697"/>
      <c r="B46" s="698"/>
      <c r="C46" s="692" t="s">
        <v>27</v>
      </c>
      <c r="D46" s="690"/>
      <c r="E46" s="690"/>
      <c r="F46" s="691"/>
      <c r="G46" s="184">
        <f>단위당인건비!E54</f>
        <v>449008</v>
      </c>
      <c r="H46" s="231"/>
      <c r="I46" s="244"/>
      <c r="J46" s="231"/>
      <c r="K46" s="276"/>
      <c r="L46" s="177"/>
    </row>
    <row r="47" spans="1:12" ht="19.5" customHeight="1">
      <c r="A47" s="697"/>
      <c r="B47" s="698"/>
      <c r="C47" s="692" t="s">
        <v>28</v>
      </c>
      <c r="D47" s="690"/>
      <c r="E47" s="690"/>
      <c r="F47" s="691"/>
      <c r="G47" s="184">
        <f>단위당인건비!E55</f>
        <v>162067</v>
      </c>
      <c r="H47" s="231"/>
      <c r="I47" s="244"/>
      <c r="J47" s="231"/>
      <c r="K47" s="276"/>
      <c r="L47" s="177"/>
    </row>
    <row r="48" spans="1:12" ht="19.5" customHeight="1">
      <c r="A48" s="699"/>
      <c r="B48" s="700"/>
      <c r="C48" s="692" t="s">
        <v>29</v>
      </c>
      <c r="D48" s="690"/>
      <c r="E48" s="690"/>
      <c r="F48" s="691"/>
      <c r="G48" s="184">
        <f>단위당인건비!E56</f>
        <v>2106882</v>
      </c>
      <c r="H48" s="231"/>
      <c r="I48" s="272">
        <f>TRUNC(G48/$G$64*100,2)</f>
        <v>80.42</v>
      </c>
      <c r="J48" s="231"/>
      <c r="K48" s="276"/>
      <c r="L48" s="177" t="str">
        <f>단위당인건비!$A$1&amp;"참조"</f>
        <v>&lt; 표 : 5 &gt; 참조</v>
      </c>
    </row>
    <row r="49" spans="1:14" ht="19.5" customHeight="1">
      <c r="A49" s="695" t="s">
        <v>256</v>
      </c>
      <c r="B49" s="696"/>
      <c r="C49" s="701" t="s">
        <v>5</v>
      </c>
      <c r="D49" s="22"/>
      <c r="E49" s="24" t="s">
        <v>30</v>
      </c>
      <c r="F49" s="24"/>
      <c r="G49" s="184">
        <f>경비집계표!F7</f>
        <v>40841</v>
      </c>
      <c r="H49" s="231"/>
      <c r="I49" s="184"/>
      <c r="J49" s="231"/>
      <c r="K49" s="276"/>
      <c r="L49" s="177"/>
      <c r="M49" s="463">
        <f>TRUNC(SUM(G40+G45+G46)*2.1%)</f>
        <v>40841</v>
      </c>
      <c r="N49" s="463">
        <f aca="true" t="shared" si="1" ref="N49:N54">G49-M49</f>
        <v>0</v>
      </c>
    </row>
    <row r="50" spans="1:14" ht="19.5" customHeight="1">
      <c r="A50" s="697"/>
      <c r="B50" s="698"/>
      <c r="C50" s="704"/>
      <c r="D50" s="22"/>
      <c r="E50" s="24" t="s">
        <v>31</v>
      </c>
      <c r="F50" s="24"/>
      <c r="G50" s="184">
        <f>경비집계표!F8</f>
        <v>87516</v>
      </c>
      <c r="H50" s="231"/>
      <c r="I50" s="184"/>
      <c r="J50" s="231"/>
      <c r="K50" s="276"/>
      <c r="L50" s="177"/>
      <c r="M50" s="463">
        <f>TRUNC(SUM(G40+G45+G46)*4.5%)</f>
        <v>87516</v>
      </c>
      <c r="N50" s="463">
        <f t="shared" si="1"/>
        <v>0</v>
      </c>
    </row>
    <row r="51" spans="1:14" ht="19.5" customHeight="1">
      <c r="A51" s="697"/>
      <c r="B51" s="698"/>
      <c r="C51" s="704"/>
      <c r="D51" s="22"/>
      <c r="E51" s="24" t="s">
        <v>32</v>
      </c>
      <c r="F51" s="24"/>
      <c r="G51" s="184">
        <f>경비집계표!F9</f>
        <v>13613</v>
      </c>
      <c r="H51" s="231"/>
      <c r="I51" s="184"/>
      <c r="J51" s="231"/>
      <c r="K51" s="276"/>
      <c r="L51" s="177"/>
      <c r="M51" s="463">
        <f>TRUNC(SUM(G40+G45+G46)*1.15%)</f>
        <v>22365</v>
      </c>
      <c r="N51" s="463">
        <f t="shared" si="1"/>
        <v>-8752</v>
      </c>
    </row>
    <row r="52" spans="1:14" ht="19.5" customHeight="1">
      <c r="A52" s="697"/>
      <c r="B52" s="698"/>
      <c r="C52" s="704"/>
      <c r="D52" s="22"/>
      <c r="E52" s="24" t="s">
        <v>33</v>
      </c>
      <c r="F52" s="24"/>
      <c r="G52" s="184">
        <f>경비집계표!F10</f>
        <v>51829</v>
      </c>
      <c r="H52" s="231"/>
      <c r="I52" s="184"/>
      <c r="J52" s="231"/>
      <c r="K52" s="276"/>
      <c r="L52" s="177"/>
      <c r="M52" s="463">
        <f>TRUNC(SUM(G40+G45+G46)*2.54%)</f>
        <v>49398</v>
      </c>
      <c r="N52" s="463">
        <f t="shared" si="1"/>
        <v>2431</v>
      </c>
    </row>
    <row r="53" spans="1:14" ht="19.5" customHeight="1">
      <c r="A53" s="697"/>
      <c r="B53" s="698"/>
      <c r="C53" s="704"/>
      <c r="D53" s="22"/>
      <c r="E53" s="329" t="s">
        <v>322</v>
      </c>
      <c r="F53" s="24"/>
      <c r="G53" s="184">
        <f>경비집계표!F11</f>
        <v>3394</v>
      </c>
      <c r="H53" s="231"/>
      <c r="I53" s="184"/>
      <c r="J53" s="231"/>
      <c r="K53" s="276"/>
      <c r="L53" s="177"/>
      <c r="M53" s="463">
        <f>TRUNC(M52*4.78%)</f>
        <v>2361</v>
      </c>
      <c r="N53" s="463">
        <f t="shared" si="1"/>
        <v>1033</v>
      </c>
    </row>
    <row r="54" spans="1:14" ht="19.5" customHeight="1">
      <c r="A54" s="697"/>
      <c r="B54" s="698"/>
      <c r="C54" s="704"/>
      <c r="D54" s="22"/>
      <c r="E54" s="24" t="s">
        <v>34</v>
      </c>
      <c r="F54" s="24"/>
      <c r="G54" s="184">
        <f>경비집계표!F12</f>
        <v>1555</v>
      </c>
      <c r="H54" s="231"/>
      <c r="I54" s="184"/>
      <c r="J54" s="231"/>
      <c r="K54" s="276"/>
      <c r="L54" s="177"/>
      <c r="M54" s="463">
        <f>TRUNC(SUM(G40+G45+G46)*0.04%)</f>
        <v>777</v>
      </c>
      <c r="N54" s="463">
        <f t="shared" si="1"/>
        <v>778</v>
      </c>
    </row>
    <row r="55" spans="1:14" ht="19.5" customHeight="1">
      <c r="A55" s="697"/>
      <c r="B55" s="698"/>
      <c r="C55" s="702"/>
      <c r="D55" s="22"/>
      <c r="E55" s="270" t="s">
        <v>26</v>
      </c>
      <c r="F55" s="24"/>
      <c r="G55" s="184">
        <f>경비집계표!F13</f>
        <v>198748</v>
      </c>
      <c r="H55" s="231"/>
      <c r="I55" s="184"/>
      <c r="J55" s="231"/>
      <c r="K55" s="276"/>
      <c r="L55" s="177"/>
      <c r="M55" s="464">
        <f>SUM(M49:M54)</f>
        <v>203258</v>
      </c>
      <c r="N55" s="463">
        <f>G55-M55</f>
        <v>-4510</v>
      </c>
    </row>
    <row r="56" spans="1:12" ht="19.5" customHeight="1">
      <c r="A56" s="697"/>
      <c r="B56" s="698"/>
      <c r="C56" s="705" t="s">
        <v>388</v>
      </c>
      <c r="D56" s="22"/>
      <c r="E56" s="24" t="s">
        <v>35</v>
      </c>
      <c r="F56" s="24"/>
      <c r="G56" s="184">
        <f>경비집계표!F14</f>
        <v>63000</v>
      </c>
      <c r="H56" s="231"/>
      <c r="I56" s="184"/>
      <c r="J56" s="231"/>
      <c r="K56" s="276"/>
      <c r="L56" s="177"/>
    </row>
    <row r="57" spans="1:12" ht="19.5" customHeight="1">
      <c r="A57" s="697"/>
      <c r="B57" s="698"/>
      <c r="C57" s="706"/>
      <c r="D57" s="22"/>
      <c r="E57" s="270" t="s">
        <v>26</v>
      </c>
      <c r="F57" s="24"/>
      <c r="G57" s="184">
        <f>경비집계표!F15</f>
        <v>63000</v>
      </c>
      <c r="H57" s="231"/>
      <c r="I57" s="184"/>
      <c r="J57" s="231"/>
      <c r="K57" s="276"/>
      <c r="L57" s="177"/>
    </row>
    <row r="58" spans="1:12" ht="19.5" customHeight="1">
      <c r="A58" s="697"/>
      <c r="B58" s="698"/>
      <c r="C58" s="701" t="s">
        <v>327</v>
      </c>
      <c r="D58" s="22"/>
      <c r="E58" s="663" t="s">
        <v>555</v>
      </c>
      <c r="F58" s="24"/>
      <c r="G58" s="184">
        <f>경비집계표!F16</f>
        <v>0</v>
      </c>
      <c r="H58" s="231"/>
      <c r="I58" s="184"/>
      <c r="J58" s="231"/>
      <c r="K58" s="276"/>
      <c r="L58" s="177"/>
    </row>
    <row r="59" spans="1:12" ht="19.5" customHeight="1">
      <c r="A59" s="697"/>
      <c r="B59" s="698"/>
      <c r="C59" s="702"/>
      <c r="D59" s="22"/>
      <c r="E59" s="24" t="s">
        <v>328</v>
      </c>
      <c r="F59" s="24"/>
      <c r="G59" s="184">
        <f>경비집계표!F17</f>
        <v>8333</v>
      </c>
      <c r="H59" s="231"/>
      <c r="I59" s="184"/>
      <c r="J59" s="231"/>
      <c r="K59" s="276"/>
      <c r="L59" s="177"/>
    </row>
    <row r="60" spans="1:12" ht="19.5" customHeight="1">
      <c r="A60" s="699"/>
      <c r="B60" s="700"/>
      <c r="C60" s="692" t="s">
        <v>29</v>
      </c>
      <c r="D60" s="690"/>
      <c r="E60" s="690"/>
      <c r="F60" s="691"/>
      <c r="G60" s="184">
        <f>경비집계표!F18</f>
        <v>270081</v>
      </c>
      <c r="H60" s="231"/>
      <c r="I60" s="272">
        <f>ROUNDUP(G60/$G$64*100,1)</f>
        <v>10.4</v>
      </c>
      <c r="J60" s="231"/>
      <c r="K60" s="276"/>
      <c r="L60" s="177" t="str">
        <f>경비집계표!$A$1&amp;"참조"</f>
        <v>&lt; 표 : 11 &gt; 참조</v>
      </c>
    </row>
    <row r="61" spans="1:12" ht="19.5" customHeight="1">
      <c r="A61" s="176"/>
      <c r="B61" s="693" t="s">
        <v>212</v>
      </c>
      <c r="C61" s="693"/>
      <c r="D61" s="693"/>
      <c r="E61" s="693"/>
      <c r="F61" s="274"/>
      <c r="G61" s="184">
        <f>SUM(G48,G60)</f>
        <v>2376963</v>
      </c>
      <c r="H61" s="231"/>
      <c r="I61" s="272">
        <f>ROUNDUP(G61/$G$64*100,1)</f>
        <v>90.8</v>
      </c>
      <c r="J61" s="231"/>
      <c r="K61" s="276"/>
      <c r="L61" s="466" t="s">
        <v>351</v>
      </c>
    </row>
    <row r="62" spans="1:12" ht="19.5" customHeight="1">
      <c r="A62" s="271"/>
      <c r="B62" s="694" t="s">
        <v>564</v>
      </c>
      <c r="C62" s="693"/>
      <c r="D62" s="693"/>
      <c r="E62" s="693"/>
      <c r="F62" s="275"/>
      <c r="G62" s="184">
        <f>TRUNC(G61*3%,0)</f>
        <v>71308</v>
      </c>
      <c r="H62" s="231"/>
      <c r="I62" s="272">
        <f>TRUNC(G62/$G$64*100,2)</f>
        <v>2.72</v>
      </c>
      <c r="J62" s="231"/>
      <c r="K62" s="276"/>
      <c r="L62" s="671" t="s">
        <v>566</v>
      </c>
    </row>
    <row r="63" spans="1:12" ht="19.5" customHeight="1">
      <c r="A63" s="271"/>
      <c r="B63" s="694" t="s">
        <v>565</v>
      </c>
      <c r="C63" s="693"/>
      <c r="D63" s="693"/>
      <c r="E63" s="693"/>
      <c r="F63" s="275"/>
      <c r="G63" s="184">
        <f>TRUNC(SUM(G48,G60,G62)*7%,0)</f>
        <v>171378</v>
      </c>
      <c r="H63" s="231"/>
      <c r="I63" s="272">
        <f>TRUNC(G63/$G$64*100,2)</f>
        <v>6.54</v>
      </c>
      <c r="J63" s="231"/>
      <c r="K63" s="276"/>
      <c r="L63" s="671" t="s">
        <v>567</v>
      </c>
    </row>
    <row r="64" spans="1:12" ht="19.5" customHeight="1">
      <c r="A64" s="271"/>
      <c r="B64" s="693" t="s">
        <v>385</v>
      </c>
      <c r="C64" s="693"/>
      <c r="D64" s="693"/>
      <c r="E64" s="693"/>
      <c r="F64" s="275"/>
      <c r="G64" s="184">
        <f>SUM(G61:G63)</f>
        <v>2619649</v>
      </c>
      <c r="H64" s="231"/>
      <c r="I64" s="272">
        <f>TRUNC(G64/$G$64*100,2)</f>
        <v>100</v>
      </c>
      <c r="J64" s="231"/>
      <c r="K64" s="276"/>
      <c r="L64" s="466" t="s">
        <v>342</v>
      </c>
    </row>
    <row r="65" spans="1:12" ht="19.5" customHeight="1">
      <c r="A65" s="271"/>
      <c r="B65" s="703" t="s">
        <v>381</v>
      </c>
      <c r="C65" s="703"/>
      <c r="D65" s="703"/>
      <c r="E65" s="703"/>
      <c r="F65" s="508"/>
      <c r="G65" s="460">
        <f>TRUNC(G64*10%)</f>
        <v>261964</v>
      </c>
      <c r="H65" s="505"/>
      <c r="I65" s="507"/>
      <c r="J65" s="505"/>
      <c r="K65" s="506"/>
      <c r="L65" s="466" t="s">
        <v>382</v>
      </c>
    </row>
    <row r="66" spans="1:12" ht="19.5" customHeight="1">
      <c r="A66" s="271"/>
      <c r="B66" s="703" t="s">
        <v>383</v>
      </c>
      <c r="C66" s="703"/>
      <c r="D66" s="703"/>
      <c r="E66" s="703"/>
      <c r="F66" s="508"/>
      <c r="G66" s="460">
        <f>SUM(G64:G65)</f>
        <v>2881613</v>
      </c>
      <c r="H66" s="505"/>
      <c r="I66" s="507"/>
      <c r="J66" s="505"/>
      <c r="K66" s="506"/>
      <c r="L66" s="466" t="s">
        <v>384</v>
      </c>
    </row>
    <row r="67" spans="1:15" ht="19.5" customHeight="1">
      <c r="A67" s="223"/>
      <c r="B67" s="223"/>
      <c r="C67" s="223"/>
      <c r="D67" s="223"/>
      <c r="E67" s="152"/>
      <c r="F67" s="152"/>
      <c r="G67" s="152"/>
      <c r="I67" s="33"/>
      <c r="L67" s="33"/>
      <c r="M67" s="33"/>
      <c r="N67" s="438"/>
      <c r="O67" s="438"/>
    </row>
    <row r="68" spans="1:15" s="168" customFormat="1" ht="39.75" customHeight="1">
      <c r="A68" s="165" t="s">
        <v>393</v>
      </c>
      <c r="B68" s="166"/>
      <c r="C68" s="224"/>
      <c r="D68" s="224"/>
      <c r="E68" s="225"/>
      <c r="F68" s="225"/>
      <c r="G68" s="167"/>
      <c r="H68" s="153"/>
      <c r="I68" s="29"/>
      <c r="J68" s="30"/>
      <c r="K68" s="29"/>
      <c r="L68" s="165"/>
      <c r="N68" s="439"/>
      <c r="O68" s="439"/>
    </row>
    <row r="69" spans="1:15" ht="19.5" customHeight="1">
      <c r="A69" s="260"/>
      <c r="B69" s="261"/>
      <c r="C69" s="260"/>
      <c r="D69" s="260"/>
      <c r="E69" s="261"/>
      <c r="F69" s="261"/>
      <c r="G69" s="154"/>
      <c r="H69" s="262"/>
      <c r="I69" s="31"/>
      <c r="J69" s="32"/>
      <c r="K69" s="31"/>
      <c r="L69" s="182"/>
      <c r="O69" s="439"/>
    </row>
    <row r="70" spans="1:15" ht="19.5" customHeight="1">
      <c r="A70" s="169" t="str">
        <f>"구 분 : "&amp;월기본급!B11&amp;"                       직종명 : "&amp;월기본급!F11&amp;""</f>
        <v>구 분 : 기계반장                       직종명 : 보일러공</v>
      </c>
      <c r="B70" s="170"/>
      <c r="C70" s="169"/>
      <c r="D70" s="169"/>
      <c r="G70" s="171"/>
      <c r="H70" s="171"/>
      <c r="I70" s="171"/>
      <c r="L70" s="263" t="s">
        <v>18</v>
      </c>
      <c r="O70" s="439"/>
    </row>
    <row r="71" spans="1:15" ht="19.5" customHeight="1">
      <c r="A71" s="264"/>
      <c r="B71" s="265"/>
      <c r="C71" s="265"/>
      <c r="D71" s="265"/>
      <c r="E71" s="266" t="s">
        <v>19</v>
      </c>
      <c r="F71" s="266"/>
      <c r="G71" s="708" t="s">
        <v>20</v>
      </c>
      <c r="H71" s="709"/>
      <c r="I71" s="708" t="s">
        <v>21</v>
      </c>
      <c r="J71" s="709"/>
      <c r="K71" s="277"/>
      <c r="L71" s="709" t="s">
        <v>22</v>
      </c>
      <c r="O71" s="439"/>
    </row>
    <row r="72" spans="1:12" ht="19.5" customHeight="1">
      <c r="A72" s="267" t="s">
        <v>23</v>
      </c>
      <c r="B72" s="273"/>
      <c r="C72" s="268"/>
      <c r="D72" s="268"/>
      <c r="E72" s="268"/>
      <c r="F72" s="268"/>
      <c r="G72" s="710"/>
      <c r="H72" s="711"/>
      <c r="I72" s="710"/>
      <c r="J72" s="711"/>
      <c r="K72" s="278"/>
      <c r="L72" s="711"/>
    </row>
    <row r="73" spans="1:12" ht="19.5" customHeight="1">
      <c r="A73" s="695" t="s">
        <v>245</v>
      </c>
      <c r="B73" s="696"/>
      <c r="C73" s="692" t="s">
        <v>24</v>
      </c>
      <c r="D73" s="690"/>
      <c r="E73" s="690"/>
      <c r="F73" s="691"/>
      <c r="G73" s="184">
        <f>단위당인건비!E69</f>
        <v>1338939</v>
      </c>
      <c r="H73" s="231"/>
      <c r="I73" s="184"/>
      <c r="J73" s="231"/>
      <c r="K73" s="276"/>
      <c r="L73" s="21"/>
    </row>
    <row r="74" spans="1:12" ht="19.5" customHeight="1">
      <c r="A74" s="697"/>
      <c r="B74" s="698"/>
      <c r="C74" s="701" t="s">
        <v>323</v>
      </c>
      <c r="D74" s="22"/>
      <c r="E74" s="24" t="s">
        <v>1</v>
      </c>
      <c r="F74" s="22"/>
      <c r="G74" s="184">
        <f>단위당인건비!E70</f>
        <v>6950</v>
      </c>
      <c r="H74" s="231"/>
      <c r="I74" s="184"/>
      <c r="J74" s="231"/>
      <c r="K74" s="276"/>
      <c r="L74" s="21"/>
    </row>
    <row r="75" spans="1:12" ht="19.5" customHeight="1">
      <c r="A75" s="697"/>
      <c r="B75" s="698"/>
      <c r="C75" s="704"/>
      <c r="D75" s="22"/>
      <c r="E75" s="24" t="s">
        <v>287</v>
      </c>
      <c r="F75" s="269"/>
      <c r="G75" s="184">
        <f>단위당인건비!E71</f>
        <v>76876</v>
      </c>
      <c r="H75" s="231"/>
      <c r="I75" s="184"/>
      <c r="J75" s="231"/>
      <c r="K75" s="276"/>
      <c r="L75" s="21"/>
    </row>
    <row r="76" spans="1:12" ht="19.5" customHeight="1">
      <c r="A76" s="697"/>
      <c r="B76" s="698"/>
      <c r="C76" s="704"/>
      <c r="D76" s="22"/>
      <c r="E76" s="24" t="s">
        <v>6</v>
      </c>
      <c r="F76" s="269"/>
      <c r="G76" s="184">
        <f>단위당인건비!E72</f>
        <v>64064</v>
      </c>
      <c r="H76" s="231"/>
      <c r="I76" s="184"/>
      <c r="J76" s="231"/>
      <c r="K76" s="276"/>
      <c r="L76" s="21"/>
    </row>
    <row r="77" spans="1:12" ht="19.5" customHeight="1">
      <c r="A77" s="697"/>
      <c r="B77" s="698"/>
      <c r="C77" s="704"/>
      <c r="D77" s="22"/>
      <c r="E77" s="24" t="s">
        <v>325</v>
      </c>
      <c r="F77" s="269"/>
      <c r="G77" s="184">
        <f>단위당인건비!E73</f>
        <v>0</v>
      </c>
      <c r="H77" s="231"/>
      <c r="I77" s="184"/>
      <c r="J77" s="231"/>
      <c r="K77" s="276"/>
      <c r="L77" s="21"/>
    </row>
    <row r="78" spans="1:12" ht="19.5" customHeight="1">
      <c r="A78" s="697"/>
      <c r="B78" s="698"/>
      <c r="C78" s="702"/>
      <c r="D78" s="22"/>
      <c r="E78" s="270" t="s">
        <v>26</v>
      </c>
      <c r="F78" s="270"/>
      <c r="G78" s="184">
        <f>단위당인건비!E74</f>
        <v>147890</v>
      </c>
      <c r="H78" s="231"/>
      <c r="I78" s="244"/>
      <c r="J78" s="231"/>
      <c r="K78" s="276"/>
      <c r="L78" s="177"/>
    </row>
    <row r="79" spans="1:12" ht="19.5" customHeight="1">
      <c r="A79" s="697"/>
      <c r="B79" s="698"/>
      <c r="C79" s="692" t="s">
        <v>27</v>
      </c>
      <c r="D79" s="690"/>
      <c r="E79" s="690"/>
      <c r="F79" s="691"/>
      <c r="G79" s="184">
        <f>단위당인건비!E75</f>
        <v>446313</v>
      </c>
      <c r="H79" s="231"/>
      <c r="I79" s="244"/>
      <c r="J79" s="231"/>
      <c r="K79" s="276"/>
      <c r="L79" s="177"/>
    </row>
    <row r="80" spans="1:12" ht="19.5" customHeight="1">
      <c r="A80" s="697"/>
      <c r="B80" s="698"/>
      <c r="C80" s="692" t="s">
        <v>28</v>
      </c>
      <c r="D80" s="690"/>
      <c r="E80" s="690"/>
      <c r="F80" s="691"/>
      <c r="G80" s="184">
        <f>단위당인건비!E76</f>
        <v>161095</v>
      </c>
      <c r="H80" s="231"/>
      <c r="I80" s="244"/>
      <c r="J80" s="231"/>
      <c r="K80" s="276"/>
      <c r="L80" s="177"/>
    </row>
    <row r="81" spans="1:12" ht="19.5" customHeight="1">
      <c r="A81" s="699"/>
      <c r="B81" s="700"/>
      <c r="C81" s="692" t="s">
        <v>29</v>
      </c>
      <c r="D81" s="690"/>
      <c r="E81" s="690"/>
      <c r="F81" s="691"/>
      <c r="G81" s="184">
        <f>단위당인건비!E77</f>
        <v>2094237</v>
      </c>
      <c r="H81" s="231"/>
      <c r="I81" s="272">
        <f>TRUNC(G81/$G$97*100,2)</f>
        <v>80.41</v>
      </c>
      <c r="J81" s="231"/>
      <c r="K81" s="276"/>
      <c r="L81" s="177" t="str">
        <f>단위당인건비!$A$1&amp;"참조"</f>
        <v>&lt; 표 : 5 &gt; 참조</v>
      </c>
    </row>
    <row r="82" spans="1:14" ht="19.5" customHeight="1">
      <c r="A82" s="695" t="s">
        <v>256</v>
      </c>
      <c r="B82" s="696"/>
      <c r="C82" s="701" t="s">
        <v>5</v>
      </c>
      <c r="D82" s="22"/>
      <c r="E82" s="24" t="s">
        <v>30</v>
      </c>
      <c r="F82" s="24"/>
      <c r="G82" s="184">
        <f>경비집계표!G7</f>
        <v>40595</v>
      </c>
      <c r="H82" s="231"/>
      <c r="I82" s="184"/>
      <c r="J82" s="231"/>
      <c r="K82" s="276"/>
      <c r="L82" s="177"/>
      <c r="M82" s="463">
        <f>TRUNC(SUM(G73+G78+G79)*2.1%)</f>
        <v>40595</v>
      </c>
      <c r="N82" s="463">
        <f aca="true" t="shared" si="2" ref="N82:N87">G82-M82</f>
        <v>0</v>
      </c>
    </row>
    <row r="83" spans="1:14" ht="19.5" customHeight="1">
      <c r="A83" s="697"/>
      <c r="B83" s="698"/>
      <c r="C83" s="704"/>
      <c r="D83" s="22"/>
      <c r="E83" s="24" t="s">
        <v>31</v>
      </c>
      <c r="F83" s="24"/>
      <c r="G83" s="184">
        <f>경비집계표!G8</f>
        <v>86991</v>
      </c>
      <c r="H83" s="231"/>
      <c r="I83" s="184"/>
      <c r="J83" s="231"/>
      <c r="K83" s="276"/>
      <c r="L83" s="177"/>
      <c r="M83" s="463">
        <f>TRUNC(SUM(G73+G78+G79)*4.5%)</f>
        <v>86991</v>
      </c>
      <c r="N83" s="463">
        <f t="shared" si="2"/>
        <v>0</v>
      </c>
    </row>
    <row r="84" spans="1:14" ht="19.5" customHeight="1">
      <c r="A84" s="697"/>
      <c r="B84" s="698"/>
      <c r="C84" s="704"/>
      <c r="D84" s="22"/>
      <c r="E84" s="24" t="s">
        <v>32</v>
      </c>
      <c r="F84" s="24"/>
      <c r="G84" s="184">
        <f>경비집계표!G9</f>
        <v>13531</v>
      </c>
      <c r="H84" s="231"/>
      <c r="I84" s="184"/>
      <c r="J84" s="231"/>
      <c r="K84" s="276"/>
      <c r="L84" s="177"/>
      <c r="M84" s="463">
        <f>TRUNC(SUM(G73+G78+G79)*1.15%)</f>
        <v>22231</v>
      </c>
      <c r="N84" s="463">
        <f t="shared" si="2"/>
        <v>-8700</v>
      </c>
    </row>
    <row r="85" spans="1:14" ht="19.5" customHeight="1">
      <c r="A85" s="697"/>
      <c r="B85" s="698"/>
      <c r="C85" s="704"/>
      <c r="D85" s="22"/>
      <c r="E85" s="24" t="s">
        <v>33</v>
      </c>
      <c r="F85" s="24"/>
      <c r="G85" s="184">
        <f>경비집계표!G10</f>
        <v>51518</v>
      </c>
      <c r="H85" s="231"/>
      <c r="I85" s="184"/>
      <c r="J85" s="231"/>
      <c r="K85" s="276"/>
      <c r="L85" s="177"/>
      <c r="M85" s="463">
        <f>TRUNC(SUM(G73+G78+G79)*2.54%)</f>
        <v>49101</v>
      </c>
      <c r="N85" s="463">
        <f t="shared" si="2"/>
        <v>2417</v>
      </c>
    </row>
    <row r="86" spans="1:14" ht="19.5" customHeight="1">
      <c r="A86" s="697"/>
      <c r="B86" s="698"/>
      <c r="C86" s="704"/>
      <c r="D86" s="22"/>
      <c r="E86" s="329" t="s">
        <v>322</v>
      </c>
      <c r="F86" s="24"/>
      <c r="G86" s="184">
        <f>경비집계표!G11</f>
        <v>3374</v>
      </c>
      <c r="H86" s="231"/>
      <c r="I86" s="184"/>
      <c r="J86" s="231"/>
      <c r="K86" s="276"/>
      <c r="L86" s="177"/>
      <c r="M86" s="463">
        <f>TRUNC(M85*4.78%)</f>
        <v>2347</v>
      </c>
      <c r="N86" s="463">
        <f t="shared" si="2"/>
        <v>1027</v>
      </c>
    </row>
    <row r="87" spans="1:14" ht="19.5" customHeight="1">
      <c r="A87" s="697"/>
      <c r="B87" s="698"/>
      <c r="C87" s="704"/>
      <c r="D87" s="22"/>
      <c r="E87" s="24" t="s">
        <v>34</v>
      </c>
      <c r="F87" s="24"/>
      <c r="G87" s="184">
        <f>경비집계표!G12</f>
        <v>1546</v>
      </c>
      <c r="H87" s="231"/>
      <c r="I87" s="184"/>
      <c r="J87" s="231"/>
      <c r="K87" s="276"/>
      <c r="L87" s="177"/>
      <c r="M87" s="463">
        <f>TRUNC(SUM(G73+G78+G79)*0.04%)</f>
        <v>773</v>
      </c>
      <c r="N87" s="463">
        <f t="shared" si="2"/>
        <v>773</v>
      </c>
    </row>
    <row r="88" spans="1:14" ht="19.5" customHeight="1">
      <c r="A88" s="697"/>
      <c r="B88" s="698"/>
      <c r="C88" s="702"/>
      <c r="D88" s="22"/>
      <c r="E88" s="270" t="s">
        <v>26</v>
      </c>
      <c r="F88" s="24"/>
      <c r="G88" s="184">
        <f>경비집계표!G13</f>
        <v>197555</v>
      </c>
      <c r="H88" s="231"/>
      <c r="I88" s="184"/>
      <c r="J88" s="231"/>
      <c r="K88" s="276"/>
      <c r="L88" s="177"/>
      <c r="M88" s="464">
        <f>SUM(M82:M87)</f>
        <v>202038</v>
      </c>
      <c r="N88" s="463">
        <f>G88-M88</f>
        <v>-4483</v>
      </c>
    </row>
    <row r="89" spans="1:12" ht="19.5" customHeight="1">
      <c r="A89" s="697"/>
      <c r="B89" s="698"/>
      <c r="C89" s="705" t="s">
        <v>388</v>
      </c>
      <c r="D89" s="22"/>
      <c r="E89" s="24" t="s">
        <v>35</v>
      </c>
      <c r="F89" s="24"/>
      <c r="G89" s="184">
        <f>경비집계표!G14</f>
        <v>63000</v>
      </c>
      <c r="H89" s="231"/>
      <c r="I89" s="184"/>
      <c r="J89" s="231"/>
      <c r="K89" s="276"/>
      <c r="L89" s="177"/>
    </row>
    <row r="90" spans="1:12" ht="19.5" customHeight="1">
      <c r="A90" s="697"/>
      <c r="B90" s="698"/>
      <c r="C90" s="706"/>
      <c r="D90" s="22"/>
      <c r="E90" s="270" t="s">
        <v>26</v>
      </c>
      <c r="F90" s="24"/>
      <c r="G90" s="184">
        <f>경비집계표!G15</f>
        <v>63000</v>
      </c>
      <c r="H90" s="231"/>
      <c r="I90" s="184"/>
      <c r="J90" s="231"/>
      <c r="K90" s="276"/>
      <c r="L90" s="177"/>
    </row>
    <row r="91" spans="1:12" ht="19.5" customHeight="1">
      <c r="A91" s="697"/>
      <c r="B91" s="698"/>
      <c r="C91" s="701" t="s">
        <v>327</v>
      </c>
      <c r="D91" s="22"/>
      <c r="E91" s="663" t="s">
        <v>555</v>
      </c>
      <c r="F91" s="24"/>
      <c r="G91" s="184">
        <f>경비집계표!G16</f>
        <v>0</v>
      </c>
      <c r="H91" s="231"/>
      <c r="I91" s="184"/>
      <c r="J91" s="231"/>
      <c r="K91" s="276"/>
      <c r="L91" s="177"/>
    </row>
    <row r="92" spans="1:12" ht="19.5" customHeight="1">
      <c r="A92" s="697"/>
      <c r="B92" s="698"/>
      <c r="C92" s="702"/>
      <c r="D92" s="22"/>
      <c r="E92" s="24" t="s">
        <v>328</v>
      </c>
      <c r="F92" s="24"/>
      <c r="G92" s="184">
        <f>경비집계표!G17</f>
        <v>8333</v>
      </c>
      <c r="H92" s="231"/>
      <c r="I92" s="184"/>
      <c r="J92" s="231"/>
      <c r="K92" s="276"/>
      <c r="L92" s="177"/>
    </row>
    <row r="93" spans="1:12" ht="19.5" customHeight="1">
      <c r="A93" s="699"/>
      <c r="B93" s="700"/>
      <c r="C93" s="692" t="s">
        <v>29</v>
      </c>
      <c r="D93" s="690"/>
      <c r="E93" s="690"/>
      <c r="F93" s="691"/>
      <c r="G93" s="184">
        <f>경비집계표!G18</f>
        <v>268888</v>
      </c>
      <c r="H93" s="231"/>
      <c r="I93" s="272">
        <f>TRUNC(G93/$G$97*100,2)</f>
        <v>10.32</v>
      </c>
      <c r="J93" s="231"/>
      <c r="K93" s="276"/>
      <c r="L93" s="177" t="str">
        <f>경비집계표!$A$1&amp;"참조"</f>
        <v>&lt; 표 : 11 &gt; 참조</v>
      </c>
    </row>
    <row r="94" spans="1:12" ht="19.5" customHeight="1">
      <c r="A94" s="176"/>
      <c r="B94" s="693" t="s">
        <v>212</v>
      </c>
      <c r="C94" s="693"/>
      <c r="D94" s="693"/>
      <c r="E94" s="693"/>
      <c r="F94" s="274"/>
      <c r="G94" s="184">
        <f>SUM(G81,G93)</f>
        <v>2363125</v>
      </c>
      <c r="H94" s="231"/>
      <c r="I94" s="272">
        <f>TRUNC(G94/$G$97*100,2)</f>
        <v>90.73</v>
      </c>
      <c r="J94" s="231"/>
      <c r="K94" s="276"/>
      <c r="L94" s="466" t="s">
        <v>351</v>
      </c>
    </row>
    <row r="95" spans="1:12" ht="19.5" customHeight="1">
      <c r="A95" s="271"/>
      <c r="B95" s="694" t="s">
        <v>564</v>
      </c>
      <c r="C95" s="693"/>
      <c r="D95" s="693"/>
      <c r="E95" s="693"/>
      <c r="F95" s="275"/>
      <c r="G95" s="184">
        <f>TRUNC(G94*3%,0)</f>
        <v>70893</v>
      </c>
      <c r="H95" s="231"/>
      <c r="I95" s="272">
        <f>TRUNC(G95/$G$97*100,2)</f>
        <v>2.72</v>
      </c>
      <c r="J95" s="231"/>
      <c r="K95" s="276"/>
      <c r="L95" s="671" t="s">
        <v>566</v>
      </c>
    </row>
    <row r="96" spans="1:12" ht="19.5" customHeight="1">
      <c r="A96" s="271"/>
      <c r="B96" s="694" t="s">
        <v>565</v>
      </c>
      <c r="C96" s="693"/>
      <c r="D96" s="693"/>
      <c r="E96" s="693"/>
      <c r="F96" s="275"/>
      <c r="G96" s="184">
        <f>TRUNC(SUM(G81,G93,G95)*7%,0)</f>
        <v>170381</v>
      </c>
      <c r="H96" s="231"/>
      <c r="I96" s="272">
        <f>TRUNC(G96/$G$97*100,2)</f>
        <v>6.54</v>
      </c>
      <c r="J96" s="231"/>
      <c r="K96" s="276"/>
      <c r="L96" s="671" t="s">
        <v>567</v>
      </c>
    </row>
    <row r="97" spans="1:12" ht="19.5" customHeight="1">
      <c r="A97" s="271"/>
      <c r="B97" s="693" t="s">
        <v>385</v>
      </c>
      <c r="C97" s="693"/>
      <c r="D97" s="693"/>
      <c r="E97" s="693"/>
      <c r="F97" s="275"/>
      <c r="G97" s="184">
        <f>SUM(G94:G96)</f>
        <v>2604399</v>
      </c>
      <c r="H97" s="231"/>
      <c r="I97" s="272">
        <f>TRUNC(G97/$G$97*100,2)</f>
        <v>100</v>
      </c>
      <c r="J97" s="231"/>
      <c r="K97" s="276"/>
      <c r="L97" s="466" t="s">
        <v>341</v>
      </c>
    </row>
    <row r="98" spans="1:12" ht="19.5" customHeight="1">
      <c r="A98" s="271"/>
      <c r="B98" s="703" t="s">
        <v>381</v>
      </c>
      <c r="C98" s="703"/>
      <c r="D98" s="703"/>
      <c r="E98" s="703"/>
      <c r="F98" s="508"/>
      <c r="G98" s="460">
        <f>TRUNC(G97*10%)</f>
        <v>260439</v>
      </c>
      <c r="H98" s="505"/>
      <c r="I98" s="507"/>
      <c r="J98" s="505"/>
      <c r="K98" s="506"/>
      <c r="L98" s="466" t="s">
        <v>382</v>
      </c>
    </row>
    <row r="99" spans="1:12" ht="19.5" customHeight="1">
      <c r="A99" s="271"/>
      <c r="B99" s="703" t="s">
        <v>383</v>
      </c>
      <c r="C99" s="703"/>
      <c r="D99" s="703"/>
      <c r="E99" s="703"/>
      <c r="F99" s="508"/>
      <c r="G99" s="460">
        <f>SUM(G97:G98)</f>
        <v>2864838</v>
      </c>
      <c r="H99" s="505"/>
      <c r="I99" s="507"/>
      <c r="J99" s="505"/>
      <c r="K99" s="506"/>
      <c r="L99" s="466" t="s">
        <v>384</v>
      </c>
    </row>
    <row r="100" spans="1:15" ht="19.5" customHeight="1">
      <c r="A100" s="223"/>
      <c r="B100" s="223"/>
      <c r="C100" s="223"/>
      <c r="D100" s="223"/>
      <c r="E100" s="152"/>
      <c r="F100" s="152"/>
      <c r="G100" s="152"/>
      <c r="I100" s="33"/>
      <c r="L100" s="33"/>
      <c r="M100" s="33"/>
      <c r="N100" s="438"/>
      <c r="O100" s="438"/>
    </row>
    <row r="101" spans="1:15" s="168" customFormat="1" ht="39.75" customHeight="1">
      <c r="A101" s="165" t="s">
        <v>394</v>
      </c>
      <c r="B101" s="166"/>
      <c r="C101" s="224"/>
      <c r="D101" s="224"/>
      <c r="E101" s="225"/>
      <c r="F101" s="225"/>
      <c r="G101" s="167"/>
      <c r="H101" s="153"/>
      <c r="I101" s="29"/>
      <c r="J101" s="30"/>
      <c r="K101" s="29"/>
      <c r="L101" s="165"/>
      <c r="N101" s="439"/>
      <c r="O101" s="439"/>
    </row>
    <row r="102" spans="1:15" ht="19.5" customHeight="1">
      <c r="A102" s="260"/>
      <c r="B102" s="261"/>
      <c r="C102" s="260"/>
      <c r="D102" s="260"/>
      <c r="E102" s="261"/>
      <c r="F102" s="261"/>
      <c r="G102" s="154"/>
      <c r="H102" s="262"/>
      <c r="I102" s="31"/>
      <c r="J102" s="32"/>
      <c r="K102" s="31"/>
      <c r="L102" s="182"/>
      <c r="O102" s="439"/>
    </row>
    <row r="103" spans="1:15" ht="19.5" customHeight="1">
      <c r="A103" s="169" t="str">
        <f>"구 분 : "&amp;월기본급!B12&amp;"                       직종명 : "&amp;월기본급!F12&amp;""</f>
        <v>구 분 : 기계기사                       직종명 : 기계정비공</v>
      </c>
      <c r="B103" s="170"/>
      <c r="C103" s="169"/>
      <c r="D103" s="169"/>
      <c r="G103" s="171"/>
      <c r="H103" s="171"/>
      <c r="I103" s="171"/>
      <c r="L103" s="263" t="s">
        <v>18</v>
      </c>
      <c r="O103" s="439"/>
    </row>
    <row r="104" spans="1:15" ht="19.5" customHeight="1">
      <c r="A104" s="264"/>
      <c r="B104" s="265"/>
      <c r="C104" s="265"/>
      <c r="D104" s="265"/>
      <c r="E104" s="266" t="s">
        <v>19</v>
      </c>
      <c r="F104" s="266"/>
      <c r="G104" s="708" t="s">
        <v>20</v>
      </c>
      <c r="H104" s="709"/>
      <c r="I104" s="708" t="s">
        <v>21</v>
      </c>
      <c r="J104" s="709"/>
      <c r="K104" s="277"/>
      <c r="L104" s="709" t="s">
        <v>22</v>
      </c>
      <c r="O104" s="439"/>
    </row>
    <row r="105" spans="1:12" ht="19.5" customHeight="1">
      <c r="A105" s="267" t="s">
        <v>23</v>
      </c>
      <c r="B105" s="273"/>
      <c r="C105" s="268"/>
      <c r="D105" s="268"/>
      <c r="E105" s="268"/>
      <c r="F105" s="268"/>
      <c r="G105" s="710"/>
      <c r="H105" s="711"/>
      <c r="I105" s="710"/>
      <c r="J105" s="711"/>
      <c r="K105" s="278"/>
      <c r="L105" s="711"/>
    </row>
    <row r="106" spans="1:12" ht="19.5" customHeight="1">
      <c r="A106" s="695" t="s">
        <v>245</v>
      </c>
      <c r="B106" s="696"/>
      <c r="C106" s="692" t="s">
        <v>24</v>
      </c>
      <c r="D106" s="690"/>
      <c r="E106" s="690"/>
      <c r="F106" s="691"/>
      <c r="G106" s="184">
        <f>단위당인건비!E90</f>
        <v>1320312</v>
      </c>
      <c r="H106" s="231"/>
      <c r="I106" s="184"/>
      <c r="J106" s="231"/>
      <c r="K106" s="276"/>
      <c r="L106" s="21"/>
    </row>
    <row r="107" spans="1:12" ht="19.5" customHeight="1">
      <c r="A107" s="697"/>
      <c r="B107" s="698"/>
      <c r="C107" s="701" t="s">
        <v>323</v>
      </c>
      <c r="D107" s="22"/>
      <c r="E107" s="24" t="s">
        <v>1</v>
      </c>
      <c r="F107" s="22"/>
      <c r="G107" s="184">
        <f>단위당인건비!E91</f>
        <v>6854</v>
      </c>
      <c r="H107" s="231"/>
      <c r="I107" s="184"/>
      <c r="J107" s="231"/>
      <c r="K107" s="276"/>
      <c r="L107" s="21"/>
    </row>
    <row r="108" spans="1:12" ht="19.5" customHeight="1">
      <c r="A108" s="697"/>
      <c r="B108" s="698"/>
      <c r="C108" s="704"/>
      <c r="D108" s="22"/>
      <c r="E108" s="24" t="s">
        <v>287</v>
      </c>
      <c r="F108" s="269"/>
      <c r="G108" s="184">
        <f>단위당인건비!E92</f>
        <v>75807</v>
      </c>
      <c r="H108" s="231"/>
      <c r="I108" s="184"/>
      <c r="J108" s="231"/>
      <c r="K108" s="276"/>
      <c r="L108" s="21"/>
    </row>
    <row r="109" spans="1:12" ht="19.5" customHeight="1">
      <c r="A109" s="697"/>
      <c r="B109" s="698"/>
      <c r="C109" s="704"/>
      <c r="D109" s="22"/>
      <c r="E109" s="24" t="s">
        <v>6</v>
      </c>
      <c r="F109" s="269"/>
      <c r="G109" s="184">
        <f>단위당인건비!E93</f>
        <v>63172</v>
      </c>
      <c r="H109" s="231"/>
      <c r="I109" s="184"/>
      <c r="J109" s="231"/>
      <c r="K109" s="276"/>
      <c r="L109" s="21"/>
    </row>
    <row r="110" spans="1:12" ht="19.5" customHeight="1">
      <c r="A110" s="697"/>
      <c r="B110" s="698"/>
      <c r="C110" s="704"/>
      <c r="D110" s="22"/>
      <c r="E110" s="24" t="s">
        <v>325</v>
      </c>
      <c r="F110" s="269"/>
      <c r="G110" s="184">
        <f>단위당인건비!E94</f>
        <v>0</v>
      </c>
      <c r="H110" s="231"/>
      <c r="I110" s="184"/>
      <c r="J110" s="231"/>
      <c r="K110" s="276"/>
      <c r="L110" s="21"/>
    </row>
    <row r="111" spans="1:12" ht="19.5" customHeight="1">
      <c r="A111" s="697"/>
      <c r="B111" s="698"/>
      <c r="C111" s="702"/>
      <c r="D111" s="22"/>
      <c r="E111" s="270" t="s">
        <v>26</v>
      </c>
      <c r="F111" s="270"/>
      <c r="G111" s="184">
        <f>단위당인건비!E95</f>
        <v>145833</v>
      </c>
      <c r="H111" s="231"/>
      <c r="I111" s="244"/>
      <c r="J111" s="231"/>
      <c r="K111" s="276"/>
      <c r="L111" s="177"/>
    </row>
    <row r="112" spans="1:12" ht="19.5" customHeight="1">
      <c r="A112" s="697"/>
      <c r="B112" s="698"/>
      <c r="C112" s="692" t="s">
        <v>27</v>
      </c>
      <c r="D112" s="690"/>
      <c r="E112" s="690"/>
      <c r="F112" s="691"/>
      <c r="G112" s="184">
        <f>단위당인건비!E96</f>
        <v>440104</v>
      </c>
      <c r="H112" s="231"/>
      <c r="I112" s="244"/>
      <c r="J112" s="231"/>
      <c r="K112" s="276"/>
      <c r="L112" s="177"/>
    </row>
    <row r="113" spans="1:12" ht="19.5" customHeight="1">
      <c r="A113" s="697"/>
      <c r="B113" s="698"/>
      <c r="C113" s="692" t="s">
        <v>28</v>
      </c>
      <c r="D113" s="690"/>
      <c r="E113" s="690"/>
      <c r="F113" s="691"/>
      <c r="G113" s="184">
        <f>단위당인건비!E97</f>
        <v>158854</v>
      </c>
      <c r="H113" s="231"/>
      <c r="I113" s="244"/>
      <c r="J113" s="231"/>
      <c r="K113" s="276"/>
      <c r="L113" s="177"/>
    </row>
    <row r="114" spans="1:12" ht="19.5" customHeight="1">
      <c r="A114" s="699"/>
      <c r="B114" s="700"/>
      <c r="C114" s="692" t="s">
        <v>29</v>
      </c>
      <c r="D114" s="690"/>
      <c r="E114" s="690"/>
      <c r="F114" s="691"/>
      <c r="G114" s="184">
        <f>단위당인건비!E98</f>
        <v>2065103</v>
      </c>
      <c r="H114" s="231"/>
      <c r="I114" s="272">
        <f>TRUNC(G114/$G$130*100,2)</f>
        <v>80.37</v>
      </c>
      <c r="J114" s="231"/>
      <c r="K114" s="276"/>
      <c r="L114" s="177" t="str">
        <f>단위당인건비!$A$1&amp;"참조"</f>
        <v>&lt; 표 : 5 &gt; 참조</v>
      </c>
    </row>
    <row r="115" spans="1:14" ht="19.5" customHeight="1">
      <c r="A115" s="695" t="s">
        <v>256</v>
      </c>
      <c r="B115" s="696"/>
      <c r="C115" s="701" t="s">
        <v>5</v>
      </c>
      <c r="D115" s="22"/>
      <c r="E115" s="24" t="s">
        <v>30</v>
      </c>
      <c r="F115" s="24"/>
      <c r="G115" s="184">
        <f>경비집계표!H7</f>
        <v>40031</v>
      </c>
      <c r="H115" s="231"/>
      <c r="I115" s="184"/>
      <c r="J115" s="231"/>
      <c r="K115" s="276"/>
      <c r="L115" s="177"/>
      <c r="M115" s="463">
        <f>TRUNC(SUM(G106+G111+G112)*2.1%)</f>
        <v>40031</v>
      </c>
      <c r="N115" s="463">
        <f aca="true" t="shared" si="3" ref="N115:N120">G115-M115</f>
        <v>0</v>
      </c>
    </row>
    <row r="116" spans="1:14" ht="19.5" customHeight="1">
      <c r="A116" s="697"/>
      <c r="B116" s="698"/>
      <c r="C116" s="704"/>
      <c r="D116" s="22"/>
      <c r="E116" s="24" t="s">
        <v>31</v>
      </c>
      <c r="F116" s="24"/>
      <c r="G116" s="184">
        <f>경비집계표!H8</f>
        <v>85781</v>
      </c>
      <c r="H116" s="231"/>
      <c r="I116" s="184"/>
      <c r="J116" s="231"/>
      <c r="K116" s="276"/>
      <c r="L116" s="177"/>
      <c r="M116" s="463">
        <f>TRUNC(SUM(G106+G111+G112)*4.5%)</f>
        <v>85781</v>
      </c>
      <c r="N116" s="463">
        <f t="shared" si="3"/>
        <v>0</v>
      </c>
    </row>
    <row r="117" spans="1:14" ht="19.5" customHeight="1">
      <c r="A117" s="697"/>
      <c r="B117" s="698"/>
      <c r="C117" s="704"/>
      <c r="D117" s="22"/>
      <c r="E117" s="24" t="s">
        <v>32</v>
      </c>
      <c r="F117" s="24"/>
      <c r="G117" s="184">
        <f>경비집계표!H9</f>
        <v>13343</v>
      </c>
      <c r="H117" s="231"/>
      <c r="I117" s="184"/>
      <c r="J117" s="231"/>
      <c r="K117" s="276"/>
      <c r="L117" s="177"/>
      <c r="M117" s="463">
        <f>TRUNC(SUM(G106+G111+G112)*1.15%)</f>
        <v>21921</v>
      </c>
      <c r="N117" s="463">
        <f t="shared" si="3"/>
        <v>-8578</v>
      </c>
    </row>
    <row r="118" spans="1:14" ht="19.5" customHeight="1">
      <c r="A118" s="697"/>
      <c r="B118" s="698"/>
      <c r="C118" s="704"/>
      <c r="D118" s="22"/>
      <c r="E118" s="24" t="s">
        <v>33</v>
      </c>
      <c r="F118" s="24"/>
      <c r="G118" s="184">
        <f>경비집계표!H10</f>
        <v>50801</v>
      </c>
      <c r="H118" s="231"/>
      <c r="I118" s="184"/>
      <c r="J118" s="231"/>
      <c r="K118" s="276"/>
      <c r="L118" s="177"/>
      <c r="M118" s="463">
        <f>TRUNC(SUM(G106+G111+G112)*2.54%)</f>
        <v>48418</v>
      </c>
      <c r="N118" s="463">
        <f t="shared" si="3"/>
        <v>2383</v>
      </c>
    </row>
    <row r="119" spans="1:14" ht="19.5" customHeight="1">
      <c r="A119" s="697"/>
      <c r="B119" s="698"/>
      <c r="C119" s="704"/>
      <c r="D119" s="22"/>
      <c r="E119" s="329" t="s">
        <v>322</v>
      </c>
      <c r="F119" s="24"/>
      <c r="G119" s="184">
        <f>경비집계표!H11</f>
        <v>3327</v>
      </c>
      <c r="H119" s="231"/>
      <c r="I119" s="184"/>
      <c r="J119" s="231"/>
      <c r="K119" s="276"/>
      <c r="L119" s="177"/>
      <c r="M119" s="463">
        <f>TRUNC(M118*4.78%)</f>
        <v>2314</v>
      </c>
      <c r="N119" s="463">
        <f t="shared" si="3"/>
        <v>1013</v>
      </c>
    </row>
    <row r="120" spans="1:14" ht="19.5" customHeight="1">
      <c r="A120" s="697"/>
      <c r="B120" s="698"/>
      <c r="C120" s="704"/>
      <c r="D120" s="22"/>
      <c r="E120" s="24" t="s">
        <v>34</v>
      </c>
      <c r="F120" s="24"/>
      <c r="G120" s="184">
        <f>경비집계표!H12</f>
        <v>1524</v>
      </c>
      <c r="H120" s="231"/>
      <c r="I120" s="184"/>
      <c r="J120" s="231"/>
      <c r="K120" s="276"/>
      <c r="L120" s="177"/>
      <c r="M120" s="463">
        <f>TRUNC(SUM(G106+G111+G112)*0.04%)</f>
        <v>762</v>
      </c>
      <c r="N120" s="463">
        <f t="shared" si="3"/>
        <v>762</v>
      </c>
    </row>
    <row r="121" spans="1:14" ht="19.5" customHeight="1">
      <c r="A121" s="697"/>
      <c r="B121" s="698"/>
      <c r="C121" s="702"/>
      <c r="D121" s="22"/>
      <c r="E121" s="270" t="s">
        <v>26</v>
      </c>
      <c r="F121" s="24"/>
      <c r="G121" s="184">
        <f>경비집계표!H13</f>
        <v>194807</v>
      </c>
      <c r="H121" s="231"/>
      <c r="I121" s="184"/>
      <c r="J121" s="231"/>
      <c r="K121" s="276"/>
      <c r="L121" s="177"/>
      <c r="M121" s="464">
        <f>SUM(M115:M120)</f>
        <v>199227</v>
      </c>
      <c r="N121" s="463">
        <f>G121-M121</f>
        <v>-4420</v>
      </c>
    </row>
    <row r="122" spans="1:12" ht="19.5" customHeight="1">
      <c r="A122" s="697"/>
      <c r="B122" s="698"/>
      <c r="C122" s="705" t="s">
        <v>388</v>
      </c>
      <c r="D122" s="22"/>
      <c r="E122" s="24" t="s">
        <v>35</v>
      </c>
      <c r="F122" s="24"/>
      <c r="G122" s="184">
        <f>경비집계표!H14</f>
        <v>63000</v>
      </c>
      <c r="H122" s="231"/>
      <c r="I122" s="184"/>
      <c r="J122" s="231"/>
      <c r="K122" s="276"/>
      <c r="L122" s="177"/>
    </row>
    <row r="123" spans="1:12" ht="19.5" customHeight="1">
      <c r="A123" s="697"/>
      <c r="B123" s="698"/>
      <c r="C123" s="706"/>
      <c r="D123" s="22"/>
      <c r="E123" s="270" t="s">
        <v>26</v>
      </c>
      <c r="F123" s="24"/>
      <c r="G123" s="184">
        <f>경비집계표!H15</f>
        <v>63000</v>
      </c>
      <c r="H123" s="231"/>
      <c r="I123" s="184"/>
      <c r="J123" s="231"/>
      <c r="K123" s="276"/>
      <c r="L123" s="177"/>
    </row>
    <row r="124" spans="1:12" ht="19.5" customHeight="1">
      <c r="A124" s="697"/>
      <c r="B124" s="698"/>
      <c r="C124" s="701" t="s">
        <v>327</v>
      </c>
      <c r="D124" s="22"/>
      <c r="E124" s="663" t="s">
        <v>555</v>
      </c>
      <c r="F124" s="24"/>
      <c r="G124" s="184">
        <f>경비집계표!H16</f>
        <v>0</v>
      </c>
      <c r="H124" s="231"/>
      <c r="I124" s="184"/>
      <c r="J124" s="231"/>
      <c r="K124" s="276"/>
      <c r="L124" s="177"/>
    </row>
    <row r="125" spans="1:12" ht="19.5" customHeight="1">
      <c r="A125" s="697"/>
      <c r="B125" s="698"/>
      <c r="C125" s="702"/>
      <c r="D125" s="22"/>
      <c r="E125" s="24" t="s">
        <v>328</v>
      </c>
      <c r="F125" s="24"/>
      <c r="G125" s="184">
        <f>경비집계표!H17</f>
        <v>8333</v>
      </c>
      <c r="H125" s="231"/>
      <c r="I125" s="184"/>
      <c r="J125" s="231"/>
      <c r="K125" s="276"/>
      <c r="L125" s="177"/>
    </row>
    <row r="126" spans="1:12" ht="19.5" customHeight="1">
      <c r="A126" s="699"/>
      <c r="B126" s="700"/>
      <c r="C126" s="692" t="s">
        <v>29</v>
      </c>
      <c r="D126" s="690"/>
      <c r="E126" s="690"/>
      <c r="F126" s="691"/>
      <c r="G126" s="184">
        <f>경비집계표!H18</f>
        <v>266140</v>
      </c>
      <c r="H126" s="231"/>
      <c r="I126" s="272">
        <f>TRUNC(G126/$G$130*100,2)</f>
        <v>10.35</v>
      </c>
      <c r="J126" s="231"/>
      <c r="K126" s="276"/>
      <c r="L126" s="177" t="str">
        <f>경비집계표!$A$1&amp;"참조"</f>
        <v>&lt; 표 : 11 &gt; 참조</v>
      </c>
    </row>
    <row r="127" spans="1:12" ht="19.5" customHeight="1">
      <c r="A127" s="176"/>
      <c r="B127" s="693" t="s">
        <v>212</v>
      </c>
      <c r="C127" s="693"/>
      <c r="D127" s="693"/>
      <c r="E127" s="693"/>
      <c r="F127" s="274"/>
      <c r="G127" s="184">
        <f>SUM(G114,G126)</f>
        <v>2331243</v>
      </c>
      <c r="H127" s="231"/>
      <c r="I127" s="272">
        <f>TRUNC(G127/$G$130*100,2)</f>
        <v>90.73</v>
      </c>
      <c r="J127" s="231"/>
      <c r="K127" s="276"/>
      <c r="L127" s="466" t="s">
        <v>351</v>
      </c>
    </row>
    <row r="128" spans="1:12" ht="19.5" customHeight="1">
      <c r="A128" s="271"/>
      <c r="B128" s="694" t="s">
        <v>564</v>
      </c>
      <c r="C128" s="693"/>
      <c r="D128" s="693"/>
      <c r="E128" s="693"/>
      <c r="F128" s="275"/>
      <c r="G128" s="184">
        <f>TRUNC(G127*3%,0)</f>
        <v>69937</v>
      </c>
      <c r="H128" s="231"/>
      <c r="I128" s="272">
        <f>TRUNC(G128/$G$130*100,2)</f>
        <v>2.72</v>
      </c>
      <c r="J128" s="231"/>
      <c r="K128" s="276"/>
      <c r="L128" s="671" t="s">
        <v>566</v>
      </c>
    </row>
    <row r="129" spans="1:12" ht="19.5" customHeight="1">
      <c r="A129" s="271"/>
      <c r="B129" s="694" t="s">
        <v>565</v>
      </c>
      <c r="C129" s="693"/>
      <c r="D129" s="693"/>
      <c r="E129" s="693"/>
      <c r="F129" s="275"/>
      <c r="G129" s="184">
        <f>TRUNC(SUM(G114,G126,G128)*7%,0)</f>
        <v>168082</v>
      </c>
      <c r="H129" s="231"/>
      <c r="I129" s="272">
        <f>TRUNC(G129/$G$130*100,2)</f>
        <v>6.54</v>
      </c>
      <c r="J129" s="231"/>
      <c r="K129" s="276"/>
      <c r="L129" s="671" t="s">
        <v>567</v>
      </c>
    </row>
    <row r="130" spans="1:12" ht="19.5" customHeight="1">
      <c r="A130" s="271"/>
      <c r="B130" s="693" t="s">
        <v>385</v>
      </c>
      <c r="C130" s="693"/>
      <c r="D130" s="693"/>
      <c r="E130" s="693"/>
      <c r="F130" s="275"/>
      <c r="G130" s="184">
        <f>SUM(G127:G129)</f>
        <v>2569262</v>
      </c>
      <c r="H130" s="231"/>
      <c r="I130" s="272">
        <f>TRUNC(G130/$G$130*100,2)</f>
        <v>100</v>
      </c>
      <c r="J130" s="231"/>
      <c r="K130" s="276"/>
      <c r="L130" s="466" t="s">
        <v>343</v>
      </c>
    </row>
    <row r="131" spans="1:12" ht="19.5" customHeight="1">
      <c r="A131" s="271"/>
      <c r="B131" s="703" t="s">
        <v>381</v>
      </c>
      <c r="C131" s="703"/>
      <c r="D131" s="703"/>
      <c r="E131" s="703"/>
      <c r="F131" s="508"/>
      <c r="G131" s="460">
        <f>TRUNC(G130*10%)</f>
        <v>256926</v>
      </c>
      <c r="H131" s="505"/>
      <c r="I131" s="507"/>
      <c r="J131" s="505"/>
      <c r="K131" s="506"/>
      <c r="L131" s="466" t="s">
        <v>382</v>
      </c>
    </row>
    <row r="132" spans="1:12" ht="19.5" customHeight="1">
      <c r="A132" s="271"/>
      <c r="B132" s="703" t="s">
        <v>383</v>
      </c>
      <c r="C132" s="703"/>
      <c r="D132" s="703"/>
      <c r="E132" s="703"/>
      <c r="F132" s="508"/>
      <c r="G132" s="460">
        <f>SUM(G130:G131)</f>
        <v>2826188</v>
      </c>
      <c r="H132" s="505"/>
      <c r="I132" s="507"/>
      <c r="J132" s="505"/>
      <c r="K132" s="506"/>
      <c r="L132" s="466" t="s">
        <v>384</v>
      </c>
    </row>
    <row r="133" spans="1:15" ht="19.5" customHeight="1">
      <c r="A133" s="223"/>
      <c r="B133" s="223"/>
      <c r="C133" s="223"/>
      <c r="D133" s="223"/>
      <c r="E133" s="152"/>
      <c r="F133" s="152"/>
      <c r="G133" s="152"/>
      <c r="I133" s="33"/>
      <c r="L133" s="33"/>
      <c r="M133" s="33"/>
      <c r="N133" s="438"/>
      <c r="O133" s="438"/>
    </row>
    <row r="134" spans="1:15" s="168" customFormat="1" ht="39.75" customHeight="1">
      <c r="A134" s="165" t="s">
        <v>395</v>
      </c>
      <c r="B134" s="166"/>
      <c r="C134" s="224"/>
      <c r="D134" s="224"/>
      <c r="E134" s="225"/>
      <c r="F134" s="225"/>
      <c r="G134" s="167"/>
      <c r="H134" s="153"/>
      <c r="I134" s="29"/>
      <c r="J134" s="30"/>
      <c r="K134" s="29"/>
      <c r="L134" s="165"/>
      <c r="N134" s="439"/>
      <c r="O134" s="439"/>
    </row>
    <row r="135" spans="1:15" ht="19.5" customHeight="1">
      <c r="A135" s="260"/>
      <c r="B135" s="261"/>
      <c r="C135" s="260"/>
      <c r="D135" s="260"/>
      <c r="E135" s="261"/>
      <c r="F135" s="261"/>
      <c r="G135" s="154"/>
      <c r="H135" s="262"/>
      <c r="I135" s="31"/>
      <c r="J135" s="32"/>
      <c r="K135" s="31"/>
      <c r="L135" s="182"/>
      <c r="O135" s="439"/>
    </row>
    <row r="136" spans="1:15" ht="19.5" customHeight="1">
      <c r="A136" s="169" t="str">
        <f>"구 분 : "&amp;월기본급!B13&amp;"                       직종명 : "&amp;월기본급!F13&amp;""</f>
        <v>구 분 : 미화반장                       직종명 : 보통인부</v>
      </c>
      <c r="B136" s="170"/>
      <c r="C136" s="169"/>
      <c r="D136" s="169"/>
      <c r="G136" s="171"/>
      <c r="H136" s="171"/>
      <c r="I136" s="171"/>
      <c r="L136" s="263" t="s">
        <v>18</v>
      </c>
      <c r="O136" s="439"/>
    </row>
    <row r="137" spans="1:15" ht="19.5" customHeight="1">
      <c r="A137" s="264"/>
      <c r="B137" s="265"/>
      <c r="C137" s="265"/>
      <c r="D137" s="265"/>
      <c r="E137" s="266" t="s">
        <v>19</v>
      </c>
      <c r="F137" s="266"/>
      <c r="G137" s="708" t="s">
        <v>20</v>
      </c>
      <c r="H137" s="709"/>
      <c r="I137" s="708" t="s">
        <v>21</v>
      </c>
      <c r="J137" s="709"/>
      <c r="K137" s="277"/>
      <c r="L137" s="709" t="s">
        <v>22</v>
      </c>
      <c r="O137" s="439"/>
    </row>
    <row r="138" spans="1:12" ht="19.5" customHeight="1">
      <c r="A138" s="267" t="s">
        <v>23</v>
      </c>
      <c r="B138" s="273"/>
      <c r="C138" s="268"/>
      <c r="D138" s="268"/>
      <c r="E138" s="268"/>
      <c r="F138" s="268"/>
      <c r="G138" s="710"/>
      <c r="H138" s="711"/>
      <c r="I138" s="710"/>
      <c r="J138" s="711"/>
      <c r="K138" s="278"/>
      <c r="L138" s="711"/>
    </row>
    <row r="139" spans="1:12" ht="19.5" customHeight="1">
      <c r="A139" s="695" t="s">
        <v>245</v>
      </c>
      <c r="B139" s="696"/>
      <c r="C139" s="692" t="s">
        <v>24</v>
      </c>
      <c r="D139" s="690"/>
      <c r="E139" s="690"/>
      <c r="F139" s="691"/>
      <c r="G139" s="184">
        <f>단위당인건비!E111</f>
        <v>1038030</v>
      </c>
      <c r="H139" s="231"/>
      <c r="I139" s="184"/>
      <c r="J139" s="231"/>
      <c r="K139" s="276"/>
      <c r="L139" s="21"/>
    </row>
    <row r="140" spans="1:12" ht="19.5" customHeight="1">
      <c r="A140" s="697"/>
      <c r="B140" s="698"/>
      <c r="C140" s="701" t="s">
        <v>323</v>
      </c>
      <c r="D140" s="22"/>
      <c r="E140" s="24" t="s">
        <v>1</v>
      </c>
      <c r="F140" s="22"/>
      <c r="G140" s="184">
        <f>단위당인건비!E112</f>
        <v>5100</v>
      </c>
      <c r="H140" s="231"/>
      <c r="I140" s="184"/>
      <c r="J140" s="231"/>
      <c r="K140" s="276"/>
      <c r="L140" s="21"/>
    </row>
    <row r="141" spans="1:12" ht="19.5" customHeight="1">
      <c r="A141" s="697"/>
      <c r="B141" s="698"/>
      <c r="C141" s="704"/>
      <c r="D141" s="22"/>
      <c r="E141" s="24" t="s">
        <v>287</v>
      </c>
      <c r="F141" s="269"/>
      <c r="G141" s="184">
        <f>단위당인건비!E113</f>
        <v>59599</v>
      </c>
      <c r="H141" s="231"/>
      <c r="I141" s="184"/>
      <c r="J141" s="231"/>
      <c r="K141" s="276"/>
      <c r="L141" s="21"/>
    </row>
    <row r="142" spans="1:12" ht="19.5" customHeight="1">
      <c r="A142" s="697"/>
      <c r="B142" s="698"/>
      <c r="C142" s="704"/>
      <c r="D142" s="22"/>
      <c r="E142" s="24" t="s">
        <v>6</v>
      </c>
      <c r="F142" s="269"/>
      <c r="G142" s="184">
        <f>단위당인건비!E114</f>
        <v>49666</v>
      </c>
      <c r="H142" s="231"/>
      <c r="I142" s="184"/>
      <c r="J142" s="231"/>
      <c r="K142" s="276"/>
      <c r="L142" s="21"/>
    </row>
    <row r="143" spans="1:12" ht="19.5" customHeight="1">
      <c r="A143" s="697"/>
      <c r="B143" s="698"/>
      <c r="C143" s="704"/>
      <c r="D143" s="22"/>
      <c r="E143" s="24" t="s">
        <v>325</v>
      </c>
      <c r="F143" s="269"/>
      <c r="G143" s="184">
        <f>단위당인건비!E115</f>
        <v>0</v>
      </c>
      <c r="H143" s="231"/>
      <c r="I143" s="184"/>
      <c r="J143" s="231"/>
      <c r="K143" s="276"/>
      <c r="L143" s="21"/>
    </row>
    <row r="144" spans="1:12" ht="19.5" customHeight="1">
      <c r="A144" s="697"/>
      <c r="B144" s="698"/>
      <c r="C144" s="702"/>
      <c r="D144" s="22"/>
      <c r="E144" s="270" t="s">
        <v>26</v>
      </c>
      <c r="F144" s="270"/>
      <c r="G144" s="184">
        <f>단위당인건비!E116</f>
        <v>114365</v>
      </c>
      <c r="H144" s="231"/>
      <c r="I144" s="244"/>
      <c r="J144" s="231"/>
      <c r="K144" s="276"/>
      <c r="L144" s="177"/>
    </row>
    <row r="145" spans="1:12" ht="19.5" customHeight="1">
      <c r="A145" s="697"/>
      <c r="B145" s="698"/>
      <c r="C145" s="692" t="s">
        <v>27</v>
      </c>
      <c r="D145" s="690"/>
      <c r="E145" s="690"/>
      <c r="F145" s="691"/>
      <c r="G145" s="184">
        <f>단위당인건비!E117</f>
        <v>346010</v>
      </c>
      <c r="H145" s="231"/>
      <c r="I145" s="244"/>
      <c r="J145" s="231"/>
      <c r="K145" s="276"/>
      <c r="L145" s="177"/>
    </row>
    <row r="146" spans="1:12" ht="19.5" customHeight="1">
      <c r="A146" s="697"/>
      <c r="B146" s="698"/>
      <c r="C146" s="692" t="s">
        <v>28</v>
      </c>
      <c r="D146" s="690"/>
      <c r="E146" s="690"/>
      <c r="F146" s="691"/>
      <c r="G146" s="184">
        <f>단위당인건비!E118</f>
        <v>124867</v>
      </c>
      <c r="H146" s="231"/>
      <c r="I146" s="244"/>
      <c r="J146" s="231"/>
      <c r="K146" s="276"/>
      <c r="L146" s="177"/>
    </row>
    <row r="147" spans="1:12" ht="19.5" customHeight="1">
      <c r="A147" s="699"/>
      <c r="B147" s="700"/>
      <c r="C147" s="692" t="s">
        <v>29</v>
      </c>
      <c r="D147" s="690"/>
      <c r="E147" s="690"/>
      <c r="F147" s="691"/>
      <c r="G147" s="184">
        <f>단위당인건비!E119</f>
        <v>1623272</v>
      </c>
      <c r="H147" s="231"/>
      <c r="I147" s="272">
        <f>TRUNC(G147/$G$163*100,2)</f>
        <v>80.07</v>
      </c>
      <c r="J147" s="231"/>
      <c r="K147" s="276"/>
      <c r="L147" s="177" t="str">
        <f>단위당인건비!$A$1&amp;"참조"</f>
        <v>&lt; 표 : 5 &gt; 참조</v>
      </c>
    </row>
    <row r="148" spans="1:14" ht="19.5" customHeight="1">
      <c r="A148" s="695" t="s">
        <v>256</v>
      </c>
      <c r="B148" s="696"/>
      <c r="C148" s="701" t="s">
        <v>5</v>
      </c>
      <c r="D148" s="22"/>
      <c r="E148" s="24" t="s">
        <v>30</v>
      </c>
      <c r="F148" s="24"/>
      <c r="G148" s="184">
        <f>경비집계표!E29</f>
        <v>31466</v>
      </c>
      <c r="H148" s="231"/>
      <c r="I148" s="184"/>
      <c r="J148" s="231"/>
      <c r="K148" s="276"/>
      <c r="L148" s="177"/>
      <c r="M148" s="463">
        <f>TRUNC(SUM(G139+G144+G145)*2.1%)</f>
        <v>31466</v>
      </c>
      <c r="N148" s="463">
        <f aca="true" t="shared" si="4" ref="N148:N153">G148-M148</f>
        <v>0</v>
      </c>
    </row>
    <row r="149" spans="1:14" ht="19.5" customHeight="1">
      <c r="A149" s="697"/>
      <c r="B149" s="698"/>
      <c r="C149" s="704"/>
      <c r="D149" s="22"/>
      <c r="E149" s="24" t="s">
        <v>31</v>
      </c>
      <c r="F149" s="24"/>
      <c r="G149" s="184">
        <f>경비집계표!E30</f>
        <v>67428</v>
      </c>
      <c r="H149" s="231"/>
      <c r="I149" s="184"/>
      <c r="J149" s="231"/>
      <c r="K149" s="276"/>
      <c r="L149" s="177"/>
      <c r="M149" s="463">
        <f>TRUNC(SUM(G139+G144+G145)*4.5%)</f>
        <v>67428</v>
      </c>
      <c r="N149" s="463">
        <f t="shared" si="4"/>
        <v>0</v>
      </c>
    </row>
    <row r="150" spans="1:14" ht="19.5" customHeight="1">
      <c r="A150" s="697"/>
      <c r="B150" s="698"/>
      <c r="C150" s="704"/>
      <c r="D150" s="22"/>
      <c r="E150" s="24" t="s">
        <v>32</v>
      </c>
      <c r="F150" s="24"/>
      <c r="G150" s="184">
        <f>경비집계표!E31</f>
        <v>10488</v>
      </c>
      <c r="H150" s="231"/>
      <c r="I150" s="184"/>
      <c r="J150" s="231"/>
      <c r="K150" s="276"/>
      <c r="L150" s="177"/>
      <c r="M150" s="463">
        <f>TRUNC(SUM(G139+G144+G145)*1.15%)</f>
        <v>17231</v>
      </c>
      <c r="N150" s="463">
        <f t="shared" si="4"/>
        <v>-6743</v>
      </c>
    </row>
    <row r="151" spans="1:14" ht="19.5" customHeight="1">
      <c r="A151" s="697"/>
      <c r="B151" s="698"/>
      <c r="C151" s="704"/>
      <c r="D151" s="22"/>
      <c r="E151" s="24" t="s">
        <v>33</v>
      </c>
      <c r="F151" s="24"/>
      <c r="G151" s="184">
        <f>경비집계표!E32</f>
        <v>39932</v>
      </c>
      <c r="H151" s="231"/>
      <c r="I151" s="184"/>
      <c r="J151" s="231"/>
      <c r="K151" s="276"/>
      <c r="L151" s="177"/>
      <c r="M151" s="463">
        <f>TRUNC(SUM(G139+G144+G145)*2.54%)</f>
        <v>38059</v>
      </c>
      <c r="N151" s="463">
        <f t="shared" si="4"/>
        <v>1873</v>
      </c>
    </row>
    <row r="152" spans="1:14" ht="19.5" customHeight="1">
      <c r="A152" s="697"/>
      <c r="B152" s="698"/>
      <c r="C152" s="704"/>
      <c r="D152" s="22"/>
      <c r="E152" s="329" t="s">
        <v>322</v>
      </c>
      <c r="F152" s="24"/>
      <c r="G152" s="184">
        <f>경비집계표!E33</f>
        <v>2615</v>
      </c>
      <c r="H152" s="231"/>
      <c r="I152" s="184"/>
      <c r="J152" s="231"/>
      <c r="K152" s="276"/>
      <c r="L152" s="177"/>
      <c r="M152" s="463">
        <f>TRUNC(M151*4.78%)</f>
        <v>1819</v>
      </c>
      <c r="N152" s="463">
        <f t="shared" si="4"/>
        <v>796</v>
      </c>
    </row>
    <row r="153" spans="1:14" ht="19.5" customHeight="1">
      <c r="A153" s="697"/>
      <c r="B153" s="698"/>
      <c r="C153" s="704"/>
      <c r="D153" s="22"/>
      <c r="E153" s="24" t="s">
        <v>34</v>
      </c>
      <c r="F153" s="24"/>
      <c r="G153" s="184">
        <f>경비집계표!E34</f>
        <v>1198</v>
      </c>
      <c r="H153" s="231"/>
      <c r="I153" s="184"/>
      <c r="J153" s="231"/>
      <c r="K153" s="276"/>
      <c r="L153" s="177"/>
      <c r="M153" s="463">
        <f>TRUNC(SUM(G139+G144+G145)*0.04%)</f>
        <v>599</v>
      </c>
      <c r="N153" s="463">
        <f t="shared" si="4"/>
        <v>599</v>
      </c>
    </row>
    <row r="154" spans="1:14" ht="19.5" customHeight="1">
      <c r="A154" s="697"/>
      <c r="B154" s="698"/>
      <c r="C154" s="702"/>
      <c r="D154" s="22"/>
      <c r="E154" s="270" t="s">
        <v>26</v>
      </c>
      <c r="F154" s="24"/>
      <c r="G154" s="184">
        <f>경비집계표!E35</f>
        <v>153127</v>
      </c>
      <c r="H154" s="231"/>
      <c r="I154" s="184"/>
      <c r="J154" s="231"/>
      <c r="K154" s="276"/>
      <c r="L154" s="177"/>
      <c r="M154" s="464">
        <f>SUM(M148:M153)</f>
        <v>156602</v>
      </c>
      <c r="N154" s="463">
        <f>G154-M154</f>
        <v>-3475</v>
      </c>
    </row>
    <row r="155" spans="1:12" ht="19.5" customHeight="1">
      <c r="A155" s="697"/>
      <c r="B155" s="698"/>
      <c r="C155" s="705" t="s">
        <v>388</v>
      </c>
      <c r="D155" s="22"/>
      <c r="E155" s="24" t="s">
        <v>35</v>
      </c>
      <c r="F155" s="24"/>
      <c r="G155" s="184">
        <f>경비집계표!E36</f>
        <v>63000</v>
      </c>
      <c r="H155" s="231"/>
      <c r="I155" s="184"/>
      <c r="J155" s="231"/>
      <c r="K155" s="276"/>
      <c r="L155" s="177"/>
    </row>
    <row r="156" spans="1:12" ht="19.5" customHeight="1">
      <c r="A156" s="697"/>
      <c r="B156" s="698"/>
      <c r="C156" s="706"/>
      <c r="D156" s="22"/>
      <c r="E156" s="270" t="s">
        <v>26</v>
      </c>
      <c r="F156" s="24"/>
      <c r="G156" s="184">
        <f>경비집계표!E37</f>
        <v>63000</v>
      </c>
      <c r="H156" s="231"/>
      <c r="I156" s="184"/>
      <c r="J156" s="231"/>
      <c r="K156" s="276"/>
      <c r="L156" s="177"/>
    </row>
    <row r="157" spans="1:12" ht="19.5" customHeight="1">
      <c r="A157" s="697"/>
      <c r="B157" s="698"/>
      <c r="C157" s="701" t="s">
        <v>327</v>
      </c>
      <c r="D157" s="22"/>
      <c r="E157" s="663" t="s">
        <v>555</v>
      </c>
      <c r="F157" s="24"/>
      <c r="G157" s="184">
        <f>경비집계표!E38</f>
        <v>0</v>
      </c>
      <c r="H157" s="231"/>
      <c r="I157" s="184"/>
      <c r="J157" s="231"/>
      <c r="K157" s="276"/>
      <c r="L157" s="177"/>
    </row>
    <row r="158" spans="1:12" ht="19.5" customHeight="1">
      <c r="A158" s="697"/>
      <c r="B158" s="698"/>
      <c r="C158" s="702"/>
      <c r="D158" s="22"/>
      <c r="E158" s="24" t="s">
        <v>328</v>
      </c>
      <c r="F158" s="24"/>
      <c r="G158" s="184">
        <f>경비집계표!E39</f>
        <v>0</v>
      </c>
      <c r="H158" s="231"/>
      <c r="I158" s="184"/>
      <c r="J158" s="231"/>
      <c r="K158" s="276"/>
      <c r="L158" s="177"/>
    </row>
    <row r="159" spans="1:12" ht="19.5" customHeight="1">
      <c r="A159" s="699"/>
      <c r="B159" s="700"/>
      <c r="C159" s="692" t="s">
        <v>29</v>
      </c>
      <c r="D159" s="690"/>
      <c r="E159" s="690"/>
      <c r="F159" s="691"/>
      <c r="G159" s="184">
        <f>경비집계표!E40</f>
        <v>216127</v>
      </c>
      <c r="H159" s="231"/>
      <c r="I159" s="272">
        <f>TRUNC(G159/$G$163*100,2)</f>
        <v>10.66</v>
      </c>
      <c r="J159" s="231"/>
      <c r="K159" s="276"/>
      <c r="L159" s="177" t="str">
        <f>경비집계표!$A$1&amp;"참조"</f>
        <v>&lt; 표 : 11 &gt; 참조</v>
      </c>
    </row>
    <row r="160" spans="1:12" ht="19.5" customHeight="1">
      <c r="A160" s="176"/>
      <c r="B160" s="693" t="s">
        <v>212</v>
      </c>
      <c r="C160" s="693"/>
      <c r="D160" s="693"/>
      <c r="E160" s="693"/>
      <c r="F160" s="274"/>
      <c r="G160" s="184">
        <f>SUM(G147,G159)</f>
        <v>1839399</v>
      </c>
      <c r="H160" s="231"/>
      <c r="I160" s="272">
        <f>TRUNC(G160/$G$163*100,2)</f>
        <v>90.73</v>
      </c>
      <c r="J160" s="231"/>
      <c r="K160" s="276"/>
      <c r="L160" s="466" t="s">
        <v>351</v>
      </c>
    </row>
    <row r="161" spans="1:12" ht="19.5" customHeight="1">
      <c r="A161" s="271"/>
      <c r="B161" s="694" t="s">
        <v>564</v>
      </c>
      <c r="C161" s="693"/>
      <c r="D161" s="693"/>
      <c r="E161" s="693"/>
      <c r="F161" s="275"/>
      <c r="G161" s="184">
        <f>TRUNC(G160*3%,0)</f>
        <v>55181</v>
      </c>
      <c r="H161" s="231"/>
      <c r="I161" s="272">
        <f>TRUNC(G161/$G$163*100,2)</f>
        <v>2.72</v>
      </c>
      <c r="J161" s="231"/>
      <c r="K161" s="276"/>
      <c r="L161" s="671" t="s">
        <v>566</v>
      </c>
    </row>
    <row r="162" spans="1:12" ht="19.5" customHeight="1">
      <c r="A162" s="271"/>
      <c r="B162" s="694" t="s">
        <v>565</v>
      </c>
      <c r="C162" s="693"/>
      <c r="D162" s="693"/>
      <c r="E162" s="693"/>
      <c r="F162" s="275"/>
      <c r="G162" s="184">
        <f>TRUNC(SUM(G147,G159,G161)*7%,0)</f>
        <v>132620</v>
      </c>
      <c r="H162" s="231"/>
      <c r="I162" s="272">
        <f>TRUNC(G162/$G$163*100,2)</f>
        <v>6.54</v>
      </c>
      <c r="J162" s="231"/>
      <c r="K162" s="276"/>
      <c r="L162" s="671" t="s">
        <v>567</v>
      </c>
    </row>
    <row r="163" spans="1:12" ht="19.5" customHeight="1">
      <c r="A163" s="271"/>
      <c r="B163" s="693" t="s">
        <v>385</v>
      </c>
      <c r="C163" s="693"/>
      <c r="D163" s="693"/>
      <c r="E163" s="693"/>
      <c r="F163" s="275"/>
      <c r="G163" s="184">
        <f>SUM(G160:G162)</f>
        <v>2027200</v>
      </c>
      <c r="H163" s="231"/>
      <c r="I163" s="272">
        <f>TRUNC(G163/$G$163*100,2)</f>
        <v>100</v>
      </c>
      <c r="J163" s="231"/>
      <c r="K163" s="276"/>
      <c r="L163" s="466" t="s">
        <v>342</v>
      </c>
    </row>
    <row r="164" spans="1:12" ht="19.5" customHeight="1">
      <c r="A164" s="271"/>
      <c r="B164" s="703" t="s">
        <v>381</v>
      </c>
      <c r="C164" s="703"/>
      <c r="D164" s="703"/>
      <c r="E164" s="703"/>
      <c r="F164" s="508"/>
      <c r="G164" s="460">
        <f>TRUNC(G163*10%)</f>
        <v>202720</v>
      </c>
      <c r="H164" s="505"/>
      <c r="I164" s="507"/>
      <c r="J164" s="505"/>
      <c r="K164" s="506"/>
      <c r="L164" s="466" t="s">
        <v>382</v>
      </c>
    </row>
    <row r="165" spans="1:12" ht="19.5" customHeight="1">
      <c r="A165" s="271"/>
      <c r="B165" s="703" t="s">
        <v>383</v>
      </c>
      <c r="C165" s="703"/>
      <c r="D165" s="703"/>
      <c r="E165" s="703"/>
      <c r="F165" s="508"/>
      <c r="G165" s="460">
        <f>SUM(G163:G164)</f>
        <v>2229920</v>
      </c>
      <c r="H165" s="505"/>
      <c r="I165" s="507"/>
      <c r="J165" s="505"/>
      <c r="K165" s="506"/>
      <c r="L165" s="466" t="s">
        <v>384</v>
      </c>
    </row>
    <row r="166" spans="1:15" ht="19.5" customHeight="1">
      <c r="A166" s="223"/>
      <c r="B166" s="223"/>
      <c r="C166" s="223"/>
      <c r="D166" s="223"/>
      <c r="E166" s="152"/>
      <c r="F166" s="152"/>
      <c r="G166" s="152"/>
      <c r="I166" s="33"/>
      <c r="L166" s="33"/>
      <c r="M166" s="33"/>
      <c r="N166" s="438"/>
      <c r="O166" s="438"/>
    </row>
    <row r="167" spans="1:15" s="168" customFormat="1" ht="39.75" customHeight="1">
      <c r="A167" s="165" t="s">
        <v>396</v>
      </c>
      <c r="B167" s="166"/>
      <c r="C167" s="224"/>
      <c r="D167" s="224"/>
      <c r="E167" s="225"/>
      <c r="F167" s="225"/>
      <c r="G167" s="167"/>
      <c r="H167" s="153"/>
      <c r="I167" s="29"/>
      <c r="J167" s="30"/>
      <c r="K167" s="29"/>
      <c r="L167" s="165"/>
      <c r="N167" s="439"/>
      <c r="O167" s="439"/>
    </row>
    <row r="168" spans="1:15" ht="19.5" customHeight="1">
      <c r="A168" s="260"/>
      <c r="B168" s="261"/>
      <c r="C168" s="260"/>
      <c r="D168" s="260"/>
      <c r="E168" s="261"/>
      <c r="F168" s="261"/>
      <c r="G168" s="154"/>
      <c r="H168" s="262"/>
      <c r="I168" s="31"/>
      <c r="J168" s="32"/>
      <c r="K168" s="31"/>
      <c r="L168" s="182"/>
      <c r="O168" s="439"/>
    </row>
    <row r="169" spans="1:15" ht="19.5" customHeight="1">
      <c r="A169" s="169" t="str">
        <f>"구 분 : "&amp;월기본급!B14&amp;"                       직종명 : "&amp;월기본급!F14&amp;""</f>
        <v>구 분 : 미화원                       직종명 : 보통인부</v>
      </c>
      <c r="B169" s="170"/>
      <c r="C169" s="169"/>
      <c r="D169" s="169"/>
      <c r="G169" s="171"/>
      <c r="H169" s="171"/>
      <c r="I169" s="171"/>
      <c r="L169" s="263" t="s">
        <v>18</v>
      </c>
      <c r="O169" s="439"/>
    </row>
    <row r="170" spans="1:15" ht="19.5" customHeight="1">
      <c r="A170" s="264"/>
      <c r="B170" s="265"/>
      <c r="C170" s="265"/>
      <c r="D170" s="265"/>
      <c r="E170" s="266" t="s">
        <v>19</v>
      </c>
      <c r="F170" s="266"/>
      <c r="G170" s="708" t="s">
        <v>20</v>
      </c>
      <c r="H170" s="709"/>
      <c r="I170" s="708" t="s">
        <v>21</v>
      </c>
      <c r="J170" s="709"/>
      <c r="K170" s="277"/>
      <c r="L170" s="709" t="s">
        <v>22</v>
      </c>
      <c r="O170" s="439"/>
    </row>
    <row r="171" spans="1:12" ht="19.5" customHeight="1">
      <c r="A171" s="267" t="s">
        <v>23</v>
      </c>
      <c r="B171" s="273"/>
      <c r="C171" s="268"/>
      <c r="D171" s="268"/>
      <c r="E171" s="268"/>
      <c r="F171" s="268"/>
      <c r="G171" s="710"/>
      <c r="H171" s="711"/>
      <c r="I171" s="710"/>
      <c r="J171" s="711"/>
      <c r="K171" s="278"/>
      <c r="L171" s="711"/>
    </row>
    <row r="172" spans="1:12" ht="19.5" customHeight="1">
      <c r="A172" s="695" t="s">
        <v>245</v>
      </c>
      <c r="B172" s="696"/>
      <c r="C172" s="692" t="s">
        <v>24</v>
      </c>
      <c r="D172" s="690"/>
      <c r="E172" s="690"/>
      <c r="F172" s="691"/>
      <c r="G172" s="184">
        <f>단위당인건비!E132</f>
        <v>1038030</v>
      </c>
      <c r="H172" s="231"/>
      <c r="I172" s="184"/>
      <c r="J172" s="231"/>
      <c r="K172" s="276"/>
      <c r="L172" s="21"/>
    </row>
    <row r="173" spans="1:12" ht="19.5" customHeight="1">
      <c r="A173" s="697"/>
      <c r="B173" s="698"/>
      <c r="C173" s="701" t="s">
        <v>323</v>
      </c>
      <c r="D173" s="22"/>
      <c r="E173" s="24" t="s">
        <v>1</v>
      </c>
      <c r="F173" s="22"/>
      <c r="G173" s="184">
        <f>단위당인건비!E133</f>
        <v>5100</v>
      </c>
      <c r="H173" s="231"/>
      <c r="I173" s="184"/>
      <c r="J173" s="231"/>
      <c r="K173" s="276"/>
      <c r="L173" s="21"/>
    </row>
    <row r="174" spans="1:12" ht="19.5" customHeight="1">
      <c r="A174" s="697"/>
      <c r="B174" s="698"/>
      <c r="C174" s="704"/>
      <c r="D174" s="22"/>
      <c r="E174" s="24" t="s">
        <v>287</v>
      </c>
      <c r="F174" s="269"/>
      <c r="G174" s="184">
        <f>단위당인건비!E134</f>
        <v>59599</v>
      </c>
      <c r="H174" s="231"/>
      <c r="I174" s="184"/>
      <c r="J174" s="231"/>
      <c r="K174" s="276"/>
      <c r="L174" s="21"/>
    </row>
    <row r="175" spans="1:12" ht="19.5" customHeight="1">
      <c r="A175" s="697"/>
      <c r="B175" s="698"/>
      <c r="C175" s="704"/>
      <c r="D175" s="22"/>
      <c r="E175" s="24" t="s">
        <v>6</v>
      </c>
      <c r="F175" s="269"/>
      <c r="G175" s="184">
        <f>단위당인건비!E135</f>
        <v>49666</v>
      </c>
      <c r="H175" s="231"/>
      <c r="I175" s="184"/>
      <c r="J175" s="231"/>
      <c r="K175" s="276"/>
      <c r="L175" s="21"/>
    </row>
    <row r="176" spans="1:12" ht="19.5" customHeight="1">
      <c r="A176" s="697"/>
      <c r="B176" s="698"/>
      <c r="C176" s="704"/>
      <c r="D176" s="22"/>
      <c r="E176" s="24" t="s">
        <v>325</v>
      </c>
      <c r="F176" s="269"/>
      <c r="G176" s="184">
        <f>단위당인건비!E136</f>
        <v>0</v>
      </c>
      <c r="H176" s="231"/>
      <c r="I176" s="184"/>
      <c r="J176" s="231"/>
      <c r="K176" s="276"/>
      <c r="L176" s="21"/>
    </row>
    <row r="177" spans="1:12" ht="19.5" customHeight="1">
      <c r="A177" s="697"/>
      <c r="B177" s="698"/>
      <c r="C177" s="702"/>
      <c r="D177" s="22"/>
      <c r="E177" s="270" t="s">
        <v>26</v>
      </c>
      <c r="F177" s="270"/>
      <c r="G177" s="184">
        <f>단위당인건비!E137</f>
        <v>114365</v>
      </c>
      <c r="H177" s="231"/>
      <c r="I177" s="244"/>
      <c r="J177" s="231"/>
      <c r="K177" s="276"/>
      <c r="L177" s="177"/>
    </row>
    <row r="178" spans="1:12" ht="19.5" customHeight="1">
      <c r="A178" s="697"/>
      <c r="B178" s="698"/>
      <c r="C178" s="692" t="s">
        <v>27</v>
      </c>
      <c r="D178" s="690"/>
      <c r="E178" s="690"/>
      <c r="F178" s="691"/>
      <c r="G178" s="184">
        <f>단위당인건비!E138</f>
        <v>346010</v>
      </c>
      <c r="H178" s="231"/>
      <c r="I178" s="244"/>
      <c r="J178" s="231"/>
      <c r="K178" s="276"/>
      <c r="L178" s="177"/>
    </row>
    <row r="179" spans="1:12" ht="19.5" customHeight="1">
      <c r="A179" s="697"/>
      <c r="B179" s="698"/>
      <c r="C179" s="692" t="s">
        <v>28</v>
      </c>
      <c r="D179" s="690"/>
      <c r="E179" s="690"/>
      <c r="F179" s="691"/>
      <c r="G179" s="184">
        <f>단위당인건비!E139</f>
        <v>124867</v>
      </c>
      <c r="H179" s="231"/>
      <c r="I179" s="244"/>
      <c r="J179" s="231"/>
      <c r="K179" s="276"/>
      <c r="L179" s="177"/>
    </row>
    <row r="180" spans="1:12" ht="19.5" customHeight="1">
      <c r="A180" s="699"/>
      <c r="B180" s="700"/>
      <c r="C180" s="692" t="s">
        <v>29</v>
      </c>
      <c r="D180" s="690"/>
      <c r="E180" s="690"/>
      <c r="F180" s="691"/>
      <c r="G180" s="184">
        <f>단위당인건비!E140</f>
        <v>1623272</v>
      </c>
      <c r="H180" s="231"/>
      <c r="I180" s="272">
        <f>TRUNC(G180/$G$196*100,2)</f>
        <v>80.07</v>
      </c>
      <c r="J180" s="231"/>
      <c r="K180" s="276"/>
      <c r="L180" s="177" t="str">
        <f>단위당인건비!$A$1&amp;"참조"</f>
        <v>&lt; 표 : 5 &gt; 참조</v>
      </c>
    </row>
    <row r="181" spans="1:14" ht="19.5" customHeight="1">
      <c r="A181" s="695" t="s">
        <v>256</v>
      </c>
      <c r="B181" s="696"/>
      <c r="C181" s="701" t="s">
        <v>5</v>
      </c>
      <c r="D181" s="22"/>
      <c r="E181" s="24" t="s">
        <v>30</v>
      </c>
      <c r="F181" s="24"/>
      <c r="G181" s="184">
        <f>경비집계표!F29</f>
        <v>31466</v>
      </c>
      <c r="H181" s="231"/>
      <c r="I181" s="184"/>
      <c r="J181" s="231"/>
      <c r="K181" s="276"/>
      <c r="L181" s="177"/>
      <c r="M181" s="463">
        <f>TRUNC(SUM(G172+G177+G178)*2.1%)</f>
        <v>31466</v>
      </c>
      <c r="N181" s="463">
        <f aca="true" t="shared" si="5" ref="N181:N186">G181-M181</f>
        <v>0</v>
      </c>
    </row>
    <row r="182" spans="1:14" ht="19.5" customHeight="1">
      <c r="A182" s="697"/>
      <c r="B182" s="698"/>
      <c r="C182" s="704"/>
      <c r="D182" s="22"/>
      <c r="E182" s="24" t="s">
        <v>31</v>
      </c>
      <c r="F182" s="24"/>
      <c r="G182" s="184">
        <f>경비집계표!F30</f>
        <v>67428</v>
      </c>
      <c r="H182" s="231"/>
      <c r="I182" s="184"/>
      <c r="J182" s="231"/>
      <c r="K182" s="276"/>
      <c r="L182" s="177"/>
      <c r="M182" s="463">
        <f>TRUNC(SUM(G172+G177+G178)*4.5%)</f>
        <v>67428</v>
      </c>
      <c r="N182" s="463">
        <f t="shared" si="5"/>
        <v>0</v>
      </c>
    </row>
    <row r="183" spans="1:14" ht="19.5" customHeight="1">
      <c r="A183" s="697"/>
      <c r="B183" s="698"/>
      <c r="C183" s="704"/>
      <c r="D183" s="22"/>
      <c r="E183" s="24" t="s">
        <v>32</v>
      </c>
      <c r="F183" s="24"/>
      <c r="G183" s="184">
        <f>경비집계표!F31</f>
        <v>10488</v>
      </c>
      <c r="H183" s="231"/>
      <c r="I183" s="184"/>
      <c r="J183" s="231"/>
      <c r="K183" s="276"/>
      <c r="L183" s="177"/>
      <c r="M183" s="463">
        <f>TRUNC(SUM(G172+G177+G178)*1.15%)</f>
        <v>17231</v>
      </c>
      <c r="N183" s="463">
        <f t="shared" si="5"/>
        <v>-6743</v>
      </c>
    </row>
    <row r="184" spans="1:14" ht="19.5" customHeight="1">
      <c r="A184" s="697"/>
      <c r="B184" s="698"/>
      <c r="C184" s="704"/>
      <c r="D184" s="22"/>
      <c r="E184" s="24" t="s">
        <v>33</v>
      </c>
      <c r="F184" s="24"/>
      <c r="G184" s="184">
        <f>경비집계표!F32</f>
        <v>39932</v>
      </c>
      <c r="H184" s="231"/>
      <c r="I184" s="184"/>
      <c r="J184" s="231"/>
      <c r="K184" s="276"/>
      <c r="L184" s="177"/>
      <c r="M184" s="463">
        <f>TRUNC(SUM(G172+G177+G178)*2.54%)</f>
        <v>38059</v>
      </c>
      <c r="N184" s="463">
        <f t="shared" si="5"/>
        <v>1873</v>
      </c>
    </row>
    <row r="185" spans="1:14" ht="19.5" customHeight="1">
      <c r="A185" s="697"/>
      <c r="B185" s="698"/>
      <c r="C185" s="704"/>
      <c r="D185" s="22"/>
      <c r="E185" s="329" t="s">
        <v>322</v>
      </c>
      <c r="F185" s="24"/>
      <c r="G185" s="184">
        <f>경비집계표!F33</f>
        <v>2615</v>
      </c>
      <c r="H185" s="231"/>
      <c r="I185" s="184"/>
      <c r="J185" s="231"/>
      <c r="K185" s="276"/>
      <c r="L185" s="177"/>
      <c r="M185" s="463">
        <f>TRUNC(M184*4.78%)</f>
        <v>1819</v>
      </c>
      <c r="N185" s="463">
        <f t="shared" si="5"/>
        <v>796</v>
      </c>
    </row>
    <row r="186" spans="1:14" ht="19.5" customHeight="1">
      <c r="A186" s="697"/>
      <c r="B186" s="698"/>
      <c r="C186" s="704"/>
      <c r="D186" s="22"/>
      <c r="E186" s="24" t="s">
        <v>34</v>
      </c>
      <c r="F186" s="24"/>
      <c r="G186" s="184">
        <f>경비집계표!F34</f>
        <v>1198</v>
      </c>
      <c r="H186" s="231"/>
      <c r="I186" s="184"/>
      <c r="J186" s="231"/>
      <c r="K186" s="276"/>
      <c r="L186" s="177"/>
      <c r="M186" s="463">
        <f>TRUNC(SUM(G172+G177+G178)*0.04%)</f>
        <v>599</v>
      </c>
      <c r="N186" s="463">
        <f t="shared" si="5"/>
        <v>599</v>
      </c>
    </row>
    <row r="187" spans="1:14" ht="19.5" customHeight="1">
      <c r="A187" s="697"/>
      <c r="B187" s="698"/>
      <c r="C187" s="702"/>
      <c r="D187" s="22"/>
      <c r="E187" s="270" t="s">
        <v>26</v>
      </c>
      <c r="F187" s="24"/>
      <c r="G187" s="184">
        <f>경비집계표!F35</f>
        <v>153127</v>
      </c>
      <c r="H187" s="231"/>
      <c r="I187" s="184"/>
      <c r="J187" s="231"/>
      <c r="K187" s="276"/>
      <c r="L187" s="177"/>
      <c r="M187" s="464">
        <f>SUM(M181:M186)</f>
        <v>156602</v>
      </c>
      <c r="N187" s="463">
        <f>G187-M187</f>
        <v>-3475</v>
      </c>
    </row>
    <row r="188" spans="1:12" ht="19.5" customHeight="1">
      <c r="A188" s="697"/>
      <c r="B188" s="698"/>
      <c r="C188" s="705" t="s">
        <v>388</v>
      </c>
      <c r="D188" s="22"/>
      <c r="E188" s="24" t="s">
        <v>35</v>
      </c>
      <c r="F188" s="24"/>
      <c r="G188" s="184">
        <f>경비집계표!F36</f>
        <v>63000</v>
      </c>
      <c r="H188" s="231"/>
      <c r="I188" s="184"/>
      <c r="J188" s="231"/>
      <c r="K188" s="276"/>
      <c r="L188" s="177"/>
    </row>
    <row r="189" spans="1:12" ht="19.5" customHeight="1">
      <c r="A189" s="697"/>
      <c r="B189" s="698"/>
      <c r="C189" s="706"/>
      <c r="D189" s="22"/>
      <c r="E189" s="270" t="s">
        <v>26</v>
      </c>
      <c r="F189" s="24"/>
      <c r="G189" s="184">
        <f>경비집계표!F37</f>
        <v>63000</v>
      </c>
      <c r="H189" s="231"/>
      <c r="I189" s="184"/>
      <c r="J189" s="231"/>
      <c r="K189" s="276"/>
      <c r="L189" s="177"/>
    </row>
    <row r="190" spans="1:12" ht="19.5" customHeight="1">
      <c r="A190" s="697"/>
      <c r="B190" s="698"/>
      <c r="C190" s="701" t="s">
        <v>327</v>
      </c>
      <c r="D190" s="22"/>
      <c r="E190" s="663" t="s">
        <v>555</v>
      </c>
      <c r="F190" s="24"/>
      <c r="G190" s="184">
        <f>경비집계표!F38</f>
        <v>0</v>
      </c>
      <c r="H190" s="231"/>
      <c r="I190" s="184"/>
      <c r="J190" s="231"/>
      <c r="K190" s="276"/>
      <c r="L190" s="177"/>
    </row>
    <row r="191" spans="1:12" ht="19.5" customHeight="1">
      <c r="A191" s="697"/>
      <c r="B191" s="698"/>
      <c r="C191" s="702"/>
      <c r="D191" s="22"/>
      <c r="E191" s="24" t="s">
        <v>328</v>
      </c>
      <c r="F191" s="24"/>
      <c r="G191" s="184">
        <f>경비집계표!F39</f>
        <v>0</v>
      </c>
      <c r="H191" s="231"/>
      <c r="I191" s="184"/>
      <c r="J191" s="231"/>
      <c r="K191" s="276"/>
      <c r="L191" s="177"/>
    </row>
    <row r="192" spans="1:12" ht="19.5" customHeight="1">
      <c r="A192" s="699"/>
      <c r="B192" s="700"/>
      <c r="C192" s="692" t="s">
        <v>29</v>
      </c>
      <c r="D192" s="690"/>
      <c r="E192" s="690"/>
      <c r="F192" s="691"/>
      <c r="G192" s="184">
        <f>경비집계표!F40</f>
        <v>216127</v>
      </c>
      <c r="H192" s="231"/>
      <c r="I192" s="272">
        <f>TRUNC(G192/$G$196*100,2)</f>
        <v>10.66</v>
      </c>
      <c r="J192" s="231"/>
      <c r="K192" s="276"/>
      <c r="L192" s="177" t="str">
        <f>경비집계표!$A$1&amp;"참조"</f>
        <v>&lt; 표 : 11 &gt; 참조</v>
      </c>
    </row>
    <row r="193" spans="1:12" ht="19.5" customHeight="1">
      <c r="A193" s="176"/>
      <c r="B193" s="693" t="s">
        <v>212</v>
      </c>
      <c r="C193" s="693"/>
      <c r="D193" s="693"/>
      <c r="E193" s="693"/>
      <c r="F193" s="274"/>
      <c r="G193" s="184">
        <f>SUM(G180,G192)</f>
        <v>1839399</v>
      </c>
      <c r="H193" s="231"/>
      <c r="I193" s="272">
        <f>TRUNC(G193/$G$196*100,2)</f>
        <v>90.73</v>
      </c>
      <c r="J193" s="231"/>
      <c r="K193" s="276"/>
      <c r="L193" s="466" t="s">
        <v>351</v>
      </c>
    </row>
    <row r="194" spans="1:12" ht="19.5" customHeight="1">
      <c r="A194" s="271"/>
      <c r="B194" s="694" t="s">
        <v>564</v>
      </c>
      <c r="C194" s="693"/>
      <c r="D194" s="693"/>
      <c r="E194" s="693"/>
      <c r="F194" s="275"/>
      <c r="G194" s="184">
        <f>TRUNC(G193*3%,0)</f>
        <v>55181</v>
      </c>
      <c r="H194" s="231"/>
      <c r="I194" s="272">
        <f>TRUNC(G194/$G$196*100,2)</f>
        <v>2.72</v>
      </c>
      <c r="J194" s="231"/>
      <c r="K194" s="276"/>
      <c r="L194" s="671" t="s">
        <v>566</v>
      </c>
    </row>
    <row r="195" spans="1:12" ht="19.5" customHeight="1">
      <c r="A195" s="271"/>
      <c r="B195" s="694" t="s">
        <v>565</v>
      </c>
      <c r="C195" s="693"/>
      <c r="D195" s="693"/>
      <c r="E195" s="693"/>
      <c r="F195" s="275"/>
      <c r="G195" s="184">
        <f>TRUNC(SUM(G180,G192,G194)*7%,0)</f>
        <v>132620</v>
      </c>
      <c r="H195" s="231"/>
      <c r="I195" s="272">
        <f>TRUNC(G195/$G$196*100,2)</f>
        <v>6.54</v>
      </c>
      <c r="J195" s="231"/>
      <c r="K195" s="276"/>
      <c r="L195" s="671" t="s">
        <v>567</v>
      </c>
    </row>
    <row r="196" spans="1:12" ht="19.5" customHeight="1">
      <c r="A196" s="271"/>
      <c r="B196" s="693" t="s">
        <v>385</v>
      </c>
      <c r="C196" s="693"/>
      <c r="D196" s="693"/>
      <c r="E196" s="693"/>
      <c r="F196" s="275"/>
      <c r="G196" s="184">
        <f>SUM(G193:G195)</f>
        <v>2027200</v>
      </c>
      <c r="H196" s="231"/>
      <c r="I196" s="272">
        <f>TRUNC(G196/$G$196*100,2)</f>
        <v>100</v>
      </c>
      <c r="J196" s="231"/>
      <c r="K196" s="276"/>
      <c r="L196" s="466" t="s">
        <v>343</v>
      </c>
    </row>
    <row r="197" spans="1:12" ht="19.5" customHeight="1">
      <c r="A197" s="271"/>
      <c r="B197" s="703" t="s">
        <v>381</v>
      </c>
      <c r="C197" s="703"/>
      <c r="D197" s="703"/>
      <c r="E197" s="703"/>
      <c r="F197" s="508"/>
      <c r="G197" s="460">
        <f>TRUNC(G196*10%)</f>
        <v>202720</v>
      </c>
      <c r="H197" s="505"/>
      <c r="I197" s="507"/>
      <c r="J197" s="505"/>
      <c r="K197" s="506"/>
      <c r="L197" s="466" t="s">
        <v>382</v>
      </c>
    </row>
    <row r="198" spans="1:12" ht="19.5" customHeight="1">
      <c r="A198" s="271"/>
      <c r="B198" s="703" t="s">
        <v>383</v>
      </c>
      <c r="C198" s="703"/>
      <c r="D198" s="703"/>
      <c r="E198" s="703"/>
      <c r="F198" s="508"/>
      <c r="G198" s="460">
        <f>SUM(G196:G197)</f>
        <v>2229920</v>
      </c>
      <c r="H198" s="505"/>
      <c r="I198" s="507"/>
      <c r="J198" s="505"/>
      <c r="K198" s="506"/>
      <c r="L198" s="466" t="s">
        <v>384</v>
      </c>
    </row>
    <row r="199" spans="1:15" ht="19.5" customHeight="1">
      <c r="A199" s="223"/>
      <c r="B199" s="223"/>
      <c r="C199" s="223"/>
      <c r="D199" s="223"/>
      <c r="E199" s="152"/>
      <c r="F199" s="152"/>
      <c r="G199" s="152"/>
      <c r="I199" s="33"/>
      <c r="L199" s="33"/>
      <c r="M199" s="33"/>
      <c r="N199" s="438"/>
      <c r="O199" s="438"/>
    </row>
    <row r="200" spans="1:15" s="168" customFormat="1" ht="39.75" customHeight="1">
      <c r="A200" s="165" t="s">
        <v>397</v>
      </c>
      <c r="B200" s="166"/>
      <c r="C200" s="224"/>
      <c r="D200" s="224"/>
      <c r="E200" s="225"/>
      <c r="F200" s="225"/>
      <c r="G200" s="167"/>
      <c r="H200" s="153"/>
      <c r="I200" s="29"/>
      <c r="J200" s="30"/>
      <c r="K200" s="29"/>
      <c r="L200" s="165"/>
      <c r="N200" s="439"/>
      <c r="O200" s="439"/>
    </row>
    <row r="201" spans="1:15" ht="19.5" customHeight="1">
      <c r="A201" s="260"/>
      <c r="B201" s="261"/>
      <c r="C201" s="260"/>
      <c r="D201" s="260"/>
      <c r="E201" s="261"/>
      <c r="F201" s="261"/>
      <c r="G201" s="154"/>
      <c r="H201" s="262"/>
      <c r="I201" s="31"/>
      <c r="J201" s="32"/>
      <c r="K201" s="31"/>
      <c r="L201" s="182"/>
      <c r="O201" s="439"/>
    </row>
    <row r="202" spans="1:15" ht="19.5" customHeight="1">
      <c r="A202" s="169" t="str">
        <f>"구 분 : "&amp;월기본급!B15&amp;"                       직종명 : "&amp;월기본급!F15&amp;""</f>
        <v>구 분 : 경비반장                       직종명 : 보통인부</v>
      </c>
      <c r="B202" s="170"/>
      <c r="C202" s="169"/>
      <c r="D202" s="169"/>
      <c r="G202" s="171"/>
      <c r="H202" s="171"/>
      <c r="I202" s="171"/>
      <c r="L202" s="263" t="s">
        <v>18</v>
      </c>
      <c r="O202" s="439"/>
    </row>
    <row r="203" spans="1:15" ht="19.5" customHeight="1">
      <c r="A203" s="264"/>
      <c r="B203" s="265"/>
      <c r="C203" s="265"/>
      <c r="D203" s="265"/>
      <c r="E203" s="266" t="s">
        <v>19</v>
      </c>
      <c r="F203" s="266"/>
      <c r="G203" s="708" t="s">
        <v>20</v>
      </c>
      <c r="H203" s="709"/>
      <c r="I203" s="708" t="s">
        <v>21</v>
      </c>
      <c r="J203" s="709"/>
      <c r="K203" s="277"/>
      <c r="L203" s="709" t="s">
        <v>22</v>
      </c>
      <c r="O203" s="439"/>
    </row>
    <row r="204" spans="1:12" ht="19.5" customHeight="1">
      <c r="A204" s="267" t="s">
        <v>23</v>
      </c>
      <c r="B204" s="273"/>
      <c r="C204" s="268"/>
      <c r="D204" s="268"/>
      <c r="E204" s="268"/>
      <c r="F204" s="268"/>
      <c r="G204" s="710"/>
      <c r="H204" s="711"/>
      <c r="I204" s="710"/>
      <c r="J204" s="711"/>
      <c r="K204" s="278"/>
      <c r="L204" s="711"/>
    </row>
    <row r="205" spans="1:12" ht="19.5" customHeight="1">
      <c r="A205" s="695" t="s">
        <v>245</v>
      </c>
      <c r="B205" s="696"/>
      <c r="C205" s="692" t="s">
        <v>24</v>
      </c>
      <c r="D205" s="690"/>
      <c r="E205" s="690"/>
      <c r="F205" s="691"/>
      <c r="G205" s="184">
        <f>단위당인건비!E153</f>
        <v>1038030</v>
      </c>
      <c r="H205" s="231"/>
      <c r="I205" s="184"/>
      <c r="J205" s="231"/>
      <c r="K205" s="276"/>
      <c r="L205" s="21"/>
    </row>
    <row r="206" spans="1:12" ht="19.5" customHeight="1">
      <c r="A206" s="697"/>
      <c r="B206" s="698"/>
      <c r="C206" s="701" t="s">
        <v>323</v>
      </c>
      <c r="D206" s="22"/>
      <c r="E206" s="24" t="s">
        <v>1</v>
      </c>
      <c r="F206" s="22"/>
      <c r="G206" s="184">
        <f>단위당인건비!E154</f>
        <v>5100</v>
      </c>
      <c r="H206" s="231"/>
      <c r="I206" s="184"/>
      <c r="J206" s="231"/>
      <c r="K206" s="276"/>
      <c r="L206" s="21"/>
    </row>
    <row r="207" spans="1:12" ht="19.5" customHeight="1">
      <c r="A207" s="697"/>
      <c r="B207" s="698"/>
      <c r="C207" s="704"/>
      <c r="D207" s="22"/>
      <c r="E207" s="24" t="s">
        <v>287</v>
      </c>
      <c r="F207" s="269"/>
      <c r="G207" s="184">
        <f>단위당인건비!E155</f>
        <v>59599</v>
      </c>
      <c r="H207" s="231"/>
      <c r="I207" s="184"/>
      <c r="J207" s="231"/>
      <c r="K207" s="276"/>
      <c r="L207" s="21"/>
    </row>
    <row r="208" spans="1:12" ht="19.5" customHeight="1">
      <c r="A208" s="697"/>
      <c r="B208" s="698"/>
      <c r="C208" s="704"/>
      <c r="D208" s="22"/>
      <c r="E208" s="24" t="s">
        <v>6</v>
      </c>
      <c r="F208" s="269"/>
      <c r="G208" s="184">
        <f>단위당인건비!E156</f>
        <v>49666</v>
      </c>
      <c r="H208" s="231"/>
      <c r="I208" s="184"/>
      <c r="J208" s="231"/>
      <c r="K208" s="276"/>
      <c r="L208" s="21"/>
    </row>
    <row r="209" spans="1:12" ht="19.5" customHeight="1">
      <c r="A209" s="697"/>
      <c r="B209" s="698"/>
      <c r="C209" s="704"/>
      <c r="D209" s="22"/>
      <c r="E209" s="24" t="s">
        <v>325</v>
      </c>
      <c r="F209" s="269"/>
      <c r="G209" s="184">
        <f>단위당인건비!E157</f>
        <v>0</v>
      </c>
      <c r="H209" s="231"/>
      <c r="I209" s="184"/>
      <c r="J209" s="231"/>
      <c r="K209" s="276"/>
      <c r="L209" s="21"/>
    </row>
    <row r="210" spans="1:12" ht="19.5" customHeight="1">
      <c r="A210" s="697"/>
      <c r="B210" s="698"/>
      <c r="C210" s="702"/>
      <c r="D210" s="22"/>
      <c r="E210" s="270" t="s">
        <v>26</v>
      </c>
      <c r="F210" s="270"/>
      <c r="G210" s="184">
        <f>단위당인건비!E158</f>
        <v>114365</v>
      </c>
      <c r="H210" s="231"/>
      <c r="I210" s="244"/>
      <c r="J210" s="231"/>
      <c r="K210" s="276"/>
      <c r="L210" s="177"/>
    </row>
    <row r="211" spans="1:12" ht="19.5" customHeight="1">
      <c r="A211" s="697"/>
      <c r="B211" s="698"/>
      <c r="C211" s="692" t="s">
        <v>27</v>
      </c>
      <c r="D211" s="690"/>
      <c r="E211" s="690"/>
      <c r="F211" s="691"/>
      <c r="G211" s="184">
        <f>단위당인건비!E159</f>
        <v>346010</v>
      </c>
      <c r="H211" s="231"/>
      <c r="I211" s="244"/>
      <c r="J211" s="231"/>
      <c r="K211" s="276"/>
      <c r="L211" s="177"/>
    </row>
    <row r="212" spans="1:12" ht="19.5" customHeight="1">
      <c r="A212" s="697"/>
      <c r="B212" s="698"/>
      <c r="C212" s="692" t="s">
        <v>28</v>
      </c>
      <c r="D212" s="690"/>
      <c r="E212" s="690"/>
      <c r="F212" s="691"/>
      <c r="G212" s="184">
        <f>단위당인건비!E160</f>
        <v>124867</v>
      </c>
      <c r="H212" s="231"/>
      <c r="I212" s="244"/>
      <c r="J212" s="231"/>
      <c r="K212" s="276"/>
      <c r="L212" s="177"/>
    </row>
    <row r="213" spans="1:12" ht="19.5" customHeight="1">
      <c r="A213" s="699"/>
      <c r="B213" s="700"/>
      <c r="C213" s="692" t="s">
        <v>29</v>
      </c>
      <c r="D213" s="690"/>
      <c r="E213" s="690"/>
      <c r="F213" s="691"/>
      <c r="G213" s="184">
        <f>단위당인건비!E161</f>
        <v>1623272</v>
      </c>
      <c r="H213" s="231"/>
      <c r="I213" s="272">
        <f>TRUNC(G213/$G$229*100,2)</f>
        <v>79.71</v>
      </c>
      <c r="J213" s="231"/>
      <c r="K213" s="276"/>
      <c r="L213" s="177" t="str">
        <f>단위당인건비!$A$1&amp;"참조"</f>
        <v>&lt; 표 : 5 &gt; 참조</v>
      </c>
    </row>
    <row r="214" spans="1:14" ht="19.5" customHeight="1">
      <c r="A214" s="695" t="s">
        <v>256</v>
      </c>
      <c r="B214" s="696"/>
      <c r="C214" s="701" t="s">
        <v>5</v>
      </c>
      <c r="D214" s="22"/>
      <c r="E214" s="24" t="s">
        <v>30</v>
      </c>
      <c r="F214" s="24"/>
      <c r="G214" s="184">
        <f>경비집계표!G29</f>
        <v>31466</v>
      </c>
      <c r="H214" s="231"/>
      <c r="I214" s="184"/>
      <c r="J214" s="231"/>
      <c r="K214" s="276"/>
      <c r="L214" s="177"/>
      <c r="M214" s="463">
        <f>TRUNC(SUM(G205+G210+G211)*2.1%)</f>
        <v>31466</v>
      </c>
      <c r="N214" s="463">
        <f aca="true" t="shared" si="6" ref="N214:N219">G214-M214</f>
        <v>0</v>
      </c>
    </row>
    <row r="215" spans="1:14" ht="19.5" customHeight="1">
      <c r="A215" s="697"/>
      <c r="B215" s="698"/>
      <c r="C215" s="704"/>
      <c r="D215" s="22"/>
      <c r="E215" s="24" t="s">
        <v>31</v>
      </c>
      <c r="F215" s="24"/>
      <c r="G215" s="184">
        <f>경비집계표!G30</f>
        <v>67428</v>
      </c>
      <c r="H215" s="231"/>
      <c r="I215" s="184"/>
      <c r="J215" s="231"/>
      <c r="K215" s="276"/>
      <c r="L215" s="177"/>
      <c r="M215" s="463">
        <f>TRUNC(SUM(G205+G210+G211)*4.5%)</f>
        <v>67428</v>
      </c>
      <c r="N215" s="463">
        <f t="shared" si="6"/>
        <v>0</v>
      </c>
    </row>
    <row r="216" spans="1:14" ht="19.5" customHeight="1">
      <c r="A216" s="697"/>
      <c r="B216" s="698"/>
      <c r="C216" s="704"/>
      <c r="D216" s="22"/>
      <c r="E216" s="24" t="s">
        <v>32</v>
      </c>
      <c r="F216" s="24"/>
      <c r="G216" s="184">
        <f>경비집계표!G31</f>
        <v>10488</v>
      </c>
      <c r="H216" s="231"/>
      <c r="I216" s="184"/>
      <c r="J216" s="231"/>
      <c r="K216" s="276"/>
      <c r="L216" s="177"/>
      <c r="M216" s="463">
        <f>TRUNC(SUM(G205+G210+G211)*1.15%)</f>
        <v>17231</v>
      </c>
      <c r="N216" s="463">
        <f t="shared" si="6"/>
        <v>-6743</v>
      </c>
    </row>
    <row r="217" spans="1:14" ht="19.5" customHeight="1">
      <c r="A217" s="697"/>
      <c r="B217" s="698"/>
      <c r="C217" s="704"/>
      <c r="D217" s="22"/>
      <c r="E217" s="24" t="s">
        <v>33</v>
      </c>
      <c r="F217" s="24"/>
      <c r="G217" s="184">
        <f>경비집계표!G32</f>
        <v>39932</v>
      </c>
      <c r="H217" s="231"/>
      <c r="I217" s="184"/>
      <c r="J217" s="231"/>
      <c r="K217" s="276"/>
      <c r="L217" s="177"/>
      <c r="M217" s="463">
        <f>TRUNC(SUM(G205+G210+G211)*2.54%)</f>
        <v>38059</v>
      </c>
      <c r="N217" s="463">
        <f t="shared" si="6"/>
        <v>1873</v>
      </c>
    </row>
    <row r="218" spans="1:14" ht="19.5" customHeight="1">
      <c r="A218" s="697"/>
      <c r="B218" s="698"/>
      <c r="C218" s="704"/>
      <c r="D218" s="22"/>
      <c r="E218" s="329" t="s">
        <v>322</v>
      </c>
      <c r="F218" s="24"/>
      <c r="G218" s="184">
        <f>경비집계표!G33</f>
        <v>2615</v>
      </c>
      <c r="H218" s="231"/>
      <c r="I218" s="184"/>
      <c r="J218" s="231"/>
      <c r="K218" s="276"/>
      <c r="L218" s="177"/>
      <c r="M218" s="463">
        <f>TRUNC(M217*4.78%)</f>
        <v>1819</v>
      </c>
      <c r="N218" s="463">
        <f t="shared" si="6"/>
        <v>796</v>
      </c>
    </row>
    <row r="219" spans="1:14" ht="19.5" customHeight="1">
      <c r="A219" s="697"/>
      <c r="B219" s="698"/>
      <c r="C219" s="704"/>
      <c r="D219" s="22"/>
      <c r="E219" s="24" t="s">
        <v>34</v>
      </c>
      <c r="F219" s="24"/>
      <c r="G219" s="184">
        <f>경비집계표!G34</f>
        <v>1198</v>
      </c>
      <c r="H219" s="231"/>
      <c r="I219" s="184"/>
      <c r="J219" s="231"/>
      <c r="K219" s="276"/>
      <c r="L219" s="177"/>
      <c r="M219" s="463">
        <f>TRUNC(SUM(G205+G210+G211)*0.04%)</f>
        <v>599</v>
      </c>
      <c r="N219" s="463">
        <f t="shared" si="6"/>
        <v>599</v>
      </c>
    </row>
    <row r="220" spans="1:14" ht="19.5" customHeight="1">
      <c r="A220" s="697"/>
      <c r="B220" s="698"/>
      <c r="C220" s="702"/>
      <c r="D220" s="22"/>
      <c r="E220" s="270" t="s">
        <v>26</v>
      </c>
      <c r="F220" s="24"/>
      <c r="G220" s="184">
        <f>경비집계표!G35</f>
        <v>153127</v>
      </c>
      <c r="H220" s="231"/>
      <c r="I220" s="184"/>
      <c r="J220" s="231"/>
      <c r="K220" s="276"/>
      <c r="L220" s="177"/>
      <c r="M220" s="464">
        <f>SUM(M214:M219)</f>
        <v>156602</v>
      </c>
      <c r="N220" s="463">
        <f>G220-M220</f>
        <v>-3475</v>
      </c>
    </row>
    <row r="221" spans="1:12" ht="19.5" customHeight="1">
      <c r="A221" s="697"/>
      <c r="B221" s="698"/>
      <c r="C221" s="705" t="s">
        <v>388</v>
      </c>
      <c r="D221" s="22"/>
      <c r="E221" s="24" t="s">
        <v>35</v>
      </c>
      <c r="F221" s="24"/>
      <c r="G221" s="184">
        <f>경비집계표!G36</f>
        <v>63000</v>
      </c>
      <c r="H221" s="231"/>
      <c r="I221" s="184"/>
      <c r="J221" s="231"/>
      <c r="K221" s="276"/>
      <c r="L221" s="177"/>
    </row>
    <row r="222" spans="1:12" ht="19.5" customHeight="1">
      <c r="A222" s="697"/>
      <c r="B222" s="698"/>
      <c r="C222" s="706"/>
      <c r="D222" s="22"/>
      <c r="E222" s="270" t="s">
        <v>26</v>
      </c>
      <c r="F222" s="24"/>
      <c r="G222" s="184">
        <f>경비집계표!G37</f>
        <v>63000</v>
      </c>
      <c r="H222" s="231"/>
      <c r="I222" s="184"/>
      <c r="J222" s="231"/>
      <c r="K222" s="276"/>
      <c r="L222" s="177"/>
    </row>
    <row r="223" spans="1:12" ht="19.5" customHeight="1">
      <c r="A223" s="697"/>
      <c r="B223" s="698"/>
      <c r="C223" s="701" t="s">
        <v>327</v>
      </c>
      <c r="D223" s="22"/>
      <c r="E223" s="663" t="s">
        <v>555</v>
      </c>
      <c r="F223" s="24"/>
      <c r="G223" s="184">
        <f>경비집계표!G38</f>
        <v>0</v>
      </c>
      <c r="H223" s="231"/>
      <c r="I223" s="184"/>
      <c r="J223" s="231"/>
      <c r="K223" s="276"/>
      <c r="L223" s="177"/>
    </row>
    <row r="224" spans="1:12" ht="19.5" customHeight="1">
      <c r="A224" s="697"/>
      <c r="B224" s="698"/>
      <c r="C224" s="702"/>
      <c r="D224" s="22"/>
      <c r="E224" s="24" t="s">
        <v>328</v>
      </c>
      <c r="F224" s="24"/>
      <c r="G224" s="184">
        <f>경비집계표!G39</f>
        <v>8333</v>
      </c>
      <c r="H224" s="231"/>
      <c r="I224" s="184"/>
      <c r="J224" s="231"/>
      <c r="K224" s="276"/>
      <c r="L224" s="177"/>
    </row>
    <row r="225" spans="1:12" ht="19.5" customHeight="1">
      <c r="A225" s="699"/>
      <c r="B225" s="700"/>
      <c r="C225" s="692" t="s">
        <v>29</v>
      </c>
      <c r="D225" s="690"/>
      <c r="E225" s="690"/>
      <c r="F225" s="691"/>
      <c r="G225" s="184">
        <f>경비집계표!G40</f>
        <v>224460</v>
      </c>
      <c r="H225" s="231"/>
      <c r="I225" s="272">
        <f>TRUNC(G225/$G$229*100,2)</f>
        <v>11.02</v>
      </c>
      <c r="J225" s="231"/>
      <c r="K225" s="276"/>
      <c r="L225" s="177" t="str">
        <f>경비집계표!$A$1&amp;"참조"</f>
        <v>&lt; 표 : 11 &gt; 참조</v>
      </c>
    </row>
    <row r="226" spans="1:12" ht="19.5" customHeight="1">
      <c r="A226" s="176"/>
      <c r="B226" s="693" t="s">
        <v>212</v>
      </c>
      <c r="C226" s="693"/>
      <c r="D226" s="693"/>
      <c r="E226" s="693"/>
      <c r="F226" s="274"/>
      <c r="G226" s="184">
        <f>SUM(G213,G225)</f>
        <v>1847732</v>
      </c>
      <c r="H226" s="231"/>
      <c r="I226" s="272">
        <f>TRUNC(G226/$G$229*100,2)</f>
        <v>90.73</v>
      </c>
      <c r="J226" s="231"/>
      <c r="K226" s="276"/>
      <c r="L226" s="466" t="s">
        <v>351</v>
      </c>
    </row>
    <row r="227" spans="1:12" ht="19.5" customHeight="1">
      <c r="A227" s="271"/>
      <c r="B227" s="694" t="s">
        <v>564</v>
      </c>
      <c r="C227" s="693"/>
      <c r="D227" s="693"/>
      <c r="E227" s="693"/>
      <c r="F227" s="275"/>
      <c r="G227" s="184">
        <f>TRUNC(G226*3%,0)</f>
        <v>55431</v>
      </c>
      <c r="H227" s="231"/>
      <c r="I227" s="272">
        <f>TRUNC(G227/$G$229*100,2)</f>
        <v>2.72</v>
      </c>
      <c r="J227" s="231"/>
      <c r="K227" s="276"/>
      <c r="L227" s="671" t="s">
        <v>566</v>
      </c>
    </row>
    <row r="228" spans="1:12" ht="19.5" customHeight="1">
      <c r="A228" s="271"/>
      <c r="B228" s="694" t="s">
        <v>565</v>
      </c>
      <c r="C228" s="693"/>
      <c r="D228" s="693"/>
      <c r="E228" s="693"/>
      <c r="F228" s="275"/>
      <c r="G228" s="184">
        <f>TRUNC(SUM(G213,G225,G227)*7%,0)</f>
        <v>133221</v>
      </c>
      <c r="H228" s="231"/>
      <c r="I228" s="272">
        <f>TRUNC(G228/$G$229*100,2)</f>
        <v>6.54</v>
      </c>
      <c r="J228" s="231"/>
      <c r="K228" s="276"/>
      <c r="L228" s="671" t="s">
        <v>567</v>
      </c>
    </row>
    <row r="229" spans="1:12" ht="19.5" customHeight="1">
      <c r="A229" s="271"/>
      <c r="B229" s="693" t="s">
        <v>385</v>
      </c>
      <c r="C229" s="693"/>
      <c r="D229" s="693"/>
      <c r="E229" s="693"/>
      <c r="F229" s="275"/>
      <c r="G229" s="184">
        <f>SUM(G226:G228)</f>
        <v>2036384</v>
      </c>
      <c r="H229" s="231"/>
      <c r="I229" s="272">
        <f>TRUNC(G229/$G$229*100,2)</f>
        <v>100</v>
      </c>
      <c r="J229" s="231"/>
      <c r="K229" s="276"/>
      <c r="L229" s="466" t="s">
        <v>341</v>
      </c>
    </row>
    <row r="230" spans="1:12" ht="19.5" customHeight="1">
      <c r="A230" s="271"/>
      <c r="B230" s="703" t="s">
        <v>381</v>
      </c>
      <c r="C230" s="703"/>
      <c r="D230" s="703"/>
      <c r="E230" s="703"/>
      <c r="F230" s="508"/>
      <c r="G230" s="460">
        <f>TRUNC(G229*10%)</f>
        <v>203638</v>
      </c>
      <c r="H230" s="505"/>
      <c r="I230" s="507"/>
      <c r="J230" s="505"/>
      <c r="K230" s="506"/>
      <c r="L230" s="466" t="s">
        <v>382</v>
      </c>
    </row>
    <row r="231" spans="1:12" ht="19.5" customHeight="1">
      <c r="A231" s="271"/>
      <c r="B231" s="703" t="s">
        <v>383</v>
      </c>
      <c r="C231" s="703"/>
      <c r="D231" s="703"/>
      <c r="E231" s="703"/>
      <c r="F231" s="508"/>
      <c r="G231" s="460">
        <f>SUM(G229:G230)</f>
        <v>2240022</v>
      </c>
      <c r="H231" s="505"/>
      <c r="I231" s="507"/>
      <c r="J231" s="505"/>
      <c r="K231" s="506"/>
      <c r="L231" s="466" t="s">
        <v>384</v>
      </c>
    </row>
    <row r="232" spans="1:15" ht="19.5" customHeight="1">
      <c r="A232" s="223"/>
      <c r="B232" s="223"/>
      <c r="C232" s="223"/>
      <c r="D232" s="223"/>
      <c r="E232" s="152"/>
      <c r="F232" s="152"/>
      <c r="G232" s="152"/>
      <c r="I232" s="33"/>
      <c r="L232" s="33"/>
      <c r="M232" s="33"/>
      <c r="N232" s="438"/>
      <c r="O232" s="438"/>
    </row>
    <row r="233" spans="1:15" s="168" customFormat="1" ht="39.75" customHeight="1">
      <c r="A233" s="165" t="s">
        <v>398</v>
      </c>
      <c r="B233" s="166"/>
      <c r="C233" s="224"/>
      <c r="D233" s="224"/>
      <c r="E233" s="225"/>
      <c r="F233" s="225"/>
      <c r="G233" s="167"/>
      <c r="H233" s="153"/>
      <c r="I233" s="29"/>
      <c r="J233" s="30"/>
      <c r="K233" s="29"/>
      <c r="L233" s="165"/>
      <c r="N233" s="439"/>
      <c r="O233" s="439"/>
    </row>
    <row r="234" spans="1:15" ht="19.5" customHeight="1">
      <c r="A234" s="260"/>
      <c r="B234" s="261"/>
      <c r="C234" s="260"/>
      <c r="D234" s="260"/>
      <c r="E234" s="261"/>
      <c r="F234" s="261"/>
      <c r="G234" s="154"/>
      <c r="H234" s="262"/>
      <c r="I234" s="31"/>
      <c r="J234" s="32"/>
      <c r="K234" s="31"/>
      <c r="L234" s="182"/>
      <c r="O234" s="439"/>
    </row>
    <row r="235" spans="1:15" ht="19.5" customHeight="1">
      <c r="A235" s="169" t="str">
        <f>"구 분 : "&amp;월기본급!B16&amp;"                       직종명 : "&amp;월기본급!F16&amp;""</f>
        <v>구 분 : 경비원                       직종명 : 보통인부</v>
      </c>
      <c r="B235" s="170"/>
      <c r="C235" s="169"/>
      <c r="D235" s="169"/>
      <c r="G235" s="171"/>
      <c r="H235" s="171"/>
      <c r="I235" s="171"/>
      <c r="L235" s="263" t="s">
        <v>18</v>
      </c>
      <c r="O235" s="439"/>
    </row>
    <row r="236" spans="1:15" ht="19.5" customHeight="1">
      <c r="A236" s="264"/>
      <c r="B236" s="265"/>
      <c r="C236" s="265"/>
      <c r="D236" s="265"/>
      <c r="E236" s="266" t="s">
        <v>19</v>
      </c>
      <c r="F236" s="266"/>
      <c r="G236" s="708" t="s">
        <v>20</v>
      </c>
      <c r="H236" s="709"/>
      <c r="I236" s="708" t="s">
        <v>21</v>
      </c>
      <c r="J236" s="709"/>
      <c r="K236" s="277"/>
      <c r="L236" s="709" t="s">
        <v>22</v>
      </c>
      <c r="O236" s="439"/>
    </row>
    <row r="237" spans="1:12" ht="19.5" customHeight="1">
      <c r="A237" s="267" t="s">
        <v>23</v>
      </c>
      <c r="B237" s="273"/>
      <c r="C237" s="268"/>
      <c r="D237" s="268"/>
      <c r="E237" s="268"/>
      <c r="F237" s="268"/>
      <c r="G237" s="710"/>
      <c r="H237" s="711"/>
      <c r="I237" s="710"/>
      <c r="J237" s="711"/>
      <c r="K237" s="278"/>
      <c r="L237" s="711"/>
    </row>
    <row r="238" spans="1:12" ht="19.5" customHeight="1">
      <c r="A238" s="695" t="s">
        <v>245</v>
      </c>
      <c r="B238" s="696"/>
      <c r="C238" s="692" t="s">
        <v>24</v>
      </c>
      <c r="D238" s="690"/>
      <c r="E238" s="690"/>
      <c r="F238" s="691"/>
      <c r="G238" s="184">
        <f>단위당인건비!E174</f>
        <v>1038030</v>
      </c>
      <c r="H238" s="231"/>
      <c r="I238" s="184"/>
      <c r="J238" s="231"/>
      <c r="K238" s="276"/>
      <c r="L238" s="21"/>
    </row>
    <row r="239" spans="1:12" ht="19.5" customHeight="1">
      <c r="A239" s="697"/>
      <c r="B239" s="698"/>
      <c r="C239" s="701" t="s">
        <v>323</v>
      </c>
      <c r="D239" s="22"/>
      <c r="E239" s="24" t="s">
        <v>1</v>
      </c>
      <c r="F239" s="22"/>
      <c r="G239" s="184">
        <f>단위당인건비!E175</f>
        <v>5100</v>
      </c>
      <c r="H239" s="231"/>
      <c r="I239" s="184"/>
      <c r="J239" s="231"/>
      <c r="K239" s="276"/>
      <c r="L239" s="21"/>
    </row>
    <row r="240" spans="1:12" ht="19.5" customHeight="1">
      <c r="A240" s="697"/>
      <c r="B240" s="698"/>
      <c r="C240" s="704"/>
      <c r="D240" s="22"/>
      <c r="E240" s="24" t="s">
        <v>287</v>
      </c>
      <c r="F240" s="269"/>
      <c r="G240" s="184">
        <f>단위당인건비!E176</f>
        <v>59599</v>
      </c>
      <c r="H240" s="231"/>
      <c r="I240" s="184"/>
      <c r="J240" s="231"/>
      <c r="K240" s="276"/>
      <c r="L240" s="21"/>
    </row>
    <row r="241" spans="1:12" ht="19.5" customHeight="1">
      <c r="A241" s="697"/>
      <c r="B241" s="698"/>
      <c r="C241" s="704"/>
      <c r="D241" s="22"/>
      <c r="E241" s="24" t="s">
        <v>6</v>
      </c>
      <c r="F241" s="269"/>
      <c r="G241" s="184">
        <f>단위당인건비!E177</f>
        <v>49666</v>
      </c>
      <c r="H241" s="231"/>
      <c r="I241" s="184"/>
      <c r="J241" s="231"/>
      <c r="K241" s="276"/>
      <c r="L241" s="21"/>
    </row>
    <row r="242" spans="1:12" ht="19.5" customHeight="1">
      <c r="A242" s="697"/>
      <c r="B242" s="698"/>
      <c r="C242" s="704"/>
      <c r="D242" s="22"/>
      <c r="E242" s="24" t="s">
        <v>325</v>
      </c>
      <c r="F242" s="269"/>
      <c r="G242" s="184">
        <f>단위당인건비!E178</f>
        <v>0</v>
      </c>
      <c r="H242" s="231"/>
      <c r="I242" s="184"/>
      <c r="J242" s="231"/>
      <c r="K242" s="276"/>
      <c r="L242" s="21"/>
    </row>
    <row r="243" spans="1:12" ht="19.5" customHeight="1">
      <c r="A243" s="697"/>
      <c r="B243" s="698"/>
      <c r="C243" s="702"/>
      <c r="D243" s="22"/>
      <c r="E243" s="270" t="s">
        <v>26</v>
      </c>
      <c r="F243" s="270"/>
      <c r="G243" s="184">
        <f>단위당인건비!E179</f>
        <v>114365</v>
      </c>
      <c r="H243" s="231"/>
      <c r="I243" s="244"/>
      <c r="J243" s="231"/>
      <c r="K243" s="276"/>
      <c r="L243" s="177"/>
    </row>
    <row r="244" spans="1:12" ht="19.5" customHeight="1">
      <c r="A244" s="697"/>
      <c r="B244" s="698"/>
      <c r="C244" s="692" t="s">
        <v>27</v>
      </c>
      <c r="D244" s="690"/>
      <c r="E244" s="690"/>
      <c r="F244" s="691"/>
      <c r="G244" s="184">
        <f>단위당인건비!E180</f>
        <v>346010</v>
      </c>
      <c r="H244" s="231"/>
      <c r="I244" s="244"/>
      <c r="J244" s="231"/>
      <c r="K244" s="276"/>
      <c r="L244" s="177"/>
    </row>
    <row r="245" spans="1:12" ht="19.5" customHeight="1">
      <c r="A245" s="697"/>
      <c r="B245" s="698"/>
      <c r="C245" s="692" t="s">
        <v>28</v>
      </c>
      <c r="D245" s="690"/>
      <c r="E245" s="690"/>
      <c r="F245" s="691"/>
      <c r="G245" s="184">
        <f>단위당인건비!E181</f>
        <v>124867</v>
      </c>
      <c r="H245" s="231"/>
      <c r="I245" s="244"/>
      <c r="J245" s="231"/>
      <c r="K245" s="276"/>
      <c r="L245" s="177"/>
    </row>
    <row r="246" spans="1:12" ht="19.5" customHeight="1">
      <c r="A246" s="699"/>
      <c r="B246" s="700"/>
      <c r="C246" s="692" t="s">
        <v>29</v>
      </c>
      <c r="D246" s="690"/>
      <c r="E246" s="690"/>
      <c r="F246" s="691"/>
      <c r="G246" s="184">
        <f>단위당인건비!E182</f>
        <v>1623272</v>
      </c>
      <c r="H246" s="231"/>
      <c r="I246" s="272">
        <f>TRUNC(G246/$G$262*100,2)</f>
        <v>80.07</v>
      </c>
      <c r="J246" s="231"/>
      <c r="K246" s="276"/>
      <c r="L246" s="177" t="str">
        <f>단위당인건비!$A$1&amp;"참조"</f>
        <v>&lt; 표 : 5 &gt; 참조</v>
      </c>
    </row>
    <row r="247" spans="1:14" ht="19.5" customHeight="1">
      <c r="A247" s="695" t="s">
        <v>256</v>
      </c>
      <c r="B247" s="696"/>
      <c r="C247" s="701" t="s">
        <v>5</v>
      </c>
      <c r="D247" s="22"/>
      <c r="E247" s="24" t="s">
        <v>30</v>
      </c>
      <c r="F247" s="24"/>
      <c r="G247" s="184">
        <f>경비집계표!H29</f>
        <v>31466</v>
      </c>
      <c r="H247" s="231"/>
      <c r="I247" s="184"/>
      <c r="J247" s="231"/>
      <c r="K247" s="276"/>
      <c r="L247" s="177"/>
      <c r="M247" s="463">
        <f>TRUNC(SUM(G238+G243+G244)*2.1%)</f>
        <v>31466</v>
      </c>
      <c r="N247" s="463">
        <f aca="true" t="shared" si="7" ref="N247:N252">G247-M247</f>
        <v>0</v>
      </c>
    </row>
    <row r="248" spans="1:14" ht="19.5" customHeight="1">
      <c r="A248" s="697"/>
      <c r="B248" s="698"/>
      <c r="C248" s="704"/>
      <c r="D248" s="22"/>
      <c r="E248" s="24" t="s">
        <v>31</v>
      </c>
      <c r="F248" s="24"/>
      <c r="G248" s="184">
        <f>경비집계표!H30</f>
        <v>67428</v>
      </c>
      <c r="H248" s="231"/>
      <c r="I248" s="184"/>
      <c r="J248" s="231"/>
      <c r="K248" s="276"/>
      <c r="L248" s="177"/>
      <c r="M248" s="463">
        <f>TRUNC(SUM(G238+G243+G244)*4.5%)</f>
        <v>67428</v>
      </c>
      <c r="N248" s="463">
        <f t="shared" si="7"/>
        <v>0</v>
      </c>
    </row>
    <row r="249" spans="1:14" ht="19.5" customHeight="1">
      <c r="A249" s="697"/>
      <c r="B249" s="698"/>
      <c r="C249" s="704"/>
      <c r="D249" s="22"/>
      <c r="E249" s="24" t="s">
        <v>32</v>
      </c>
      <c r="F249" s="24"/>
      <c r="G249" s="184">
        <f>경비집계표!H31</f>
        <v>10488</v>
      </c>
      <c r="H249" s="231"/>
      <c r="I249" s="184"/>
      <c r="J249" s="231"/>
      <c r="K249" s="276"/>
      <c r="L249" s="177"/>
      <c r="M249" s="463">
        <f>TRUNC(SUM(G238+G243+G244)*1.15%)</f>
        <v>17231</v>
      </c>
      <c r="N249" s="463">
        <f t="shared" si="7"/>
        <v>-6743</v>
      </c>
    </row>
    <row r="250" spans="1:14" ht="19.5" customHeight="1">
      <c r="A250" s="697"/>
      <c r="B250" s="698"/>
      <c r="C250" s="704"/>
      <c r="D250" s="22"/>
      <c r="E250" s="24" t="s">
        <v>33</v>
      </c>
      <c r="F250" s="24"/>
      <c r="G250" s="184">
        <f>경비집계표!H32</f>
        <v>39932</v>
      </c>
      <c r="H250" s="231"/>
      <c r="I250" s="184"/>
      <c r="J250" s="231"/>
      <c r="K250" s="276"/>
      <c r="L250" s="177"/>
      <c r="M250" s="463">
        <f>TRUNC(SUM(G238+G243+G244)*2.54%)</f>
        <v>38059</v>
      </c>
      <c r="N250" s="463">
        <f t="shared" si="7"/>
        <v>1873</v>
      </c>
    </row>
    <row r="251" spans="1:14" ht="19.5" customHeight="1">
      <c r="A251" s="697"/>
      <c r="B251" s="698"/>
      <c r="C251" s="704"/>
      <c r="D251" s="22"/>
      <c r="E251" s="329" t="s">
        <v>322</v>
      </c>
      <c r="F251" s="24"/>
      <c r="G251" s="184">
        <f>경비집계표!H33</f>
        <v>2615</v>
      </c>
      <c r="H251" s="231"/>
      <c r="I251" s="184"/>
      <c r="J251" s="231"/>
      <c r="K251" s="276"/>
      <c r="L251" s="177"/>
      <c r="M251" s="463">
        <f>TRUNC(M250*4.78%)</f>
        <v>1819</v>
      </c>
      <c r="N251" s="463">
        <f t="shared" si="7"/>
        <v>796</v>
      </c>
    </row>
    <row r="252" spans="1:14" ht="19.5" customHeight="1">
      <c r="A252" s="697"/>
      <c r="B252" s="698"/>
      <c r="C252" s="704"/>
      <c r="D252" s="22"/>
      <c r="E252" s="24" t="s">
        <v>34</v>
      </c>
      <c r="F252" s="24"/>
      <c r="G252" s="184">
        <f>경비집계표!H34</f>
        <v>1198</v>
      </c>
      <c r="H252" s="231"/>
      <c r="I252" s="184"/>
      <c r="J252" s="231"/>
      <c r="K252" s="276"/>
      <c r="L252" s="177"/>
      <c r="M252" s="463">
        <f>TRUNC(SUM(G238+G243+G244)*0.04%)</f>
        <v>599</v>
      </c>
      <c r="N252" s="463">
        <f t="shared" si="7"/>
        <v>599</v>
      </c>
    </row>
    <row r="253" spans="1:14" ht="19.5" customHeight="1">
      <c r="A253" s="697"/>
      <c r="B253" s="698"/>
      <c r="C253" s="702"/>
      <c r="D253" s="22"/>
      <c r="E253" s="270" t="s">
        <v>26</v>
      </c>
      <c r="F253" s="24"/>
      <c r="G253" s="184">
        <f>경비집계표!H35</f>
        <v>153127</v>
      </c>
      <c r="H253" s="231"/>
      <c r="I253" s="184"/>
      <c r="J253" s="231"/>
      <c r="K253" s="276"/>
      <c r="L253" s="177"/>
      <c r="M253" s="464">
        <f>SUM(M247:M252)</f>
        <v>156602</v>
      </c>
      <c r="N253" s="463">
        <f>G253-M253</f>
        <v>-3475</v>
      </c>
    </row>
    <row r="254" spans="1:12" ht="19.5" customHeight="1">
      <c r="A254" s="697"/>
      <c r="B254" s="698"/>
      <c r="C254" s="705" t="s">
        <v>388</v>
      </c>
      <c r="D254" s="22"/>
      <c r="E254" s="24" t="s">
        <v>35</v>
      </c>
      <c r="F254" s="24"/>
      <c r="G254" s="184">
        <f>경비집계표!H36</f>
        <v>63000</v>
      </c>
      <c r="H254" s="231"/>
      <c r="I254" s="184"/>
      <c r="J254" s="231"/>
      <c r="K254" s="276"/>
      <c r="L254" s="177"/>
    </row>
    <row r="255" spans="1:12" ht="19.5" customHeight="1">
      <c r="A255" s="697"/>
      <c r="B255" s="698"/>
      <c r="C255" s="706"/>
      <c r="D255" s="22"/>
      <c r="E255" s="270" t="s">
        <v>26</v>
      </c>
      <c r="F255" s="24"/>
      <c r="G255" s="184">
        <f>경비집계표!H37</f>
        <v>63000</v>
      </c>
      <c r="H255" s="231"/>
      <c r="I255" s="184"/>
      <c r="J255" s="231"/>
      <c r="K255" s="276"/>
      <c r="L255" s="177"/>
    </row>
    <row r="256" spans="1:12" ht="19.5" customHeight="1">
      <c r="A256" s="697"/>
      <c r="B256" s="698"/>
      <c r="C256" s="701" t="s">
        <v>327</v>
      </c>
      <c r="D256" s="22"/>
      <c r="E256" s="663" t="s">
        <v>555</v>
      </c>
      <c r="F256" s="24"/>
      <c r="G256" s="184">
        <f>경비집계표!H38</f>
        <v>0</v>
      </c>
      <c r="H256" s="231"/>
      <c r="I256" s="184"/>
      <c r="J256" s="231"/>
      <c r="K256" s="276"/>
      <c r="L256" s="177"/>
    </row>
    <row r="257" spans="1:12" ht="19.5" customHeight="1">
      <c r="A257" s="697"/>
      <c r="B257" s="698"/>
      <c r="C257" s="702"/>
      <c r="D257" s="22"/>
      <c r="E257" s="24" t="s">
        <v>328</v>
      </c>
      <c r="F257" s="24"/>
      <c r="G257" s="184">
        <f>경비집계표!H39</f>
        <v>0</v>
      </c>
      <c r="H257" s="231"/>
      <c r="I257" s="184"/>
      <c r="J257" s="231"/>
      <c r="K257" s="276"/>
      <c r="L257" s="177"/>
    </row>
    <row r="258" spans="1:12" ht="19.5" customHeight="1">
      <c r="A258" s="699"/>
      <c r="B258" s="700"/>
      <c r="C258" s="692" t="s">
        <v>29</v>
      </c>
      <c r="D258" s="690"/>
      <c r="E258" s="690"/>
      <c r="F258" s="691"/>
      <c r="G258" s="184">
        <f>경비집계표!H40</f>
        <v>216127</v>
      </c>
      <c r="H258" s="231"/>
      <c r="I258" s="272">
        <f>ROUNDUP(G258/$G$262*100,1)</f>
        <v>10.7</v>
      </c>
      <c r="J258" s="231"/>
      <c r="K258" s="276"/>
      <c r="L258" s="177" t="str">
        <f>경비집계표!$A$1&amp;"참조"</f>
        <v>&lt; 표 : 11 &gt; 참조</v>
      </c>
    </row>
    <row r="259" spans="1:12" ht="19.5" customHeight="1">
      <c r="A259" s="176"/>
      <c r="B259" s="693" t="s">
        <v>212</v>
      </c>
      <c r="C259" s="693"/>
      <c r="D259" s="693"/>
      <c r="E259" s="693"/>
      <c r="F259" s="274"/>
      <c r="G259" s="184">
        <f>SUM(G246,G258)</f>
        <v>1839399</v>
      </c>
      <c r="H259" s="231"/>
      <c r="I259" s="272">
        <f>TRUNC(G259/$G$262*100,2)</f>
        <v>90.73</v>
      </c>
      <c r="J259" s="231"/>
      <c r="K259" s="276"/>
      <c r="L259" s="466" t="s">
        <v>351</v>
      </c>
    </row>
    <row r="260" spans="1:12" ht="19.5" customHeight="1">
      <c r="A260" s="271"/>
      <c r="B260" s="694" t="s">
        <v>564</v>
      </c>
      <c r="C260" s="693"/>
      <c r="D260" s="693"/>
      <c r="E260" s="693"/>
      <c r="F260" s="275"/>
      <c r="G260" s="184">
        <f>TRUNC(G259*3%,0)</f>
        <v>55181</v>
      </c>
      <c r="H260" s="231"/>
      <c r="I260" s="272">
        <f>TRUNC(G260/$G$262*100,2)</f>
        <v>2.72</v>
      </c>
      <c r="J260" s="231"/>
      <c r="K260" s="276"/>
      <c r="L260" s="671" t="s">
        <v>566</v>
      </c>
    </row>
    <row r="261" spans="1:12" ht="19.5" customHeight="1">
      <c r="A261" s="271"/>
      <c r="B261" s="694" t="s">
        <v>565</v>
      </c>
      <c r="C261" s="693"/>
      <c r="D261" s="693"/>
      <c r="E261" s="693"/>
      <c r="F261" s="275"/>
      <c r="G261" s="184">
        <f>TRUNC(SUM(G246,G258,G260)*7%,0)</f>
        <v>132620</v>
      </c>
      <c r="H261" s="231"/>
      <c r="I261" s="272">
        <f>TRUNC(G261/$G$262*100,2)</f>
        <v>6.54</v>
      </c>
      <c r="J261" s="231"/>
      <c r="K261" s="276"/>
      <c r="L261" s="671" t="s">
        <v>567</v>
      </c>
    </row>
    <row r="262" spans="1:12" ht="19.5" customHeight="1">
      <c r="A262" s="271"/>
      <c r="B262" s="693" t="s">
        <v>385</v>
      </c>
      <c r="C262" s="693"/>
      <c r="D262" s="693"/>
      <c r="E262" s="693"/>
      <c r="F262" s="275"/>
      <c r="G262" s="184">
        <f>SUM(G259:G261)</f>
        <v>2027200</v>
      </c>
      <c r="H262" s="231"/>
      <c r="I262" s="272">
        <f>TRUNC(G262/$G$262*100,2)</f>
        <v>100</v>
      </c>
      <c r="J262" s="231"/>
      <c r="K262" s="276"/>
      <c r="L262" s="466" t="s">
        <v>341</v>
      </c>
    </row>
    <row r="263" spans="1:12" ht="19.5" customHeight="1">
      <c r="A263" s="271"/>
      <c r="B263" s="703" t="s">
        <v>381</v>
      </c>
      <c r="C263" s="703"/>
      <c r="D263" s="703"/>
      <c r="E263" s="703"/>
      <c r="F263" s="508"/>
      <c r="G263" s="460">
        <f>TRUNC(G262*10%)</f>
        <v>202720</v>
      </c>
      <c r="H263" s="505"/>
      <c r="I263" s="507"/>
      <c r="J263" s="505"/>
      <c r="K263" s="506"/>
      <c r="L263" s="466" t="s">
        <v>382</v>
      </c>
    </row>
    <row r="264" spans="1:12" ht="19.5" customHeight="1">
      <c r="A264" s="271"/>
      <c r="B264" s="703" t="s">
        <v>383</v>
      </c>
      <c r="C264" s="703"/>
      <c r="D264" s="703"/>
      <c r="E264" s="703"/>
      <c r="F264" s="508"/>
      <c r="G264" s="460">
        <f>SUM(G262:G263)</f>
        <v>2229920</v>
      </c>
      <c r="H264" s="505"/>
      <c r="I264" s="507"/>
      <c r="J264" s="505"/>
      <c r="K264" s="506"/>
      <c r="L264" s="466" t="s">
        <v>384</v>
      </c>
    </row>
    <row r="265" spans="1:15" ht="19.5" customHeight="1">
      <c r="A265" s="223"/>
      <c r="B265" s="223"/>
      <c r="C265" s="223"/>
      <c r="D265" s="223"/>
      <c r="E265" s="152"/>
      <c r="F265" s="152"/>
      <c r="G265" s="152"/>
      <c r="I265" s="33"/>
      <c r="L265" s="33"/>
      <c r="M265" s="33"/>
      <c r="N265" s="438"/>
      <c r="O265" s="438"/>
    </row>
    <row r="266" spans="1:15" s="168" customFormat="1" ht="39.75" customHeight="1">
      <c r="A266" s="165" t="s">
        <v>399</v>
      </c>
      <c r="B266" s="166"/>
      <c r="C266" s="224"/>
      <c r="D266" s="224"/>
      <c r="E266" s="225"/>
      <c r="F266" s="225"/>
      <c r="G266" s="167"/>
      <c r="H266" s="153"/>
      <c r="I266" s="29"/>
      <c r="J266" s="30"/>
      <c r="K266" s="29"/>
      <c r="L266" s="165"/>
      <c r="N266" s="439"/>
      <c r="O266" s="439"/>
    </row>
    <row r="267" spans="1:15" ht="19.5" customHeight="1">
      <c r="A267" s="260"/>
      <c r="B267" s="261"/>
      <c r="C267" s="260"/>
      <c r="D267" s="260"/>
      <c r="E267" s="261"/>
      <c r="F267" s="261"/>
      <c r="G267" s="154"/>
      <c r="H267" s="262"/>
      <c r="I267" s="31"/>
      <c r="J267" s="32"/>
      <c r="K267" s="31"/>
      <c r="L267" s="182"/>
      <c r="O267" s="439"/>
    </row>
    <row r="268" spans="1:15" ht="19.5" customHeight="1">
      <c r="A268" s="169" t="str">
        <f>"구 분 : "&amp;월기본급!B17&amp;"                       직종명 : "&amp;월기본급!F17&amp;""</f>
        <v>구 분 : 주차관리                       직종명 : 보통인부</v>
      </c>
      <c r="B268" s="170"/>
      <c r="C268" s="169"/>
      <c r="D268" s="169"/>
      <c r="G268" s="171"/>
      <c r="H268" s="171"/>
      <c r="I268" s="171"/>
      <c r="L268" s="263" t="s">
        <v>18</v>
      </c>
      <c r="O268" s="439"/>
    </row>
    <row r="269" spans="1:15" ht="19.5" customHeight="1">
      <c r="A269" s="264"/>
      <c r="B269" s="265"/>
      <c r="C269" s="265"/>
      <c r="D269" s="265"/>
      <c r="E269" s="266" t="s">
        <v>19</v>
      </c>
      <c r="F269" s="266"/>
      <c r="G269" s="708" t="s">
        <v>20</v>
      </c>
      <c r="H269" s="709"/>
      <c r="I269" s="708" t="s">
        <v>21</v>
      </c>
      <c r="J269" s="709"/>
      <c r="K269" s="277"/>
      <c r="L269" s="709" t="s">
        <v>22</v>
      </c>
      <c r="O269" s="439"/>
    </row>
    <row r="270" spans="1:12" ht="19.5" customHeight="1">
      <c r="A270" s="267" t="s">
        <v>23</v>
      </c>
      <c r="B270" s="273"/>
      <c r="C270" s="268"/>
      <c r="D270" s="268"/>
      <c r="E270" s="268"/>
      <c r="F270" s="268"/>
      <c r="G270" s="710"/>
      <c r="H270" s="711"/>
      <c r="I270" s="710"/>
      <c r="J270" s="711"/>
      <c r="K270" s="278"/>
      <c r="L270" s="711"/>
    </row>
    <row r="271" spans="1:12" ht="19.5" customHeight="1">
      <c r="A271" s="695" t="s">
        <v>245</v>
      </c>
      <c r="B271" s="696"/>
      <c r="C271" s="692" t="s">
        <v>24</v>
      </c>
      <c r="D271" s="690"/>
      <c r="E271" s="690"/>
      <c r="F271" s="691"/>
      <c r="G271" s="184">
        <f>단위당인건비!E195</f>
        <v>1038030</v>
      </c>
      <c r="H271" s="231"/>
      <c r="I271" s="184"/>
      <c r="J271" s="231"/>
      <c r="K271" s="276"/>
      <c r="L271" s="21"/>
    </row>
    <row r="272" spans="1:12" ht="19.5" customHeight="1">
      <c r="A272" s="697"/>
      <c r="B272" s="698"/>
      <c r="C272" s="701" t="s">
        <v>323</v>
      </c>
      <c r="D272" s="22"/>
      <c r="E272" s="24" t="s">
        <v>1</v>
      </c>
      <c r="F272" s="22"/>
      <c r="G272" s="184">
        <f>단위당인건비!E196</f>
        <v>5100</v>
      </c>
      <c r="H272" s="231"/>
      <c r="I272" s="184"/>
      <c r="J272" s="231"/>
      <c r="K272" s="276"/>
      <c r="L272" s="21"/>
    </row>
    <row r="273" spans="1:12" ht="19.5" customHeight="1">
      <c r="A273" s="697"/>
      <c r="B273" s="698"/>
      <c r="C273" s="704"/>
      <c r="D273" s="22"/>
      <c r="E273" s="24" t="s">
        <v>287</v>
      </c>
      <c r="F273" s="269"/>
      <c r="G273" s="184">
        <f>단위당인건비!E197</f>
        <v>59599</v>
      </c>
      <c r="H273" s="231"/>
      <c r="I273" s="184"/>
      <c r="J273" s="231"/>
      <c r="K273" s="276"/>
      <c r="L273" s="21"/>
    </row>
    <row r="274" spans="1:12" ht="19.5" customHeight="1">
      <c r="A274" s="697"/>
      <c r="B274" s="698"/>
      <c r="C274" s="704"/>
      <c r="D274" s="22"/>
      <c r="E274" s="24" t="s">
        <v>6</v>
      </c>
      <c r="F274" s="269"/>
      <c r="G274" s="184">
        <f>단위당인건비!E198</f>
        <v>49666</v>
      </c>
      <c r="H274" s="231"/>
      <c r="I274" s="184"/>
      <c r="J274" s="231"/>
      <c r="K274" s="276"/>
      <c r="L274" s="21"/>
    </row>
    <row r="275" spans="1:12" ht="19.5" customHeight="1">
      <c r="A275" s="697"/>
      <c r="B275" s="698"/>
      <c r="C275" s="704"/>
      <c r="D275" s="22"/>
      <c r="E275" s="24" t="s">
        <v>325</v>
      </c>
      <c r="F275" s="269"/>
      <c r="G275" s="184">
        <f>단위당인건비!E199</f>
        <v>0</v>
      </c>
      <c r="H275" s="231"/>
      <c r="I275" s="184"/>
      <c r="J275" s="231"/>
      <c r="K275" s="276"/>
      <c r="L275" s="21"/>
    </row>
    <row r="276" spans="1:12" ht="19.5" customHeight="1">
      <c r="A276" s="697"/>
      <c r="B276" s="698"/>
      <c r="C276" s="702"/>
      <c r="D276" s="22"/>
      <c r="E276" s="270" t="s">
        <v>26</v>
      </c>
      <c r="F276" s="270"/>
      <c r="G276" s="184">
        <f>단위당인건비!E200</f>
        <v>114365</v>
      </c>
      <c r="H276" s="231"/>
      <c r="I276" s="244"/>
      <c r="J276" s="231"/>
      <c r="K276" s="276"/>
      <c r="L276" s="177"/>
    </row>
    <row r="277" spans="1:12" ht="19.5" customHeight="1">
      <c r="A277" s="697"/>
      <c r="B277" s="698"/>
      <c r="C277" s="692" t="s">
        <v>27</v>
      </c>
      <c r="D277" s="690"/>
      <c r="E277" s="690"/>
      <c r="F277" s="691"/>
      <c r="G277" s="184">
        <f>단위당인건비!E201</f>
        <v>346010</v>
      </c>
      <c r="H277" s="231"/>
      <c r="I277" s="244"/>
      <c r="J277" s="231"/>
      <c r="K277" s="276"/>
      <c r="L277" s="177"/>
    </row>
    <row r="278" spans="1:12" ht="19.5" customHeight="1">
      <c r="A278" s="697"/>
      <c r="B278" s="698"/>
      <c r="C278" s="692" t="s">
        <v>28</v>
      </c>
      <c r="D278" s="690"/>
      <c r="E278" s="690"/>
      <c r="F278" s="691"/>
      <c r="G278" s="184">
        <f>단위당인건비!E202</f>
        <v>124867</v>
      </c>
      <c r="H278" s="231"/>
      <c r="I278" s="244"/>
      <c r="J278" s="231"/>
      <c r="K278" s="276"/>
      <c r="L278" s="177"/>
    </row>
    <row r="279" spans="1:12" ht="19.5" customHeight="1">
      <c r="A279" s="699"/>
      <c r="B279" s="700"/>
      <c r="C279" s="692" t="s">
        <v>29</v>
      </c>
      <c r="D279" s="690"/>
      <c r="E279" s="690"/>
      <c r="F279" s="691"/>
      <c r="G279" s="184">
        <f>단위당인건비!E203</f>
        <v>1623272</v>
      </c>
      <c r="H279" s="231"/>
      <c r="I279" s="272">
        <f>TRUNC(G279/$G$295*100,2)</f>
        <v>80.07</v>
      </c>
      <c r="J279" s="231"/>
      <c r="K279" s="276"/>
      <c r="L279" s="177" t="str">
        <f>단위당인건비!$A$1&amp;"참조"</f>
        <v>&lt; 표 : 5 &gt; 참조</v>
      </c>
    </row>
    <row r="280" spans="1:14" ht="19.5" customHeight="1">
      <c r="A280" s="695" t="s">
        <v>256</v>
      </c>
      <c r="B280" s="696"/>
      <c r="C280" s="701" t="s">
        <v>5</v>
      </c>
      <c r="D280" s="22"/>
      <c r="E280" s="24" t="s">
        <v>30</v>
      </c>
      <c r="F280" s="24"/>
      <c r="G280" s="184">
        <f>경비집계표!E51</f>
        <v>31466</v>
      </c>
      <c r="H280" s="231"/>
      <c r="I280" s="184"/>
      <c r="J280" s="231"/>
      <c r="K280" s="276"/>
      <c r="L280" s="177"/>
      <c r="M280" s="463">
        <f>TRUNC(SUM(G271+G276+G277)*2.1%)</f>
        <v>31466</v>
      </c>
      <c r="N280" s="463">
        <f aca="true" t="shared" si="8" ref="N280:N285">G280-M280</f>
        <v>0</v>
      </c>
    </row>
    <row r="281" spans="1:14" ht="19.5" customHeight="1">
      <c r="A281" s="697"/>
      <c r="B281" s="698"/>
      <c r="C281" s="704"/>
      <c r="D281" s="22"/>
      <c r="E281" s="24" t="s">
        <v>31</v>
      </c>
      <c r="F281" s="24"/>
      <c r="G281" s="184">
        <f>경비집계표!E52</f>
        <v>67428</v>
      </c>
      <c r="H281" s="231"/>
      <c r="I281" s="184"/>
      <c r="J281" s="231"/>
      <c r="K281" s="276"/>
      <c r="L281" s="177"/>
      <c r="M281" s="463">
        <f>TRUNC(SUM(G271+G276+G277)*4.5%)</f>
        <v>67428</v>
      </c>
      <c r="N281" s="463">
        <f t="shared" si="8"/>
        <v>0</v>
      </c>
    </row>
    <row r="282" spans="1:14" ht="19.5" customHeight="1">
      <c r="A282" s="697"/>
      <c r="B282" s="698"/>
      <c r="C282" s="704"/>
      <c r="D282" s="22"/>
      <c r="E282" s="24" t="s">
        <v>32</v>
      </c>
      <c r="F282" s="24"/>
      <c r="G282" s="184">
        <f>경비집계표!E53</f>
        <v>10488</v>
      </c>
      <c r="H282" s="231"/>
      <c r="I282" s="184"/>
      <c r="J282" s="231"/>
      <c r="K282" s="276"/>
      <c r="L282" s="177"/>
      <c r="M282" s="463">
        <f>TRUNC(SUM(G271+G276+G277)*1.15%)</f>
        <v>17231</v>
      </c>
      <c r="N282" s="463">
        <f t="shared" si="8"/>
        <v>-6743</v>
      </c>
    </row>
    <row r="283" spans="1:14" ht="19.5" customHeight="1">
      <c r="A283" s="697"/>
      <c r="B283" s="698"/>
      <c r="C283" s="704"/>
      <c r="D283" s="22"/>
      <c r="E283" s="24" t="s">
        <v>33</v>
      </c>
      <c r="F283" s="24"/>
      <c r="G283" s="184">
        <f>경비집계표!E54</f>
        <v>39932</v>
      </c>
      <c r="H283" s="231"/>
      <c r="I283" s="184"/>
      <c r="J283" s="231"/>
      <c r="K283" s="276"/>
      <c r="L283" s="177"/>
      <c r="M283" s="463">
        <f>TRUNC(SUM(G271+G276+G277)*2.54%)</f>
        <v>38059</v>
      </c>
      <c r="N283" s="463">
        <f t="shared" si="8"/>
        <v>1873</v>
      </c>
    </row>
    <row r="284" spans="1:14" ht="19.5" customHeight="1">
      <c r="A284" s="697"/>
      <c r="B284" s="698"/>
      <c r="C284" s="704"/>
      <c r="D284" s="22"/>
      <c r="E284" s="329" t="s">
        <v>322</v>
      </c>
      <c r="F284" s="24"/>
      <c r="G284" s="184">
        <f>경비집계표!E55</f>
        <v>2615</v>
      </c>
      <c r="H284" s="231"/>
      <c r="I284" s="184"/>
      <c r="J284" s="231"/>
      <c r="K284" s="276"/>
      <c r="L284" s="177"/>
      <c r="M284" s="463">
        <f>TRUNC(M283*4.78%)</f>
        <v>1819</v>
      </c>
      <c r="N284" s="463">
        <f t="shared" si="8"/>
        <v>796</v>
      </c>
    </row>
    <row r="285" spans="1:14" ht="19.5" customHeight="1">
      <c r="A285" s="697"/>
      <c r="B285" s="698"/>
      <c r="C285" s="704"/>
      <c r="D285" s="22"/>
      <c r="E285" s="24" t="s">
        <v>34</v>
      </c>
      <c r="F285" s="24"/>
      <c r="G285" s="184">
        <f>경비집계표!E56</f>
        <v>1198</v>
      </c>
      <c r="H285" s="231"/>
      <c r="I285" s="184"/>
      <c r="J285" s="231"/>
      <c r="K285" s="276"/>
      <c r="L285" s="177"/>
      <c r="M285" s="463">
        <f>TRUNC(SUM(G271+G276+G277)*0.04%)</f>
        <v>599</v>
      </c>
      <c r="N285" s="463">
        <f t="shared" si="8"/>
        <v>599</v>
      </c>
    </row>
    <row r="286" spans="1:14" ht="19.5" customHeight="1">
      <c r="A286" s="697"/>
      <c r="B286" s="698"/>
      <c r="C286" s="702"/>
      <c r="D286" s="22"/>
      <c r="E286" s="270" t="s">
        <v>26</v>
      </c>
      <c r="F286" s="24"/>
      <c r="G286" s="184">
        <f>경비집계표!E57</f>
        <v>153127</v>
      </c>
      <c r="H286" s="231"/>
      <c r="I286" s="184"/>
      <c r="J286" s="231"/>
      <c r="K286" s="276"/>
      <c r="L286" s="177"/>
      <c r="M286" s="464">
        <f>SUM(M280:M285)</f>
        <v>156602</v>
      </c>
      <c r="N286" s="463">
        <f>G286-M286</f>
        <v>-3475</v>
      </c>
    </row>
    <row r="287" spans="1:12" ht="19.5" customHeight="1">
      <c r="A287" s="697"/>
      <c r="B287" s="698"/>
      <c r="C287" s="705" t="s">
        <v>388</v>
      </c>
      <c r="D287" s="22"/>
      <c r="E287" s="24" t="s">
        <v>35</v>
      </c>
      <c r="F287" s="24"/>
      <c r="G287" s="184">
        <f>경비집계표!E58</f>
        <v>63000</v>
      </c>
      <c r="H287" s="231"/>
      <c r="I287" s="184"/>
      <c r="J287" s="231"/>
      <c r="K287" s="276"/>
      <c r="L287" s="177"/>
    </row>
    <row r="288" spans="1:12" ht="19.5" customHeight="1">
      <c r="A288" s="697"/>
      <c r="B288" s="698"/>
      <c r="C288" s="706"/>
      <c r="D288" s="22"/>
      <c r="E288" s="270" t="s">
        <v>26</v>
      </c>
      <c r="F288" s="24"/>
      <c r="G288" s="184">
        <f>경비집계표!E59</f>
        <v>63000</v>
      </c>
      <c r="H288" s="231"/>
      <c r="I288" s="184"/>
      <c r="J288" s="231"/>
      <c r="K288" s="276"/>
      <c r="L288" s="177"/>
    </row>
    <row r="289" spans="1:12" ht="19.5" customHeight="1">
      <c r="A289" s="697"/>
      <c r="B289" s="698"/>
      <c r="C289" s="701" t="s">
        <v>327</v>
      </c>
      <c r="D289" s="22"/>
      <c r="E289" s="663" t="s">
        <v>555</v>
      </c>
      <c r="F289" s="24"/>
      <c r="G289" s="184">
        <f>경비집계표!E60</f>
        <v>0</v>
      </c>
      <c r="H289" s="231"/>
      <c r="I289" s="184"/>
      <c r="J289" s="231"/>
      <c r="K289" s="276"/>
      <c r="L289" s="177"/>
    </row>
    <row r="290" spans="1:12" ht="19.5" customHeight="1">
      <c r="A290" s="697"/>
      <c r="B290" s="698"/>
      <c r="C290" s="702"/>
      <c r="D290" s="22"/>
      <c r="E290" s="24" t="s">
        <v>328</v>
      </c>
      <c r="F290" s="24"/>
      <c r="G290" s="184">
        <f>경비집계표!E61</f>
        <v>0</v>
      </c>
      <c r="H290" s="231"/>
      <c r="I290" s="184"/>
      <c r="J290" s="231"/>
      <c r="K290" s="276"/>
      <c r="L290" s="177"/>
    </row>
    <row r="291" spans="1:12" ht="19.5" customHeight="1">
      <c r="A291" s="699"/>
      <c r="B291" s="700"/>
      <c r="C291" s="692" t="s">
        <v>29</v>
      </c>
      <c r="D291" s="690"/>
      <c r="E291" s="690"/>
      <c r="F291" s="691"/>
      <c r="G291" s="184">
        <f>경비집계표!E62</f>
        <v>216127</v>
      </c>
      <c r="H291" s="231"/>
      <c r="I291" s="272">
        <f>TRUNC(G291/$G$295*100,2)</f>
        <v>10.66</v>
      </c>
      <c r="J291" s="231"/>
      <c r="K291" s="276"/>
      <c r="L291" s="177" t="str">
        <f>경비집계표!$A$1&amp;"참조"</f>
        <v>&lt; 표 : 11 &gt; 참조</v>
      </c>
    </row>
    <row r="292" spans="1:12" ht="19.5" customHeight="1">
      <c r="A292" s="176"/>
      <c r="B292" s="693" t="s">
        <v>212</v>
      </c>
      <c r="C292" s="693"/>
      <c r="D292" s="693"/>
      <c r="E292" s="693"/>
      <c r="F292" s="274"/>
      <c r="G292" s="184">
        <f>SUM(G279,G291)</f>
        <v>1839399</v>
      </c>
      <c r="H292" s="231"/>
      <c r="I292" s="272">
        <f>TRUNC(G292/$G$295*100,2)</f>
        <v>90.73</v>
      </c>
      <c r="J292" s="231"/>
      <c r="K292" s="276"/>
      <c r="L292" s="466" t="s">
        <v>351</v>
      </c>
    </row>
    <row r="293" spans="1:12" ht="19.5" customHeight="1">
      <c r="A293" s="271"/>
      <c r="B293" s="694" t="s">
        <v>564</v>
      </c>
      <c r="C293" s="693"/>
      <c r="D293" s="693"/>
      <c r="E293" s="693"/>
      <c r="F293" s="275"/>
      <c r="G293" s="184">
        <f>TRUNC(G292*3%,0)</f>
        <v>55181</v>
      </c>
      <c r="H293" s="231"/>
      <c r="I293" s="272">
        <f>TRUNC(G293/$G$295*100,2)</f>
        <v>2.72</v>
      </c>
      <c r="J293" s="231"/>
      <c r="K293" s="276"/>
      <c r="L293" s="671" t="s">
        <v>566</v>
      </c>
    </row>
    <row r="294" spans="1:12" ht="19.5" customHeight="1">
      <c r="A294" s="271"/>
      <c r="B294" s="694" t="s">
        <v>565</v>
      </c>
      <c r="C294" s="693"/>
      <c r="D294" s="693"/>
      <c r="E294" s="693"/>
      <c r="F294" s="275"/>
      <c r="G294" s="184">
        <f>TRUNC(SUM(G279,G291,G293)*7%,0)</f>
        <v>132620</v>
      </c>
      <c r="H294" s="231"/>
      <c r="I294" s="272">
        <f>TRUNC(G294/$G$295*100,2)</f>
        <v>6.54</v>
      </c>
      <c r="J294" s="231"/>
      <c r="K294" s="276"/>
      <c r="L294" s="671" t="s">
        <v>567</v>
      </c>
    </row>
    <row r="295" spans="1:12" ht="19.5" customHeight="1">
      <c r="A295" s="271"/>
      <c r="B295" s="693" t="s">
        <v>385</v>
      </c>
      <c r="C295" s="693"/>
      <c r="D295" s="693"/>
      <c r="E295" s="693"/>
      <c r="F295" s="275"/>
      <c r="G295" s="184">
        <f>SUM(G292:G294)</f>
        <v>2027200</v>
      </c>
      <c r="H295" s="231"/>
      <c r="I295" s="272">
        <f>TRUNC(G295/$G$295*100,2)</f>
        <v>100</v>
      </c>
      <c r="J295" s="231"/>
      <c r="K295" s="276"/>
      <c r="L295" s="466" t="s">
        <v>343</v>
      </c>
    </row>
    <row r="296" spans="1:12" ht="19.5" customHeight="1">
      <c r="A296" s="271"/>
      <c r="B296" s="703" t="s">
        <v>381</v>
      </c>
      <c r="C296" s="703"/>
      <c r="D296" s="703"/>
      <c r="E296" s="703"/>
      <c r="F296" s="508"/>
      <c r="G296" s="460">
        <f>TRUNC(G295*10%)</f>
        <v>202720</v>
      </c>
      <c r="H296" s="505"/>
      <c r="I296" s="507"/>
      <c r="J296" s="505"/>
      <c r="K296" s="506"/>
      <c r="L296" s="466" t="s">
        <v>382</v>
      </c>
    </row>
    <row r="297" spans="1:12" ht="19.5" customHeight="1">
      <c r="A297" s="271"/>
      <c r="B297" s="703" t="s">
        <v>383</v>
      </c>
      <c r="C297" s="703"/>
      <c r="D297" s="703"/>
      <c r="E297" s="703"/>
      <c r="F297" s="508"/>
      <c r="G297" s="460">
        <f>SUM(G295:G296)</f>
        <v>2229920</v>
      </c>
      <c r="H297" s="505"/>
      <c r="I297" s="507"/>
      <c r="J297" s="505"/>
      <c r="K297" s="506"/>
      <c r="L297" s="466" t="s">
        <v>384</v>
      </c>
    </row>
  </sheetData>
  <sheetProtection/>
  <mergeCells count="180">
    <mergeCell ref="B61:E61"/>
    <mergeCell ref="C74:C78"/>
    <mergeCell ref="B63:E63"/>
    <mergeCell ref="B64:E64"/>
    <mergeCell ref="B62:E62"/>
    <mergeCell ref="B65:E65"/>
    <mergeCell ref="B66:E66"/>
    <mergeCell ref="G5:H6"/>
    <mergeCell ref="I5:J6"/>
    <mergeCell ref="K5:L6"/>
    <mergeCell ref="A7:B15"/>
    <mergeCell ref="C7:F7"/>
    <mergeCell ref="C8:C12"/>
    <mergeCell ref="C13:F13"/>
    <mergeCell ref="C14:F14"/>
    <mergeCell ref="C15:F15"/>
    <mergeCell ref="A16:B27"/>
    <mergeCell ref="C16:C22"/>
    <mergeCell ref="C23:C24"/>
    <mergeCell ref="C25:C26"/>
    <mergeCell ref="C27:F27"/>
    <mergeCell ref="B28:E28"/>
    <mergeCell ref="B29:E29"/>
    <mergeCell ref="B30:E30"/>
    <mergeCell ref="B31:E31"/>
    <mergeCell ref="B293:E293"/>
    <mergeCell ref="B294:E294"/>
    <mergeCell ref="B295:E295"/>
    <mergeCell ref="B32:E32"/>
    <mergeCell ref="B33:E33"/>
    <mergeCell ref="B259:E259"/>
    <mergeCell ref="B260:E260"/>
    <mergeCell ref="L269:L270"/>
    <mergeCell ref="A271:B279"/>
    <mergeCell ref="C271:F271"/>
    <mergeCell ref="C272:C276"/>
    <mergeCell ref="C277:F277"/>
    <mergeCell ref="C278:F278"/>
    <mergeCell ref="C279:F279"/>
    <mergeCell ref="G269:H270"/>
    <mergeCell ref="I269:J270"/>
    <mergeCell ref="C247:C253"/>
    <mergeCell ref="C254:C255"/>
    <mergeCell ref="C258:F258"/>
    <mergeCell ref="C256:C257"/>
    <mergeCell ref="B263:E263"/>
    <mergeCell ref="B264:E264"/>
    <mergeCell ref="B261:E261"/>
    <mergeCell ref="B262:E262"/>
    <mergeCell ref="A247:B258"/>
    <mergeCell ref="A238:B246"/>
    <mergeCell ref="C238:F238"/>
    <mergeCell ref="C239:C243"/>
    <mergeCell ref="C244:F244"/>
    <mergeCell ref="C245:F245"/>
    <mergeCell ref="C246:F246"/>
    <mergeCell ref="B227:E227"/>
    <mergeCell ref="B228:E228"/>
    <mergeCell ref="B229:E229"/>
    <mergeCell ref="L236:L237"/>
    <mergeCell ref="G236:H237"/>
    <mergeCell ref="I236:J237"/>
    <mergeCell ref="L203:L204"/>
    <mergeCell ref="A205:B213"/>
    <mergeCell ref="C205:F205"/>
    <mergeCell ref="C206:C210"/>
    <mergeCell ref="C211:F211"/>
    <mergeCell ref="C212:F212"/>
    <mergeCell ref="C213:F213"/>
    <mergeCell ref="G203:H204"/>
    <mergeCell ref="I203:J204"/>
    <mergeCell ref="B193:E193"/>
    <mergeCell ref="B194:E194"/>
    <mergeCell ref="B195:E195"/>
    <mergeCell ref="B196:E196"/>
    <mergeCell ref="A181:B192"/>
    <mergeCell ref="C181:C187"/>
    <mergeCell ref="C188:C189"/>
    <mergeCell ref="C192:F192"/>
    <mergeCell ref="C190:C191"/>
    <mergeCell ref="A172:B180"/>
    <mergeCell ref="C172:F172"/>
    <mergeCell ref="C173:C177"/>
    <mergeCell ref="C178:F178"/>
    <mergeCell ref="C179:F179"/>
    <mergeCell ref="C180:F180"/>
    <mergeCell ref="B161:E161"/>
    <mergeCell ref="B162:E162"/>
    <mergeCell ref="B163:E163"/>
    <mergeCell ref="L170:L171"/>
    <mergeCell ref="G170:H171"/>
    <mergeCell ref="I170:J171"/>
    <mergeCell ref="L137:L138"/>
    <mergeCell ref="A139:B147"/>
    <mergeCell ref="C139:F139"/>
    <mergeCell ref="C140:C144"/>
    <mergeCell ref="C145:F145"/>
    <mergeCell ref="C146:F146"/>
    <mergeCell ref="C147:F147"/>
    <mergeCell ref="G137:H138"/>
    <mergeCell ref="I137:J138"/>
    <mergeCell ref="B127:E127"/>
    <mergeCell ref="B128:E128"/>
    <mergeCell ref="B129:E129"/>
    <mergeCell ref="B130:E130"/>
    <mergeCell ref="B98:E98"/>
    <mergeCell ref="B99:E99"/>
    <mergeCell ref="A115:B126"/>
    <mergeCell ref="C115:C121"/>
    <mergeCell ref="C122:C123"/>
    <mergeCell ref="C126:F126"/>
    <mergeCell ref="C124:C125"/>
    <mergeCell ref="A106:B114"/>
    <mergeCell ref="C106:F106"/>
    <mergeCell ref="C107:C111"/>
    <mergeCell ref="C112:F112"/>
    <mergeCell ref="C113:F113"/>
    <mergeCell ref="C114:F114"/>
    <mergeCell ref="L104:L105"/>
    <mergeCell ref="G104:H105"/>
    <mergeCell ref="B97:E97"/>
    <mergeCell ref="B95:E95"/>
    <mergeCell ref="C93:F93"/>
    <mergeCell ref="A82:B93"/>
    <mergeCell ref="C82:C88"/>
    <mergeCell ref="C89:C90"/>
    <mergeCell ref="C56:C57"/>
    <mergeCell ref="I104:J105"/>
    <mergeCell ref="B94:E94"/>
    <mergeCell ref="C79:F79"/>
    <mergeCell ref="A73:B81"/>
    <mergeCell ref="C80:F80"/>
    <mergeCell ref="C73:F73"/>
    <mergeCell ref="C91:C92"/>
    <mergeCell ref="C81:F81"/>
    <mergeCell ref="B96:E96"/>
    <mergeCell ref="G38:H39"/>
    <mergeCell ref="I71:J72"/>
    <mergeCell ref="I38:J39"/>
    <mergeCell ref="L38:L39"/>
    <mergeCell ref="L71:L72"/>
    <mergeCell ref="G71:H72"/>
    <mergeCell ref="A40:B48"/>
    <mergeCell ref="C49:C55"/>
    <mergeCell ref="A49:B60"/>
    <mergeCell ref="C60:F60"/>
    <mergeCell ref="C47:F47"/>
    <mergeCell ref="C41:C45"/>
    <mergeCell ref="C46:F46"/>
    <mergeCell ref="C40:F40"/>
    <mergeCell ref="C58:C59"/>
    <mergeCell ref="C48:F48"/>
    <mergeCell ref="B131:E131"/>
    <mergeCell ref="B132:E132"/>
    <mergeCell ref="B164:E164"/>
    <mergeCell ref="B165:E165"/>
    <mergeCell ref="A148:B159"/>
    <mergeCell ref="C148:C154"/>
    <mergeCell ref="C155:C156"/>
    <mergeCell ref="C159:F159"/>
    <mergeCell ref="C157:C158"/>
    <mergeCell ref="B160:E160"/>
    <mergeCell ref="B197:E197"/>
    <mergeCell ref="B198:E198"/>
    <mergeCell ref="B230:E230"/>
    <mergeCell ref="B231:E231"/>
    <mergeCell ref="A214:B225"/>
    <mergeCell ref="C214:C220"/>
    <mergeCell ref="C221:C222"/>
    <mergeCell ref="C225:F225"/>
    <mergeCell ref="C223:C224"/>
    <mergeCell ref="B226:E226"/>
    <mergeCell ref="B296:E296"/>
    <mergeCell ref="B297:E297"/>
    <mergeCell ref="A280:B291"/>
    <mergeCell ref="C280:C286"/>
    <mergeCell ref="C287:C288"/>
    <mergeCell ref="C291:F291"/>
    <mergeCell ref="C289:C290"/>
    <mergeCell ref="B292:E29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>&amp;C- &amp;P+3 -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view="pageBreakPreview" zoomScaleSheetLayoutView="100" zoomScalePageLayoutView="0" workbookViewId="0" topLeftCell="A1">
      <selection activeCell="J18" sqref="J18"/>
    </sheetView>
  </sheetViews>
  <sheetFormatPr defaultColWidth="9.140625" defaultRowHeight="12"/>
  <cols>
    <col min="1" max="1" width="1.7109375" style="10" customWidth="1"/>
    <col min="2" max="2" width="13.7109375" style="10" customWidth="1"/>
    <col min="3" max="3" width="1.7109375" style="10" customWidth="1"/>
    <col min="4" max="4" width="1.7109375" style="152" customWidth="1"/>
    <col min="5" max="5" width="15.28125" style="152" customWidth="1"/>
    <col min="6" max="6" width="1.7109375" style="152" customWidth="1"/>
    <col min="7" max="10" width="11.7109375" style="33" customWidth="1"/>
    <col min="11" max="11" width="12.7109375" style="33" customWidth="1"/>
    <col min="12" max="12" width="9.140625" style="33" customWidth="1"/>
    <col min="13" max="16384" width="9.140625" style="152" customWidth="1"/>
  </cols>
  <sheetData>
    <row r="1" spans="1:3" ht="19.5" customHeight="1">
      <c r="A1" s="223" t="s">
        <v>402</v>
      </c>
      <c r="B1" s="223"/>
      <c r="C1" s="223"/>
    </row>
    <row r="2" spans="1:12" s="168" customFormat="1" ht="39.75" customHeight="1">
      <c r="A2" s="166" t="s">
        <v>38</v>
      </c>
      <c r="B2" s="166"/>
      <c r="C2" s="166"/>
      <c r="D2" s="224"/>
      <c r="E2" s="224"/>
      <c r="F2" s="224"/>
      <c r="G2" s="153"/>
      <c r="H2" s="153"/>
      <c r="I2" s="153"/>
      <c r="J2" s="153"/>
      <c r="K2" s="153"/>
      <c r="L2" s="249"/>
    </row>
    <row r="3" spans="1:12" s="168" customFormat="1" ht="19.5" customHeight="1">
      <c r="A3" s="166"/>
      <c r="B3" s="166"/>
      <c r="C3" s="166"/>
      <c r="D3" s="224"/>
      <c r="E3" s="224"/>
      <c r="F3" s="224"/>
      <c r="G3" s="153"/>
      <c r="H3" s="153"/>
      <c r="I3" s="153"/>
      <c r="J3" s="153"/>
      <c r="K3" s="153"/>
      <c r="L3" s="249"/>
    </row>
    <row r="4" spans="1:11" ht="19.5" customHeight="1">
      <c r="A4" s="170"/>
      <c r="B4" s="170"/>
      <c r="C4" s="170"/>
      <c r="D4" s="169"/>
      <c r="E4" s="169"/>
      <c r="F4" s="169"/>
      <c r="K4" s="226" t="s">
        <v>39</v>
      </c>
    </row>
    <row r="5" spans="1:12" s="188" customFormat="1" ht="49.5" customHeight="1">
      <c r="A5" s="5"/>
      <c r="B5" s="11" t="s">
        <v>40</v>
      </c>
      <c r="C5" s="4"/>
      <c r="D5" s="5"/>
      <c r="E5" s="7" t="s">
        <v>41</v>
      </c>
      <c r="F5" s="4"/>
      <c r="G5" s="16" t="s">
        <v>42</v>
      </c>
      <c r="H5" s="16" t="s">
        <v>43</v>
      </c>
      <c r="I5" s="16" t="s">
        <v>44</v>
      </c>
      <c r="J5" s="16" t="s">
        <v>45</v>
      </c>
      <c r="K5" s="16" t="s">
        <v>17</v>
      </c>
      <c r="L5" s="159"/>
    </row>
    <row r="6" spans="1:12" s="188" customFormat="1" ht="9.75" customHeight="1">
      <c r="A6" s="5"/>
      <c r="B6" s="11"/>
      <c r="C6" s="4"/>
      <c r="D6" s="5"/>
      <c r="E6" s="7"/>
      <c r="F6" s="4"/>
      <c r="G6" s="16"/>
      <c r="H6" s="16"/>
      <c r="I6" s="16"/>
      <c r="J6" s="16"/>
      <c r="K6" s="16"/>
      <c r="L6" s="159"/>
    </row>
    <row r="7" spans="1:11" ht="30" customHeight="1">
      <c r="A7" s="240"/>
      <c r="B7" s="41" t="str">
        <f>월기본급!B9</f>
        <v>전기반장</v>
      </c>
      <c r="C7" s="157"/>
      <c r="D7" s="174"/>
      <c r="E7" s="514" t="str">
        <f>월기본급!F9</f>
        <v>전기기능사</v>
      </c>
      <c r="F7" s="164"/>
      <c r="G7" s="161">
        <f>단위당인건비!E27</f>
        <v>1412229</v>
      </c>
      <c r="H7" s="161">
        <f>단위당인건비!E32</f>
        <v>148654</v>
      </c>
      <c r="I7" s="161">
        <f>단위당인건비!E33</f>
        <v>470743</v>
      </c>
      <c r="J7" s="161">
        <f>단위당인건비!E34</f>
        <v>169302</v>
      </c>
      <c r="K7" s="161">
        <f>SUM(G7:J7)</f>
        <v>2200928</v>
      </c>
    </row>
    <row r="8" spans="1:11" ht="30" customHeight="1">
      <c r="A8" s="240"/>
      <c r="B8" s="41" t="str">
        <f>월기본급!B10</f>
        <v>전기기사</v>
      </c>
      <c r="C8" s="157"/>
      <c r="D8" s="174"/>
      <c r="E8" s="514" t="str">
        <f>월기본급!F10</f>
        <v>전기정비공</v>
      </c>
      <c r="F8" s="164"/>
      <c r="G8" s="161">
        <f>단위당인건비!E48</f>
        <v>1347024</v>
      </c>
      <c r="H8" s="161">
        <f>단위당인건비!E53</f>
        <v>148783</v>
      </c>
      <c r="I8" s="161">
        <f>단위당인건비!E54</f>
        <v>449008</v>
      </c>
      <c r="J8" s="161">
        <f>단위당인건비!E55</f>
        <v>162067</v>
      </c>
      <c r="K8" s="161">
        <f aca="true" t="shared" si="0" ref="K8:K15">SUM(G8:J8)</f>
        <v>2106882</v>
      </c>
    </row>
    <row r="9" spans="1:11" ht="30" customHeight="1">
      <c r="A9" s="240"/>
      <c r="B9" s="41" t="str">
        <f>월기본급!B11</f>
        <v>기계반장</v>
      </c>
      <c r="C9" s="157"/>
      <c r="D9" s="174"/>
      <c r="E9" s="514" t="str">
        <f>월기본급!F11</f>
        <v>보일러공</v>
      </c>
      <c r="F9" s="164"/>
      <c r="G9" s="161">
        <f>단위당인건비!E69</f>
        <v>1338939</v>
      </c>
      <c r="H9" s="161">
        <f>단위당인건비!E74</f>
        <v>147890</v>
      </c>
      <c r="I9" s="161">
        <f>단위당인건비!E75</f>
        <v>446313</v>
      </c>
      <c r="J9" s="161">
        <f>단위당인건비!E76</f>
        <v>161095</v>
      </c>
      <c r="K9" s="161">
        <f t="shared" si="0"/>
        <v>2094237</v>
      </c>
    </row>
    <row r="10" spans="1:11" ht="30" customHeight="1">
      <c r="A10" s="240"/>
      <c r="B10" s="41" t="str">
        <f>월기본급!B12</f>
        <v>기계기사</v>
      </c>
      <c r="C10" s="157"/>
      <c r="D10" s="174"/>
      <c r="E10" s="514" t="str">
        <f>월기본급!F12</f>
        <v>기계정비공</v>
      </c>
      <c r="F10" s="164"/>
      <c r="G10" s="161">
        <f>단위당인건비!E90</f>
        <v>1320312</v>
      </c>
      <c r="H10" s="161">
        <f>단위당인건비!E95</f>
        <v>145833</v>
      </c>
      <c r="I10" s="161">
        <f>단위당인건비!E96</f>
        <v>440104</v>
      </c>
      <c r="J10" s="161">
        <f>단위당인건비!E97</f>
        <v>158854</v>
      </c>
      <c r="K10" s="161">
        <f t="shared" si="0"/>
        <v>2065103</v>
      </c>
    </row>
    <row r="11" spans="1:11" ht="30" customHeight="1">
      <c r="A11" s="240"/>
      <c r="B11" s="41" t="str">
        <f>월기본급!B13</f>
        <v>미화반장</v>
      </c>
      <c r="C11" s="157"/>
      <c r="D11" s="174"/>
      <c r="E11" s="189" t="str">
        <f>월기본급!F13</f>
        <v>보통인부</v>
      </c>
      <c r="F11" s="164"/>
      <c r="G11" s="161">
        <f>단위당인건비!E111</f>
        <v>1038030</v>
      </c>
      <c r="H11" s="161">
        <f>단위당인건비!E116</f>
        <v>114365</v>
      </c>
      <c r="I11" s="161">
        <f>단위당인건비!E117</f>
        <v>346010</v>
      </c>
      <c r="J11" s="161">
        <f>단위당인건비!E118</f>
        <v>124867</v>
      </c>
      <c r="K11" s="161">
        <f t="shared" si="0"/>
        <v>1623272</v>
      </c>
    </row>
    <row r="12" spans="1:11" ht="30" customHeight="1">
      <c r="A12" s="240"/>
      <c r="B12" s="41" t="str">
        <f>월기본급!B14</f>
        <v>미화원</v>
      </c>
      <c r="C12" s="157"/>
      <c r="D12" s="174"/>
      <c r="E12" s="189" t="str">
        <f>월기본급!F14</f>
        <v>보통인부</v>
      </c>
      <c r="F12" s="164"/>
      <c r="G12" s="161">
        <f>단위당인건비!E132</f>
        <v>1038030</v>
      </c>
      <c r="H12" s="161">
        <f>단위당인건비!E137</f>
        <v>114365</v>
      </c>
      <c r="I12" s="161">
        <f>단위당인건비!E138</f>
        <v>346010</v>
      </c>
      <c r="J12" s="161">
        <f>단위당인건비!E139</f>
        <v>124867</v>
      </c>
      <c r="K12" s="161">
        <f t="shared" si="0"/>
        <v>1623272</v>
      </c>
    </row>
    <row r="13" spans="1:11" ht="30" customHeight="1">
      <c r="A13" s="240"/>
      <c r="B13" s="41" t="str">
        <f>월기본급!B15</f>
        <v>경비반장</v>
      </c>
      <c r="C13" s="157"/>
      <c r="D13" s="174"/>
      <c r="E13" s="189" t="str">
        <f>월기본급!F15</f>
        <v>보통인부</v>
      </c>
      <c r="F13" s="164"/>
      <c r="G13" s="161">
        <f>단위당인건비!E153</f>
        <v>1038030</v>
      </c>
      <c r="H13" s="161">
        <f>단위당인건비!E158</f>
        <v>114365</v>
      </c>
      <c r="I13" s="161">
        <f>단위당인건비!E159</f>
        <v>346010</v>
      </c>
      <c r="J13" s="161">
        <f>단위당인건비!E160</f>
        <v>124867</v>
      </c>
      <c r="K13" s="161">
        <f t="shared" si="0"/>
        <v>1623272</v>
      </c>
    </row>
    <row r="14" spans="1:11" ht="30" customHeight="1">
      <c r="A14" s="240"/>
      <c r="B14" s="41" t="str">
        <f>월기본급!B16</f>
        <v>경비원</v>
      </c>
      <c r="C14" s="157"/>
      <c r="D14" s="174"/>
      <c r="E14" s="189" t="str">
        <f>월기본급!F16</f>
        <v>보통인부</v>
      </c>
      <c r="F14" s="164"/>
      <c r="G14" s="161">
        <f>단위당인건비!E174</f>
        <v>1038030</v>
      </c>
      <c r="H14" s="161">
        <f>단위당인건비!E179</f>
        <v>114365</v>
      </c>
      <c r="I14" s="161">
        <f>단위당인건비!E180</f>
        <v>346010</v>
      </c>
      <c r="J14" s="161">
        <f>단위당인건비!E181</f>
        <v>124867</v>
      </c>
      <c r="K14" s="161">
        <f t="shared" si="0"/>
        <v>1623272</v>
      </c>
    </row>
    <row r="15" spans="1:11" ht="30" customHeight="1">
      <c r="A15" s="240"/>
      <c r="B15" s="646" t="s">
        <v>559</v>
      </c>
      <c r="C15" s="157"/>
      <c r="D15" s="174"/>
      <c r="E15" s="189" t="str">
        <f>월기본급!F17</f>
        <v>보통인부</v>
      </c>
      <c r="F15" s="164"/>
      <c r="G15" s="161">
        <f>단위당인건비!E195</f>
        <v>1038030</v>
      </c>
      <c r="H15" s="161">
        <f>단위당인건비!E200</f>
        <v>114365</v>
      </c>
      <c r="I15" s="161">
        <f>단위당인건비!E201</f>
        <v>346010</v>
      </c>
      <c r="J15" s="161">
        <f>단위당인건비!E202</f>
        <v>124867</v>
      </c>
      <c r="K15" s="161">
        <f t="shared" si="0"/>
        <v>1623272</v>
      </c>
    </row>
    <row r="16" spans="1:11" ht="9.75" customHeight="1">
      <c r="A16" s="241"/>
      <c r="B16" s="245"/>
      <c r="C16" s="158"/>
      <c r="D16" s="3"/>
      <c r="E16" s="190"/>
      <c r="F16" s="2"/>
      <c r="G16" s="163"/>
      <c r="H16" s="163"/>
      <c r="I16" s="163"/>
      <c r="J16" s="163"/>
      <c r="K16" s="163"/>
    </row>
    <row r="17" ht="24.75" customHeight="1">
      <c r="A17" s="170" t="str">
        <f>"주) 금액 : "&amp;단위당인건비!A1&amp;단위당인건비!A2&amp;" 참조"</f>
        <v>주) 금액 : &lt; 표 : 5 &gt; 단위(1인)당인건비산출표 참조</v>
      </c>
    </row>
    <row r="18" ht="24.75" customHeight="1"/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2"/>
  <sheetViews>
    <sheetView showGridLines="0" showZeros="0" view="pageBreakPreview" zoomScaleSheetLayoutView="100" zoomScalePageLayoutView="0" workbookViewId="0" topLeftCell="A49">
      <selection activeCell="E70" sqref="E70"/>
    </sheetView>
  </sheetViews>
  <sheetFormatPr defaultColWidth="9.140625" defaultRowHeight="12"/>
  <cols>
    <col min="1" max="1" width="6.7109375" style="182" customWidth="1"/>
    <col min="2" max="2" width="1.7109375" style="151" customWidth="1"/>
    <col min="3" max="3" width="15.7109375" style="151" customWidth="1"/>
    <col min="4" max="4" width="1.7109375" style="151" customWidth="1"/>
    <col min="5" max="5" width="14.7109375" style="34" customWidth="1"/>
    <col min="6" max="6" width="2.7109375" style="34" customWidth="1"/>
    <col min="7" max="7" width="0.85546875" style="34" customWidth="1"/>
    <col min="8" max="8" width="28.7109375" style="34" customWidth="1"/>
    <col min="9" max="9" width="0.85546875" style="34" customWidth="1"/>
    <col min="10" max="10" width="21.7109375" style="33" customWidth="1"/>
    <col min="11" max="11" width="8.57421875" style="152" customWidth="1"/>
    <col min="12" max="12" width="16.7109375" style="169" customWidth="1"/>
    <col min="13" max="16384" width="9.140625" style="152" customWidth="1"/>
  </cols>
  <sheetData>
    <row r="1" spans="1:4" ht="19.5" customHeight="1">
      <c r="A1" s="186" t="s">
        <v>403</v>
      </c>
      <c r="B1" s="188"/>
      <c r="C1" s="188"/>
      <c r="D1" s="188"/>
    </row>
    <row r="2" spans="1:12" s="168" customFormat="1" ht="39.75" customHeight="1">
      <c r="A2" s="165" t="s">
        <v>46</v>
      </c>
      <c r="B2" s="166"/>
      <c r="C2" s="166"/>
      <c r="D2" s="166"/>
      <c r="E2" s="167"/>
      <c r="F2" s="167"/>
      <c r="G2" s="167"/>
      <c r="H2" s="29"/>
      <c r="I2" s="29"/>
      <c r="J2" s="30"/>
      <c r="L2" s="250"/>
    </row>
    <row r="3" spans="1:12" s="168" customFormat="1" ht="19.5" customHeight="1">
      <c r="A3" s="165"/>
      <c r="B3" s="166"/>
      <c r="C3" s="166"/>
      <c r="D3" s="166"/>
      <c r="E3" s="167"/>
      <c r="F3" s="167"/>
      <c r="G3" s="167"/>
      <c r="H3" s="29"/>
      <c r="I3" s="29"/>
      <c r="J3" s="30"/>
      <c r="L3" s="250"/>
    </row>
    <row r="4" spans="1:12" ht="19.5" customHeight="1" hidden="1">
      <c r="A4" s="169" t="e">
        <f>"구 분 : "&amp;월기본급!#REF!&amp;"                       직종명 : "&amp;월기본급!#REF!&amp;""</f>
        <v>#REF!</v>
      </c>
      <c r="B4" s="170"/>
      <c r="C4" s="170"/>
      <c r="D4" s="170"/>
      <c r="E4" s="180"/>
      <c r="F4" s="180"/>
      <c r="G4" s="180"/>
      <c r="J4" s="226" t="s">
        <v>39</v>
      </c>
      <c r="K4" s="152">
        <v>209</v>
      </c>
      <c r="L4" s="169" t="s">
        <v>47</v>
      </c>
    </row>
    <row r="5" spans="1:10" ht="49.5" customHeight="1" hidden="1">
      <c r="A5" s="692" t="s">
        <v>48</v>
      </c>
      <c r="B5" s="690"/>
      <c r="C5" s="690"/>
      <c r="D5" s="691"/>
      <c r="E5" s="712" t="s">
        <v>49</v>
      </c>
      <c r="F5" s="713"/>
      <c r="G5" s="243" t="s">
        <v>211</v>
      </c>
      <c r="H5" s="242"/>
      <c r="I5" s="243" t="s">
        <v>50</v>
      </c>
      <c r="J5" s="242"/>
    </row>
    <row r="6" spans="1:10" ht="33.75" customHeight="1" hidden="1">
      <c r="A6" s="692" t="s">
        <v>51</v>
      </c>
      <c r="B6" s="690"/>
      <c r="C6" s="690"/>
      <c r="D6" s="691"/>
      <c r="E6" s="184" t="e">
        <f>월기본급!#REF!</f>
        <v>#REF!</v>
      </c>
      <c r="F6" s="231"/>
      <c r="G6" s="256"/>
      <c r="H6" s="239"/>
      <c r="I6" s="238"/>
      <c r="J6" s="177" t="s">
        <v>52</v>
      </c>
    </row>
    <row r="7" spans="1:12" ht="33.75" customHeight="1" hidden="1">
      <c r="A7" s="701" t="s">
        <v>326</v>
      </c>
      <c r="B7" s="23"/>
      <c r="C7" s="24" t="s">
        <v>1</v>
      </c>
      <c r="D7" s="21"/>
      <c r="E7" s="465" t="e">
        <f>TRUNC((E6/K4*(4*4.34)*1.25)+(E6/K4*($L$7)*1.5),0)</f>
        <v>#REF!</v>
      </c>
      <c r="F7" s="231"/>
      <c r="G7" s="256"/>
      <c r="H7" s="258" t="s">
        <v>241</v>
      </c>
      <c r="I7" s="251"/>
      <c r="J7" s="177" t="s">
        <v>13</v>
      </c>
      <c r="K7" s="503">
        <f>연장근로!G8</f>
        <v>0.86</v>
      </c>
      <c r="L7" s="169">
        <f>연장근로!G9</f>
        <v>0</v>
      </c>
    </row>
    <row r="8" spans="1:11" ht="33.75" customHeight="1" hidden="1">
      <c r="A8" s="704"/>
      <c r="B8" s="23"/>
      <c r="C8" s="24" t="s">
        <v>252</v>
      </c>
      <c r="D8" s="21"/>
      <c r="E8" s="465" t="e">
        <f>TRUNC(E6/K4*K8*1.5,0)</f>
        <v>#REF!</v>
      </c>
      <c r="F8" s="231"/>
      <c r="G8" s="256"/>
      <c r="H8" s="258" t="s">
        <v>241</v>
      </c>
      <c r="I8" s="251"/>
      <c r="J8" s="177" t="s">
        <v>14</v>
      </c>
      <c r="K8" s="503">
        <f>휴일근로!$G$10</f>
        <v>8</v>
      </c>
    </row>
    <row r="9" spans="1:10" ht="33.75" customHeight="1" hidden="1">
      <c r="A9" s="704"/>
      <c r="B9" s="23"/>
      <c r="C9" s="24" t="s">
        <v>53</v>
      </c>
      <c r="D9" s="21"/>
      <c r="E9" s="184" t="e">
        <f>TRUNC(((E6/K4)*8*15)/12,0)</f>
        <v>#REF!</v>
      </c>
      <c r="F9" s="231"/>
      <c r="G9" s="256"/>
      <c r="H9" s="258" t="s">
        <v>240</v>
      </c>
      <c r="I9" s="251"/>
      <c r="J9" s="177" t="s">
        <v>15</v>
      </c>
    </row>
    <row r="10" spans="1:10" ht="33.75" customHeight="1" hidden="1">
      <c r="A10" s="704"/>
      <c r="B10" s="23"/>
      <c r="C10" s="24" t="s">
        <v>325</v>
      </c>
      <c r="D10" s="21"/>
      <c r="E10" s="184">
        <v>200000</v>
      </c>
      <c r="F10" s="231"/>
      <c r="G10" s="256"/>
      <c r="H10" s="258"/>
      <c r="I10" s="251"/>
      <c r="J10" s="177" t="s">
        <v>16</v>
      </c>
    </row>
    <row r="11" spans="1:10" ht="33.75" customHeight="1" hidden="1">
      <c r="A11" s="702"/>
      <c r="B11" s="23"/>
      <c r="C11" s="24" t="s">
        <v>54</v>
      </c>
      <c r="D11" s="21"/>
      <c r="E11" s="184" t="e">
        <f>SUM(E7:E10)</f>
        <v>#REF!</v>
      </c>
      <c r="F11" s="231"/>
      <c r="G11" s="256"/>
      <c r="H11" s="258"/>
      <c r="I11" s="251"/>
      <c r="J11" s="177"/>
    </row>
    <row r="12" spans="1:10" ht="33.75" customHeight="1" hidden="1">
      <c r="A12" s="692" t="s">
        <v>55</v>
      </c>
      <c r="B12" s="690"/>
      <c r="C12" s="690"/>
      <c r="D12" s="691"/>
      <c r="E12" s="184" t="e">
        <f>TRUNC(E6*4/12,0)</f>
        <v>#REF!</v>
      </c>
      <c r="F12" s="231"/>
      <c r="G12" s="256"/>
      <c r="H12" s="259" t="s">
        <v>288</v>
      </c>
      <c r="I12" s="252"/>
      <c r="J12" s="177" t="s">
        <v>334</v>
      </c>
    </row>
    <row r="13" spans="1:10" ht="33.75" customHeight="1" hidden="1">
      <c r="A13" s="692" t="s">
        <v>56</v>
      </c>
      <c r="B13" s="690"/>
      <c r="C13" s="690"/>
      <c r="D13" s="691"/>
      <c r="E13" s="184" t="e">
        <f>TRUNC(SUM(E6,E11,E12)/12,0)</f>
        <v>#REF!</v>
      </c>
      <c r="F13" s="231"/>
      <c r="G13" s="256"/>
      <c r="H13" s="258" t="s">
        <v>57</v>
      </c>
      <c r="I13" s="251"/>
      <c r="J13" s="177" t="s">
        <v>335</v>
      </c>
    </row>
    <row r="14" spans="1:10" ht="45" customHeight="1" hidden="1">
      <c r="A14" s="692" t="s">
        <v>58</v>
      </c>
      <c r="B14" s="690"/>
      <c r="C14" s="690"/>
      <c r="D14" s="691"/>
      <c r="E14" s="184" t="e">
        <f>SUM(E6,E11,E12,E13)</f>
        <v>#REF!</v>
      </c>
      <c r="F14" s="231"/>
      <c r="G14" s="256"/>
      <c r="H14" s="6"/>
      <c r="I14" s="13"/>
      <c r="J14" s="12"/>
    </row>
    <row r="15" spans="1:12" s="181" customFormat="1" ht="22.5" customHeight="1" hidden="1">
      <c r="A15" s="228" t="str">
        <f>"주 1) 기본급 : "&amp;월기본급!$A$1&amp;월기본급!$A$2&amp;" 참조"</f>
        <v>주 1) 기본급 : &lt; 표 : 8 &gt; M/M당기본급산출표 참조</v>
      </c>
      <c r="B15" s="228"/>
      <c r="C15" s="228"/>
      <c r="D15" s="228"/>
      <c r="E15" s="179"/>
      <c r="F15" s="179"/>
      <c r="G15" s="179"/>
      <c r="H15" s="179"/>
      <c r="I15" s="179"/>
      <c r="J15" s="179"/>
      <c r="L15" s="230"/>
    </row>
    <row r="16" spans="1:12" s="430" customFormat="1" ht="22.5" customHeight="1" hidden="1">
      <c r="A16" s="421" t="e">
        <f>"   2) 연장근로수당 : ["&amp;FIXED(E6,0)&amp;"(기본급)÷"&amp;K4&amp;"시간(월근로시간)×(4시간×4.34주)×1.25(할증)+"</f>
        <v>#REF!</v>
      </c>
      <c r="B16" s="428"/>
      <c r="C16" s="428"/>
      <c r="D16" s="428"/>
      <c r="E16" s="429"/>
      <c r="F16" s="429"/>
      <c r="G16" s="429"/>
      <c r="H16" s="429"/>
      <c r="I16" s="429"/>
      <c r="J16" s="429"/>
      <c r="L16" s="431"/>
    </row>
    <row r="17" spans="1:12" s="430" customFormat="1" ht="22.5" customHeight="1" hidden="1">
      <c r="A17" s="421" t="e">
        <f>"                    "&amp;FIXED(E6,0)&amp;"(기본급)÷"&amp;K4&amp;"시간(월근로시간)×("&amp;(연장근로!$D$9)&amp;"시간×"&amp;(연장근로!$F$9)&amp;"주)×1.5(할증)]"</f>
        <v>#REF!</v>
      </c>
      <c r="B17" s="428"/>
      <c r="C17" s="428"/>
      <c r="D17" s="428"/>
      <c r="E17" s="429"/>
      <c r="F17" s="429"/>
      <c r="G17" s="429"/>
      <c r="H17" s="429"/>
      <c r="I17" s="429"/>
      <c r="J17" s="429"/>
      <c r="L17" s="431"/>
    </row>
    <row r="18" spans="1:12" s="430" customFormat="1" ht="22.5" customHeight="1" hidden="1">
      <c r="A18" s="427" t="s">
        <v>344</v>
      </c>
      <c r="B18" s="428"/>
      <c r="C18" s="428"/>
      <c r="D18" s="428"/>
      <c r="E18" s="429"/>
      <c r="F18" s="429"/>
      <c r="G18" s="429"/>
      <c r="H18" s="429"/>
      <c r="I18" s="429"/>
      <c r="J18" s="429"/>
      <c r="L18" s="431"/>
    </row>
    <row r="19" spans="1:12" s="181" customFormat="1" ht="22.5" customHeight="1" hidden="1">
      <c r="A19" s="421" t="e">
        <f>"   3) 휴일근로수당 : "&amp;FIXED(E6,0)&amp;"(기본급)÷"&amp;K4&amp;"(월근로시간)×"&amp;K8&amp;"시간(휴일근로시간)×1.5(할증)"</f>
        <v>#REF!</v>
      </c>
      <c r="B19" s="228"/>
      <c r="C19" s="228"/>
      <c r="D19" s="228"/>
      <c r="E19" s="179"/>
      <c r="F19" s="179"/>
      <c r="G19" s="179"/>
      <c r="H19" s="179"/>
      <c r="I19" s="179"/>
      <c r="J19" s="179"/>
      <c r="L19" s="230"/>
    </row>
    <row r="20" spans="1:12" s="181" customFormat="1" ht="22.5" customHeight="1" hidden="1">
      <c r="A20" s="421" t="e">
        <f>"   4) 년차수당 : "&amp;FIXED(E6,0)&amp;"(기본급)÷"&amp;K4&amp;"(월근로시간)×8시간(일근로시간)×15일/년÷12개월"</f>
        <v>#REF!</v>
      </c>
      <c r="B20" s="178"/>
      <c r="C20" s="178"/>
      <c r="D20" s="178"/>
      <c r="E20" s="180"/>
      <c r="F20" s="180"/>
      <c r="G20" s="180"/>
      <c r="H20" s="180"/>
      <c r="I20" s="180"/>
      <c r="J20" s="171"/>
      <c r="L20" s="230"/>
    </row>
    <row r="21" spans="1:12" s="181" customFormat="1" ht="22.5" customHeight="1" hidden="1">
      <c r="A21" s="421" t="s">
        <v>336</v>
      </c>
      <c r="B21" s="178"/>
      <c r="C21" s="178"/>
      <c r="D21" s="178"/>
      <c r="E21" s="180"/>
      <c r="F21" s="180"/>
      <c r="G21" s="180"/>
      <c r="H21" s="180"/>
      <c r="I21" s="180"/>
      <c r="J21" s="171"/>
      <c r="L21" s="230"/>
    </row>
    <row r="22" spans="1:10" ht="22.5" customHeight="1" hidden="1">
      <c r="A22" s="421" t="e">
        <f>"   6) 상여금 : "&amp;FIXED(E6,0)&amp;"(기본급)×4개월(년 400%적용)÷12개월"</f>
        <v>#REF!</v>
      </c>
      <c r="J22" s="34"/>
    </row>
    <row r="23" spans="1:10" ht="22.5" customHeight="1" hidden="1">
      <c r="A23" s="253" t="e">
        <f>"   7) 퇴직급여충당금 : {"&amp;FIXED(E6,0)&amp;"(기본급)+"&amp;FIXED(E11,0)&amp;"(제수당)+"&amp;FIXED(E12,0)&amp;"(상여금)}÷12개월"</f>
        <v>#REF!</v>
      </c>
      <c r="J23" s="34"/>
    </row>
    <row r="24" spans="1:10" ht="22.5" customHeight="1" hidden="1">
      <c r="A24" s="253"/>
      <c r="J24" s="34"/>
    </row>
    <row r="25" spans="1:12" ht="19.5" customHeight="1">
      <c r="A25" s="169" t="str">
        <f>"구 분 : "&amp;월기본급!B9&amp;"                       직종명 : "&amp;월기본급!F9&amp;""</f>
        <v>구 분 : 전기반장                       직종명 : 전기기능사</v>
      </c>
      <c r="B25" s="170"/>
      <c r="C25" s="170"/>
      <c r="D25" s="170"/>
      <c r="E25" s="180"/>
      <c r="F25" s="180"/>
      <c r="G25" s="180"/>
      <c r="J25" s="226" t="s">
        <v>39</v>
      </c>
      <c r="K25" s="152">
        <v>209</v>
      </c>
      <c r="L25" s="169" t="s">
        <v>47</v>
      </c>
    </row>
    <row r="26" spans="1:10" ht="49.5" customHeight="1">
      <c r="A26" s="692" t="s">
        <v>48</v>
      </c>
      <c r="B26" s="690"/>
      <c r="C26" s="690"/>
      <c r="D26" s="691"/>
      <c r="E26" s="712" t="s">
        <v>49</v>
      </c>
      <c r="F26" s="713"/>
      <c r="G26" s="243" t="s">
        <v>211</v>
      </c>
      <c r="H26" s="242"/>
      <c r="I26" s="243" t="s">
        <v>50</v>
      </c>
      <c r="J26" s="242"/>
    </row>
    <row r="27" spans="1:10" ht="34.5" customHeight="1">
      <c r="A27" s="692" t="s">
        <v>51</v>
      </c>
      <c r="B27" s="690"/>
      <c r="C27" s="690"/>
      <c r="D27" s="691"/>
      <c r="E27" s="184">
        <f>월기본급!J9</f>
        <v>1412229</v>
      </c>
      <c r="F27" s="231"/>
      <c r="G27" s="256"/>
      <c r="H27" s="239"/>
      <c r="I27" s="238"/>
      <c r="J27" s="177" t="s">
        <v>52</v>
      </c>
    </row>
    <row r="28" spans="1:13" ht="34.5" customHeight="1">
      <c r="A28" s="701" t="s">
        <v>326</v>
      </c>
      <c r="B28" s="23"/>
      <c r="C28" s="664" t="s">
        <v>557</v>
      </c>
      <c r="D28" s="21"/>
      <c r="E28" s="465"/>
      <c r="F28" s="231"/>
      <c r="G28" s="256"/>
      <c r="H28" s="258" t="s">
        <v>241</v>
      </c>
      <c r="I28" s="251"/>
      <c r="J28" s="177" t="s">
        <v>13</v>
      </c>
      <c r="K28" s="503">
        <f>연장근로!G31</f>
        <v>0</v>
      </c>
      <c r="L28" s="169">
        <f>연장근로!G32</f>
        <v>0</v>
      </c>
      <c r="M28" s="152">
        <v>0</v>
      </c>
    </row>
    <row r="29" spans="1:13" ht="34.5" customHeight="1">
      <c r="A29" s="704"/>
      <c r="B29" s="23"/>
      <c r="C29" s="24" t="s">
        <v>252</v>
      </c>
      <c r="D29" s="21"/>
      <c r="E29" s="465">
        <f>TRUNC(E27/K25*K29*1.5,0)</f>
        <v>81084</v>
      </c>
      <c r="F29" s="231"/>
      <c r="G29" s="256"/>
      <c r="H29" s="258" t="s">
        <v>241</v>
      </c>
      <c r="I29" s="251"/>
      <c r="J29" s="177" t="s">
        <v>14</v>
      </c>
      <c r="K29" s="503">
        <f>휴일근로!$G$10</f>
        <v>8</v>
      </c>
      <c r="M29" s="152">
        <f>연장근로!D8</f>
        <v>0.2</v>
      </c>
    </row>
    <row r="30" spans="1:10" ht="34.5" customHeight="1">
      <c r="A30" s="704"/>
      <c r="B30" s="23"/>
      <c r="C30" s="24" t="s">
        <v>53</v>
      </c>
      <c r="D30" s="21"/>
      <c r="E30" s="184">
        <f>TRUNC(((E27/K25)*8*15)/12,0)</f>
        <v>67570</v>
      </c>
      <c r="F30" s="231"/>
      <c r="G30" s="256"/>
      <c r="H30" s="258" t="s">
        <v>240</v>
      </c>
      <c r="I30" s="251"/>
      <c r="J30" s="177" t="s">
        <v>15</v>
      </c>
    </row>
    <row r="31" spans="1:10" ht="34.5" customHeight="1">
      <c r="A31" s="704"/>
      <c r="B31" s="23"/>
      <c r="C31" s="24" t="s">
        <v>325</v>
      </c>
      <c r="D31" s="21"/>
      <c r="E31" s="184"/>
      <c r="F31" s="231"/>
      <c r="G31" s="256"/>
      <c r="H31" s="258"/>
      <c r="I31" s="251"/>
      <c r="J31" s="177" t="s">
        <v>16</v>
      </c>
    </row>
    <row r="32" spans="1:10" ht="34.5" customHeight="1">
      <c r="A32" s="702"/>
      <c r="B32" s="23"/>
      <c r="C32" s="24" t="s">
        <v>54</v>
      </c>
      <c r="D32" s="21"/>
      <c r="E32" s="184">
        <f>SUM(E28:E31)</f>
        <v>148654</v>
      </c>
      <c r="F32" s="231"/>
      <c r="G32" s="256"/>
      <c r="H32" s="258"/>
      <c r="I32" s="251"/>
      <c r="J32" s="177"/>
    </row>
    <row r="33" spans="1:10" ht="34.5" customHeight="1">
      <c r="A33" s="692" t="s">
        <v>55</v>
      </c>
      <c r="B33" s="690"/>
      <c r="C33" s="690"/>
      <c r="D33" s="691"/>
      <c r="E33" s="184">
        <f>TRUNC(E27*4/12,0)</f>
        <v>470743</v>
      </c>
      <c r="F33" s="231"/>
      <c r="G33" s="256"/>
      <c r="H33" s="259" t="s">
        <v>288</v>
      </c>
      <c r="I33" s="252"/>
      <c r="J33" s="177" t="s">
        <v>334</v>
      </c>
    </row>
    <row r="34" spans="1:10" ht="34.5" customHeight="1">
      <c r="A34" s="692" t="s">
        <v>56</v>
      </c>
      <c r="B34" s="690"/>
      <c r="C34" s="690"/>
      <c r="D34" s="691"/>
      <c r="E34" s="184">
        <f>TRUNC(SUM(E27,E32,E33)/12,0)</f>
        <v>169302</v>
      </c>
      <c r="F34" s="231"/>
      <c r="G34" s="256"/>
      <c r="H34" s="258" t="s">
        <v>57</v>
      </c>
      <c r="I34" s="251"/>
      <c r="J34" s="177" t="s">
        <v>335</v>
      </c>
    </row>
    <row r="35" spans="1:10" ht="45" customHeight="1">
      <c r="A35" s="692" t="s">
        <v>58</v>
      </c>
      <c r="B35" s="690"/>
      <c r="C35" s="690"/>
      <c r="D35" s="691"/>
      <c r="E35" s="184">
        <f>SUM(E27,E32,E33,E34)</f>
        <v>2200928</v>
      </c>
      <c r="F35" s="231"/>
      <c r="G35" s="256"/>
      <c r="H35" s="6"/>
      <c r="I35" s="13"/>
      <c r="J35" s="12"/>
    </row>
    <row r="36" spans="1:12" s="181" customFormat="1" ht="22.5" customHeight="1">
      <c r="A36" s="228" t="str">
        <f>"주 1) 기본급 : "&amp;월기본급!$A$1&amp;월기본급!$A$2&amp;" 참조"</f>
        <v>주 1) 기본급 : &lt; 표 : 8 &gt; M/M당기본급산출표 참조</v>
      </c>
      <c r="B36" s="228"/>
      <c r="C36" s="228"/>
      <c r="D36" s="228"/>
      <c r="E36" s="179"/>
      <c r="F36" s="179"/>
      <c r="G36" s="179"/>
      <c r="H36" s="179"/>
      <c r="I36" s="179"/>
      <c r="J36" s="179"/>
      <c r="L36" s="230"/>
    </row>
    <row r="37" spans="1:12" s="430" customFormat="1" ht="22.5" customHeight="1">
      <c r="A37" s="421" t="str">
        <f>"   2) 연장근로수당 : ["&amp;FIXED(E27,0)&amp;"(기본급)÷"&amp;K25&amp;"시간(월근로시간)×("&amp;$M$28&amp;"시간×4.34주)×1.25(할증)+"</f>
        <v>   2) 연장근로수당 : [1,412,229(기본급)÷209시간(월근로시간)×(0시간×4.34주)×1.25(할증)+</v>
      </c>
      <c r="B37" s="428"/>
      <c r="C37" s="428"/>
      <c r="D37" s="428"/>
      <c r="E37" s="429"/>
      <c r="F37" s="429"/>
      <c r="G37" s="429"/>
      <c r="H37" s="429"/>
      <c r="I37" s="429"/>
      <c r="J37" s="429"/>
      <c r="L37" s="431"/>
    </row>
    <row r="38" spans="1:12" s="430" customFormat="1" ht="22.5" customHeight="1">
      <c r="A38" s="421" t="str">
        <f>"                    "&amp;FIXED(E27,0)&amp;"(기본급)÷"&amp;K25&amp;"시간(월근로시간)×("&amp;(연장근로!$D$9)&amp;"시간×"&amp;(연장근로!$F$9)&amp;"주)×1.5(할증)]"</f>
        <v>                    1,412,229(기본급)÷209시간(월근로시간)×(0시간×4.34주)×1.5(할증)]</v>
      </c>
      <c r="B38" s="428"/>
      <c r="C38" s="428"/>
      <c r="D38" s="428"/>
      <c r="E38" s="429"/>
      <c r="F38" s="429"/>
      <c r="G38" s="429"/>
      <c r="H38" s="429"/>
      <c r="I38" s="429"/>
      <c r="J38" s="429"/>
      <c r="L38" s="431"/>
    </row>
    <row r="39" spans="1:12" s="430" customFormat="1" ht="22.5" customHeight="1">
      <c r="A39" s="427" t="s">
        <v>344</v>
      </c>
      <c r="B39" s="428"/>
      <c r="C39" s="428"/>
      <c r="D39" s="428"/>
      <c r="E39" s="429"/>
      <c r="F39" s="429"/>
      <c r="G39" s="429"/>
      <c r="H39" s="429"/>
      <c r="I39" s="429"/>
      <c r="J39" s="429"/>
      <c r="L39" s="431"/>
    </row>
    <row r="40" spans="1:12" s="181" customFormat="1" ht="22.5" customHeight="1">
      <c r="A40" s="421" t="str">
        <f>"   3) 휴일근로수당 : "&amp;FIXED(E27,0)&amp;"(기본급)÷"&amp;K25&amp;"(월근로시간)×"&amp;K29&amp;"시간(휴일근로시간)×1.5(할증)"</f>
        <v>   3) 휴일근로수당 : 1,412,229(기본급)÷209(월근로시간)×8시간(휴일근로시간)×1.5(할증)</v>
      </c>
      <c r="B40" s="228"/>
      <c r="C40" s="228"/>
      <c r="D40" s="228"/>
      <c r="E40" s="179"/>
      <c r="F40" s="179"/>
      <c r="G40" s="179"/>
      <c r="H40" s="179"/>
      <c r="I40" s="179"/>
      <c r="J40" s="179"/>
      <c r="L40" s="230"/>
    </row>
    <row r="41" spans="1:12" s="181" customFormat="1" ht="22.5" customHeight="1">
      <c r="A41" s="421" t="str">
        <f>"   4) 년차수당 : "&amp;FIXED(E27,0)&amp;"(기본급)÷"&amp;K25&amp;"(월근로시간)×8시간(일근로시간)×15일/년÷12개월"</f>
        <v>   4) 년차수당 : 1,412,229(기본급)÷209(월근로시간)×8시간(일근로시간)×15일/년÷12개월</v>
      </c>
      <c r="B41" s="178"/>
      <c r="C41" s="178"/>
      <c r="D41" s="178"/>
      <c r="E41" s="180"/>
      <c r="F41" s="180"/>
      <c r="G41" s="180"/>
      <c r="H41" s="180"/>
      <c r="I41" s="180"/>
      <c r="J41" s="171"/>
      <c r="L41" s="230"/>
    </row>
    <row r="42" spans="1:12" s="181" customFormat="1" ht="22.5" customHeight="1">
      <c r="A42" s="421" t="s">
        <v>336</v>
      </c>
      <c r="B42" s="178"/>
      <c r="C42" s="178"/>
      <c r="D42" s="178"/>
      <c r="E42" s="180"/>
      <c r="F42" s="180"/>
      <c r="G42" s="180"/>
      <c r="H42" s="180"/>
      <c r="I42" s="180"/>
      <c r="J42" s="171"/>
      <c r="L42" s="230"/>
    </row>
    <row r="43" spans="1:10" ht="22.5" customHeight="1">
      <c r="A43" s="421" t="str">
        <f>"   6) 상여금 : "&amp;FIXED(E27,0)&amp;"(기본급)×4개월(년 400%적용)÷12개월"</f>
        <v>   6) 상여금 : 1,412,229(기본급)×4개월(년 400%적용)÷12개월</v>
      </c>
      <c r="J43" s="34"/>
    </row>
    <row r="44" spans="1:10" ht="22.5" customHeight="1">
      <c r="A44" s="253" t="str">
        <f>"   7) 퇴직급여충당금 : {"&amp;FIXED(E27,0)&amp;"(기본급)+"&amp;FIXED(E32,0)&amp;"(제수당)+"&amp;FIXED(E33,0)&amp;"(상여금)}÷12개월"</f>
        <v>   7) 퇴직급여충당금 : {1,412,229(기본급)+148,654(제수당)+470,743(상여금)}÷12개월</v>
      </c>
      <c r="J44" s="34"/>
    </row>
    <row r="45" spans="1:10" ht="22.5" customHeight="1">
      <c r="A45" s="253"/>
      <c r="J45" s="34"/>
    </row>
    <row r="46" spans="1:12" ht="19.5" customHeight="1">
      <c r="A46" s="169" t="str">
        <f>"구 분 : "&amp;월기본급!B10&amp;"                       직종명 : "&amp;월기본급!F10&amp;""</f>
        <v>구 분 : 전기기사                       직종명 : 전기정비공</v>
      </c>
      <c r="B46" s="170"/>
      <c r="C46" s="170"/>
      <c r="D46" s="170"/>
      <c r="E46" s="180"/>
      <c r="F46" s="180"/>
      <c r="G46" s="180"/>
      <c r="J46" s="226" t="s">
        <v>39</v>
      </c>
      <c r="K46" s="425">
        <v>209</v>
      </c>
      <c r="L46" s="169" t="s">
        <v>47</v>
      </c>
    </row>
    <row r="47" spans="1:10" ht="49.5" customHeight="1">
      <c r="A47" s="692" t="s">
        <v>48</v>
      </c>
      <c r="B47" s="690"/>
      <c r="C47" s="690"/>
      <c r="D47" s="691"/>
      <c r="E47" s="712" t="s">
        <v>49</v>
      </c>
      <c r="F47" s="713"/>
      <c r="G47" s="243" t="s">
        <v>211</v>
      </c>
      <c r="H47" s="242"/>
      <c r="I47" s="243" t="s">
        <v>50</v>
      </c>
      <c r="J47" s="242"/>
    </row>
    <row r="48" spans="1:10" ht="34.5" customHeight="1">
      <c r="A48" s="692" t="s">
        <v>51</v>
      </c>
      <c r="B48" s="690"/>
      <c r="C48" s="690"/>
      <c r="D48" s="691"/>
      <c r="E48" s="254">
        <f>월기본급!J10</f>
        <v>1347024</v>
      </c>
      <c r="F48" s="255"/>
      <c r="G48" s="257"/>
      <c r="H48" s="239"/>
      <c r="I48" s="238"/>
      <c r="J48" s="177" t="s">
        <v>52</v>
      </c>
    </row>
    <row r="49" spans="1:11" ht="34.5" customHeight="1">
      <c r="A49" s="701" t="s">
        <v>326</v>
      </c>
      <c r="B49" s="23"/>
      <c r="C49" s="24" t="s">
        <v>1</v>
      </c>
      <c r="D49" s="21"/>
      <c r="E49" s="465">
        <f>TRUNC((E48/K46*($M$29*4.34)*1.25)+(E48/K46*($L$7)*1.5),0)</f>
        <v>6992</v>
      </c>
      <c r="F49" s="255"/>
      <c r="G49" s="257"/>
      <c r="H49" s="258" t="s">
        <v>241</v>
      </c>
      <c r="I49" s="251"/>
      <c r="J49" s="177" t="s">
        <v>13</v>
      </c>
      <c r="K49" s="503">
        <f>연장근로!$G$11</f>
        <v>0.86</v>
      </c>
    </row>
    <row r="50" spans="1:11" ht="34.5" customHeight="1">
      <c r="A50" s="704"/>
      <c r="B50" s="23"/>
      <c r="C50" s="24" t="s">
        <v>252</v>
      </c>
      <c r="D50" s="21"/>
      <c r="E50" s="465">
        <f>TRUNC(E48/K46*K50*1.5,0)</f>
        <v>77341</v>
      </c>
      <c r="F50" s="255"/>
      <c r="G50" s="257"/>
      <c r="H50" s="258" t="s">
        <v>241</v>
      </c>
      <c r="I50" s="251"/>
      <c r="J50" s="177" t="s">
        <v>14</v>
      </c>
      <c r="K50" s="503">
        <f>휴일근로!$G$10</f>
        <v>8</v>
      </c>
    </row>
    <row r="51" spans="1:10" ht="34.5" customHeight="1">
      <c r="A51" s="704"/>
      <c r="B51" s="23"/>
      <c r="C51" s="24" t="s">
        <v>53</v>
      </c>
      <c r="D51" s="21"/>
      <c r="E51" s="254">
        <f>TRUNC(E48/K46*8*15/12,0)</f>
        <v>64450</v>
      </c>
      <c r="F51" s="255"/>
      <c r="G51" s="257"/>
      <c r="H51" s="258" t="s">
        <v>240</v>
      </c>
      <c r="I51" s="251"/>
      <c r="J51" s="177" t="s">
        <v>15</v>
      </c>
    </row>
    <row r="52" spans="1:10" ht="34.5" customHeight="1">
      <c r="A52" s="704"/>
      <c r="B52" s="23"/>
      <c r="C52" s="24" t="s">
        <v>325</v>
      </c>
      <c r="D52" s="21"/>
      <c r="E52" s="184"/>
      <c r="F52" s="231"/>
      <c r="G52" s="256"/>
      <c r="H52" s="258"/>
      <c r="I52" s="251"/>
      <c r="J52" s="177" t="s">
        <v>16</v>
      </c>
    </row>
    <row r="53" spans="1:10" ht="34.5" customHeight="1">
      <c r="A53" s="702"/>
      <c r="B53" s="23"/>
      <c r="C53" s="24" t="s">
        <v>54</v>
      </c>
      <c r="D53" s="21"/>
      <c r="E53" s="254">
        <f>SUM(E49:E52)</f>
        <v>148783</v>
      </c>
      <c r="F53" s="255"/>
      <c r="G53" s="257"/>
      <c r="H53" s="258"/>
      <c r="I53" s="251"/>
      <c r="J53" s="177"/>
    </row>
    <row r="54" spans="1:10" ht="34.5" customHeight="1">
      <c r="A54" s="692" t="s">
        <v>55</v>
      </c>
      <c r="B54" s="690"/>
      <c r="C54" s="690"/>
      <c r="D54" s="691"/>
      <c r="E54" s="254">
        <f>TRUNC(E48*4/12,0)</f>
        <v>449008</v>
      </c>
      <c r="F54" s="255"/>
      <c r="G54" s="257"/>
      <c r="H54" s="259" t="s">
        <v>288</v>
      </c>
      <c r="I54" s="252"/>
      <c r="J54" s="177" t="s">
        <v>334</v>
      </c>
    </row>
    <row r="55" spans="1:10" ht="34.5" customHeight="1">
      <c r="A55" s="692" t="s">
        <v>56</v>
      </c>
      <c r="B55" s="690"/>
      <c r="C55" s="690"/>
      <c r="D55" s="691"/>
      <c r="E55" s="254">
        <f>TRUNC(SUM(E48,E53,E54)/12,0)</f>
        <v>162067</v>
      </c>
      <c r="F55" s="255"/>
      <c r="G55" s="257"/>
      <c r="H55" s="258" t="s">
        <v>57</v>
      </c>
      <c r="I55" s="251"/>
      <c r="J55" s="177" t="s">
        <v>335</v>
      </c>
    </row>
    <row r="56" spans="1:10" ht="45" customHeight="1">
      <c r="A56" s="692" t="s">
        <v>58</v>
      </c>
      <c r="B56" s="690"/>
      <c r="C56" s="690"/>
      <c r="D56" s="691"/>
      <c r="E56" s="254">
        <f>SUM(E48,E53,E54,E55)</f>
        <v>2106882</v>
      </c>
      <c r="F56" s="255"/>
      <c r="G56" s="257"/>
      <c r="H56" s="6"/>
      <c r="I56" s="13"/>
      <c r="J56" s="12"/>
    </row>
    <row r="57" spans="1:12" s="181" customFormat="1" ht="22.5" customHeight="1">
      <c r="A57" s="228" t="str">
        <f>"주 1) 기본급 : "&amp;월기본급!$A$1&amp;월기본급!$A$2&amp;" 참조"</f>
        <v>주 1) 기본급 : &lt; 표 : 8 &gt; M/M당기본급산출표 참조</v>
      </c>
      <c r="B57" s="228"/>
      <c r="C57" s="228"/>
      <c r="D57" s="228"/>
      <c r="E57" s="179"/>
      <c r="F57" s="179"/>
      <c r="G57" s="179"/>
      <c r="H57" s="179"/>
      <c r="I57" s="179"/>
      <c r="J57" s="179"/>
      <c r="L57" s="230"/>
    </row>
    <row r="58" spans="1:12" s="430" customFormat="1" ht="22.5" customHeight="1">
      <c r="A58" s="421" t="str">
        <f>"   2) 연장근로수당 : ["&amp;FIXED(E48,0)&amp;"(기본급)÷"&amp;K46&amp;"시간(월근로시간)×("&amp;$M$29&amp;"시간×4.34주)×1.25(할증)+"</f>
        <v>   2) 연장근로수당 : [1,347,024(기본급)÷209시간(월근로시간)×(0.2시간×4.34주)×1.25(할증)+</v>
      </c>
      <c r="B58" s="428"/>
      <c r="C58" s="428"/>
      <c r="D58" s="428"/>
      <c r="E58" s="429"/>
      <c r="F58" s="429"/>
      <c r="G58" s="429"/>
      <c r="H58" s="429"/>
      <c r="I58" s="429"/>
      <c r="J58" s="429"/>
      <c r="L58" s="431"/>
    </row>
    <row r="59" spans="1:12" s="430" customFormat="1" ht="22.5" customHeight="1">
      <c r="A59" s="421" t="str">
        <f>"                    "&amp;FIXED(E48,0)&amp;"(기본급)÷"&amp;K46&amp;"시간(월근로시간)×("&amp;(연장근로!$D$9)&amp;"시간×"&amp;(연장근로!$F$9)&amp;"주)×1.5(할증)]"</f>
        <v>                    1,347,024(기본급)÷209시간(월근로시간)×(0시간×4.34주)×1.5(할증)]</v>
      </c>
      <c r="B59" s="428"/>
      <c r="C59" s="428"/>
      <c r="D59" s="428"/>
      <c r="E59" s="429"/>
      <c r="F59" s="429"/>
      <c r="G59" s="429"/>
      <c r="H59" s="429"/>
      <c r="I59" s="429"/>
      <c r="J59" s="429"/>
      <c r="L59" s="431"/>
    </row>
    <row r="60" spans="1:12" s="430" customFormat="1" ht="22.5" customHeight="1">
      <c r="A60" s="427" t="s">
        <v>372</v>
      </c>
      <c r="B60" s="428"/>
      <c r="C60" s="428"/>
      <c r="D60" s="428"/>
      <c r="E60" s="429"/>
      <c r="F60" s="429"/>
      <c r="G60" s="429"/>
      <c r="H60" s="429"/>
      <c r="I60" s="429"/>
      <c r="J60" s="429"/>
      <c r="L60" s="431"/>
    </row>
    <row r="61" spans="1:12" s="181" customFormat="1" ht="22.5" customHeight="1">
      <c r="A61" s="421" t="str">
        <f>"   3) 휴일근로수당 : "&amp;FIXED(E48,0)&amp;"(기본급)÷"&amp;K46&amp;"(월근로시간)×"&amp;K50&amp;"시간(휴일근로시간)×1.5(할증)"</f>
        <v>   3) 휴일근로수당 : 1,347,024(기본급)÷209(월근로시간)×8시간(휴일근로시간)×1.5(할증)</v>
      </c>
      <c r="B61" s="228"/>
      <c r="C61" s="228"/>
      <c r="D61" s="228"/>
      <c r="E61" s="179"/>
      <c r="F61" s="179"/>
      <c r="G61" s="179"/>
      <c r="H61" s="179"/>
      <c r="I61" s="179"/>
      <c r="J61" s="179"/>
      <c r="L61" s="230"/>
    </row>
    <row r="62" spans="1:12" s="181" customFormat="1" ht="22.5" customHeight="1">
      <c r="A62" s="421" t="str">
        <f>"   4) 년차수당 : "&amp;FIXED(E48,0)&amp;"(기본급)÷"&amp;K46&amp;"(월근로시간)×8시간(일근로시간)×15일/년÷12개월"</f>
        <v>   4) 년차수당 : 1,347,024(기본급)÷209(월근로시간)×8시간(일근로시간)×15일/년÷12개월</v>
      </c>
      <c r="B62" s="178"/>
      <c r="C62" s="178"/>
      <c r="D62" s="178"/>
      <c r="E62" s="180"/>
      <c r="F62" s="180"/>
      <c r="G62" s="180"/>
      <c r="H62" s="180"/>
      <c r="I62" s="180"/>
      <c r="J62" s="171"/>
      <c r="L62" s="230"/>
    </row>
    <row r="63" spans="1:12" s="181" customFormat="1" ht="22.5" customHeight="1">
      <c r="A63" s="421" t="s">
        <v>336</v>
      </c>
      <c r="B63" s="178"/>
      <c r="C63" s="178"/>
      <c r="D63" s="178"/>
      <c r="E63" s="180"/>
      <c r="F63" s="180"/>
      <c r="G63" s="180"/>
      <c r="H63" s="180"/>
      <c r="I63" s="180"/>
      <c r="J63" s="171"/>
      <c r="L63" s="230"/>
    </row>
    <row r="64" spans="1:10" ht="22.5" customHeight="1">
      <c r="A64" s="421" t="str">
        <f>"   6) 상여금 : "&amp;FIXED(E48,0)&amp;"(기본급)×4개월(년 400%적용)÷12개월"</f>
        <v>   6) 상여금 : 1,347,024(기본급)×4개월(년 400%적용)÷12개월</v>
      </c>
      <c r="J64" s="34"/>
    </row>
    <row r="65" spans="1:10" ht="22.5" customHeight="1">
      <c r="A65" s="253" t="str">
        <f>"   7) 퇴직급여충당금 : {"&amp;FIXED(E48,0)&amp;"(기본급)+"&amp;FIXED(E53,0)&amp;"(제수당)+"&amp;FIXED(E54,0)&amp;"(상여금)}÷12개월"</f>
        <v>   7) 퇴직급여충당금 : {1,347,024(기본급)+148,783(제수당)+449,008(상여금)}÷12개월</v>
      </c>
      <c r="J65" s="34"/>
    </row>
    <row r="66" spans="1:10" ht="22.5" customHeight="1">
      <c r="A66" s="253"/>
      <c r="J66" s="34"/>
    </row>
    <row r="67" spans="1:12" ht="19.5" customHeight="1">
      <c r="A67" s="169" t="str">
        <f>"구 분 : "&amp;월기본급!B11&amp;"                       직종명 : "&amp;월기본급!F11&amp;""</f>
        <v>구 분 : 기계반장                       직종명 : 보일러공</v>
      </c>
      <c r="B67" s="170"/>
      <c r="C67" s="170"/>
      <c r="D67" s="170"/>
      <c r="E67" s="180"/>
      <c r="F67" s="180"/>
      <c r="G67" s="180"/>
      <c r="J67" s="226" t="s">
        <v>39</v>
      </c>
      <c r="K67" s="425">
        <v>209</v>
      </c>
      <c r="L67" s="169" t="s">
        <v>47</v>
      </c>
    </row>
    <row r="68" spans="1:10" ht="49.5" customHeight="1">
      <c r="A68" s="692" t="s">
        <v>48</v>
      </c>
      <c r="B68" s="690"/>
      <c r="C68" s="690"/>
      <c r="D68" s="691"/>
      <c r="E68" s="712" t="s">
        <v>49</v>
      </c>
      <c r="F68" s="713"/>
      <c r="G68" s="243" t="s">
        <v>211</v>
      </c>
      <c r="H68" s="242"/>
      <c r="I68" s="243" t="s">
        <v>50</v>
      </c>
      <c r="J68" s="242"/>
    </row>
    <row r="69" spans="1:10" ht="34.5" customHeight="1">
      <c r="A69" s="692" t="s">
        <v>51</v>
      </c>
      <c r="B69" s="690"/>
      <c r="C69" s="690"/>
      <c r="D69" s="691"/>
      <c r="E69" s="254">
        <f>월기본급!J11</f>
        <v>1338939</v>
      </c>
      <c r="F69" s="255"/>
      <c r="G69" s="257"/>
      <c r="H69" s="239"/>
      <c r="I69" s="238"/>
      <c r="J69" s="177" t="s">
        <v>52</v>
      </c>
    </row>
    <row r="70" spans="1:11" ht="34.5" customHeight="1">
      <c r="A70" s="701" t="s">
        <v>326</v>
      </c>
      <c r="B70" s="23"/>
      <c r="C70" s="24" t="s">
        <v>1</v>
      </c>
      <c r="D70" s="21"/>
      <c r="E70" s="465">
        <f>TRUNC((E69/K67*($M$29*4.34)*1.25)+(E69/K67*($L$7)*1.5),0)</f>
        <v>6950</v>
      </c>
      <c r="F70" s="255"/>
      <c r="G70" s="257"/>
      <c r="H70" s="258" t="s">
        <v>241</v>
      </c>
      <c r="I70" s="251"/>
      <c r="J70" s="177" t="s">
        <v>13</v>
      </c>
      <c r="K70" s="503">
        <f>연장근로!$G$11</f>
        <v>0.86</v>
      </c>
    </row>
    <row r="71" spans="1:11" ht="34.5" customHeight="1">
      <c r="A71" s="704"/>
      <c r="B71" s="23"/>
      <c r="C71" s="24" t="s">
        <v>252</v>
      </c>
      <c r="D71" s="21"/>
      <c r="E71" s="465">
        <f>TRUNC(E69/K67*K71*1.5,0)</f>
        <v>76876</v>
      </c>
      <c r="F71" s="255"/>
      <c r="G71" s="257"/>
      <c r="H71" s="258" t="s">
        <v>241</v>
      </c>
      <c r="I71" s="251"/>
      <c r="J71" s="177" t="s">
        <v>14</v>
      </c>
      <c r="K71" s="503">
        <f>휴일근로!$G$10</f>
        <v>8</v>
      </c>
    </row>
    <row r="72" spans="1:10" ht="34.5" customHeight="1">
      <c r="A72" s="704"/>
      <c r="B72" s="23"/>
      <c r="C72" s="24" t="s">
        <v>53</v>
      </c>
      <c r="D72" s="21"/>
      <c r="E72" s="254">
        <f>TRUNC(E69/K67*8*15/12,0)</f>
        <v>64064</v>
      </c>
      <c r="F72" s="255"/>
      <c r="G72" s="257"/>
      <c r="H72" s="258" t="s">
        <v>240</v>
      </c>
      <c r="I72" s="251"/>
      <c r="J72" s="177" t="s">
        <v>15</v>
      </c>
    </row>
    <row r="73" spans="1:10" ht="34.5" customHeight="1">
      <c r="A73" s="704"/>
      <c r="B73" s="23"/>
      <c r="C73" s="24" t="s">
        <v>325</v>
      </c>
      <c r="D73" s="21"/>
      <c r="E73" s="184"/>
      <c r="F73" s="231"/>
      <c r="G73" s="256"/>
      <c r="H73" s="258"/>
      <c r="I73" s="251"/>
      <c r="J73" s="177" t="s">
        <v>16</v>
      </c>
    </row>
    <row r="74" spans="1:10" ht="34.5" customHeight="1">
      <c r="A74" s="702"/>
      <c r="B74" s="23"/>
      <c r="C74" s="24" t="s">
        <v>54</v>
      </c>
      <c r="D74" s="21"/>
      <c r="E74" s="254">
        <f>SUM(E70:E73)</f>
        <v>147890</v>
      </c>
      <c r="F74" s="255"/>
      <c r="G74" s="257"/>
      <c r="H74" s="258"/>
      <c r="I74" s="251"/>
      <c r="J74" s="177"/>
    </row>
    <row r="75" spans="1:10" ht="34.5" customHeight="1">
      <c r="A75" s="692" t="s">
        <v>55</v>
      </c>
      <c r="B75" s="690"/>
      <c r="C75" s="690"/>
      <c r="D75" s="691"/>
      <c r="E75" s="254">
        <f>TRUNC(E69*4/12,0)</f>
        <v>446313</v>
      </c>
      <c r="F75" s="255"/>
      <c r="G75" s="257"/>
      <c r="H75" s="259" t="s">
        <v>288</v>
      </c>
      <c r="I75" s="252"/>
      <c r="J75" s="177" t="s">
        <v>334</v>
      </c>
    </row>
    <row r="76" spans="1:10" ht="34.5" customHeight="1">
      <c r="A76" s="692" t="s">
        <v>56</v>
      </c>
      <c r="B76" s="690"/>
      <c r="C76" s="690"/>
      <c r="D76" s="691"/>
      <c r="E76" s="254">
        <f>TRUNC(SUM(E69,E74,E75)/12,0)</f>
        <v>161095</v>
      </c>
      <c r="F76" s="255"/>
      <c r="G76" s="257"/>
      <c r="H76" s="258" t="s">
        <v>57</v>
      </c>
      <c r="I76" s="251"/>
      <c r="J76" s="177" t="s">
        <v>335</v>
      </c>
    </row>
    <row r="77" spans="1:10" ht="45" customHeight="1">
      <c r="A77" s="692" t="s">
        <v>58</v>
      </c>
      <c r="B77" s="690"/>
      <c r="C77" s="690"/>
      <c r="D77" s="691"/>
      <c r="E77" s="254">
        <f>SUM(E69,E74,E75,E76)</f>
        <v>2094237</v>
      </c>
      <c r="F77" s="255"/>
      <c r="G77" s="257"/>
      <c r="H77" s="6"/>
      <c r="I77" s="13"/>
      <c r="J77" s="12"/>
    </row>
    <row r="78" spans="1:12" s="181" customFormat="1" ht="22.5" customHeight="1">
      <c r="A78" s="228" t="str">
        <f>"주 1) 기본급 : "&amp;월기본급!$A$1&amp;월기본급!$A$2&amp;" 참조"</f>
        <v>주 1) 기본급 : &lt; 표 : 8 &gt; M/M당기본급산출표 참조</v>
      </c>
      <c r="B78" s="228"/>
      <c r="C78" s="228"/>
      <c r="D78" s="228"/>
      <c r="E78" s="179"/>
      <c r="F78" s="179"/>
      <c r="G78" s="179"/>
      <c r="H78" s="179"/>
      <c r="I78" s="179"/>
      <c r="J78" s="179"/>
      <c r="L78" s="230"/>
    </row>
    <row r="79" spans="1:12" s="430" customFormat="1" ht="22.5" customHeight="1">
      <c r="A79" s="421" t="str">
        <f>"   2) 연장근로수당 : ["&amp;FIXED(E69,0)&amp;"(기본급)÷"&amp;K67&amp;"시간(월근로시간)×("&amp;$M$29&amp;"시간×4.34주)×1.25(할증)+"</f>
        <v>   2) 연장근로수당 : [1,338,939(기본급)÷209시간(월근로시간)×(0.2시간×4.34주)×1.25(할증)+</v>
      </c>
      <c r="B79" s="428"/>
      <c r="C79" s="428"/>
      <c r="D79" s="428"/>
      <c r="E79" s="429"/>
      <c r="F79" s="429"/>
      <c r="G79" s="429"/>
      <c r="H79" s="429"/>
      <c r="I79" s="429"/>
      <c r="J79" s="429"/>
      <c r="L79" s="431"/>
    </row>
    <row r="80" spans="1:12" s="430" customFormat="1" ht="22.5" customHeight="1">
      <c r="A80" s="421" t="str">
        <f>"                    "&amp;FIXED(E69,0)&amp;"(기본급)÷"&amp;K67&amp;"시간(월근로시간)×("&amp;(연장근로!$D$9)&amp;"시간×"&amp;(연장근로!$F$9)&amp;"주)×1.5(할증)]"</f>
        <v>                    1,338,939(기본급)÷209시간(월근로시간)×(0시간×4.34주)×1.5(할증)]</v>
      </c>
      <c r="B80" s="428"/>
      <c r="C80" s="428"/>
      <c r="D80" s="428"/>
      <c r="E80" s="429"/>
      <c r="F80" s="429"/>
      <c r="G80" s="429"/>
      <c r="H80" s="429"/>
      <c r="I80" s="429"/>
      <c r="J80" s="429"/>
      <c r="L80" s="431"/>
    </row>
    <row r="81" spans="1:12" s="430" customFormat="1" ht="22.5" customHeight="1">
      <c r="A81" s="427" t="s">
        <v>372</v>
      </c>
      <c r="B81" s="428"/>
      <c r="C81" s="428"/>
      <c r="D81" s="428"/>
      <c r="E81" s="429"/>
      <c r="F81" s="429"/>
      <c r="G81" s="429"/>
      <c r="H81" s="429"/>
      <c r="I81" s="429"/>
      <c r="J81" s="429"/>
      <c r="L81" s="431"/>
    </row>
    <row r="82" spans="1:12" s="181" customFormat="1" ht="22.5" customHeight="1">
      <c r="A82" s="421" t="str">
        <f>"   3) 휴일근로수당 : "&amp;FIXED(E69,0)&amp;"(기본급)÷"&amp;K67&amp;"(월근로시간)×"&amp;K71&amp;"시간(휴일근로시간)×1.5(할증)"</f>
        <v>   3) 휴일근로수당 : 1,338,939(기본급)÷209(월근로시간)×8시간(휴일근로시간)×1.5(할증)</v>
      </c>
      <c r="B82" s="228"/>
      <c r="C82" s="228"/>
      <c r="D82" s="228"/>
      <c r="E82" s="179"/>
      <c r="F82" s="179"/>
      <c r="G82" s="179"/>
      <c r="H82" s="179"/>
      <c r="I82" s="179"/>
      <c r="J82" s="179"/>
      <c r="L82" s="230"/>
    </row>
    <row r="83" spans="1:12" s="181" customFormat="1" ht="22.5" customHeight="1">
      <c r="A83" s="421" t="str">
        <f>"   4) 년차수당 : "&amp;FIXED(E69,0)&amp;"(기본급)÷"&amp;K67&amp;"(월근로시간)×8시간(일근로시간)×15일/년÷12개월"</f>
        <v>   4) 년차수당 : 1,338,939(기본급)÷209(월근로시간)×8시간(일근로시간)×15일/년÷12개월</v>
      </c>
      <c r="B83" s="178"/>
      <c r="C83" s="178"/>
      <c r="D83" s="178"/>
      <c r="E83" s="180"/>
      <c r="F83" s="180"/>
      <c r="G83" s="180"/>
      <c r="H83" s="180"/>
      <c r="I83" s="180"/>
      <c r="J83" s="171"/>
      <c r="L83" s="230"/>
    </row>
    <row r="84" spans="1:12" s="181" customFormat="1" ht="22.5" customHeight="1">
      <c r="A84" s="421" t="s">
        <v>336</v>
      </c>
      <c r="B84" s="178"/>
      <c r="C84" s="178"/>
      <c r="D84" s="178"/>
      <c r="E84" s="180"/>
      <c r="F84" s="180"/>
      <c r="G84" s="180"/>
      <c r="H84" s="180"/>
      <c r="I84" s="180"/>
      <c r="J84" s="171"/>
      <c r="L84" s="230"/>
    </row>
    <row r="85" spans="1:10" ht="22.5" customHeight="1">
      <c r="A85" s="421" t="str">
        <f>"   6) 상여금 : "&amp;FIXED(E69,0)&amp;"(기본급)×4개월(년 400%적용)÷12개월"</f>
        <v>   6) 상여금 : 1,338,939(기본급)×4개월(년 400%적용)÷12개월</v>
      </c>
      <c r="J85" s="34"/>
    </row>
    <row r="86" spans="1:10" ht="22.5" customHeight="1">
      <c r="A86" s="253" t="str">
        <f>"   7) 퇴직급여충당금 : {"&amp;FIXED(E69,0)&amp;"(기본급)+"&amp;FIXED(E74,0)&amp;"(제수당)+"&amp;FIXED(E75,0)&amp;"(상여금)}÷12개월"</f>
        <v>   7) 퇴직급여충당금 : {1,338,939(기본급)+147,890(제수당)+446,313(상여금)}÷12개월</v>
      </c>
      <c r="J86" s="34"/>
    </row>
    <row r="87" spans="1:10" ht="22.5" customHeight="1">
      <c r="A87" s="253"/>
      <c r="J87" s="34"/>
    </row>
    <row r="88" spans="1:12" ht="19.5" customHeight="1">
      <c r="A88" s="169" t="str">
        <f>"구 분 : "&amp;월기본급!B12&amp;"                       직종명 : "&amp;월기본급!F12&amp;""</f>
        <v>구 분 : 기계기사                       직종명 : 기계정비공</v>
      </c>
      <c r="B88" s="170"/>
      <c r="C88" s="170"/>
      <c r="D88" s="170"/>
      <c r="E88" s="180"/>
      <c r="F88" s="180"/>
      <c r="G88" s="180"/>
      <c r="J88" s="226" t="s">
        <v>39</v>
      </c>
      <c r="K88" s="425">
        <v>209</v>
      </c>
      <c r="L88" s="169" t="s">
        <v>47</v>
      </c>
    </row>
    <row r="89" spans="1:10" ht="49.5" customHeight="1">
      <c r="A89" s="692" t="s">
        <v>48</v>
      </c>
      <c r="B89" s="690"/>
      <c r="C89" s="690"/>
      <c r="D89" s="691"/>
      <c r="E89" s="712" t="s">
        <v>49</v>
      </c>
      <c r="F89" s="713"/>
      <c r="G89" s="243" t="s">
        <v>211</v>
      </c>
      <c r="H89" s="242"/>
      <c r="I89" s="243" t="s">
        <v>50</v>
      </c>
      <c r="J89" s="242"/>
    </row>
    <row r="90" spans="1:10" ht="34.5" customHeight="1">
      <c r="A90" s="692" t="s">
        <v>51</v>
      </c>
      <c r="B90" s="690"/>
      <c r="C90" s="690"/>
      <c r="D90" s="691"/>
      <c r="E90" s="254">
        <f>월기본급!J12</f>
        <v>1320312</v>
      </c>
      <c r="F90" s="255"/>
      <c r="G90" s="257"/>
      <c r="H90" s="239"/>
      <c r="I90" s="238"/>
      <c r="J90" s="177" t="s">
        <v>52</v>
      </c>
    </row>
    <row r="91" spans="1:11" ht="34.5" customHeight="1">
      <c r="A91" s="701" t="s">
        <v>326</v>
      </c>
      <c r="B91" s="23"/>
      <c r="C91" s="24" t="s">
        <v>1</v>
      </c>
      <c r="D91" s="21"/>
      <c r="E91" s="465">
        <f>TRUNC((E90/K88*($M$29*4.34)*1.25)+(E90/K88*($L$7)*1.5),0)</f>
        <v>6854</v>
      </c>
      <c r="F91" s="255"/>
      <c r="G91" s="257"/>
      <c r="H91" s="258" t="s">
        <v>241</v>
      </c>
      <c r="I91" s="251"/>
      <c r="J91" s="177" t="s">
        <v>13</v>
      </c>
      <c r="K91" s="503">
        <f>연장근로!$G$11</f>
        <v>0.86</v>
      </c>
    </row>
    <row r="92" spans="1:11" ht="34.5" customHeight="1">
      <c r="A92" s="704"/>
      <c r="B92" s="23"/>
      <c r="C92" s="24" t="s">
        <v>252</v>
      </c>
      <c r="D92" s="21"/>
      <c r="E92" s="465">
        <f>TRUNC(E90/K88*$K$92*1.5,0)</f>
        <v>75807</v>
      </c>
      <c r="F92" s="255"/>
      <c r="G92" s="257"/>
      <c r="H92" s="258" t="s">
        <v>241</v>
      </c>
      <c r="I92" s="251"/>
      <c r="J92" s="177" t="s">
        <v>14</v>
      </c>
      <c r="K92" s="503">
        <f>휴일근로!$G$10</f>
        <v>8</v>
      </c>
    </row>
    <row r="93" spans="1:10" ht="34.5" customHeight="1">
      <c r="A93" s="704"/>
      <c r="B93" s="23"/>
      <c r="C93" s="24" t="s">
        <v>53</v>
      </c>
      <c r="D93" s="21"/>
      <c r="E93" s="254">
        <f>TRUNC(E90/K88*8*15/12,0)</f>
        <v>63172</v>
      </c>
      <c r="F93" s="255"/>
      <c r="G93" s="257"/>
      <c r="H93" s="258" t="s">
        <v>240</v>
      </c>
      <c r="I93" s="251"/>
      <c r="J93" s="177" t="s">
        <v>15</v>
      </c>
    </row>
    <row r="94" spans="1:10" ht="34.5" customHeight="1">
      <c r="A94" s="704"/>
      <c r="B94" s="23"/>
      <c r="C94" s="24" t="s">
        <v>325</v>
      </c>
      <c r="D94" s="21"/>
      <c r="E94" s="184"/>
      <c r="F94" s="231"/>
      <c r="G94" s="256"/>
      <c r="H94" s="258"/>
      <c r="I94" s="251"/>
      <c r="J94" s="177" t="s">
        <v>16</v>
      </c>
    </row>
    <row r="95" spans="1:10" ht="34.5" customHeight="1">
      <c r="A95" s="702"/>
      <c r="B95" s="23"/>
      <c r="C95" s="24" t="s">
        <v>54</v>
      </c>
      <c r="D95" s="21"/>
      <c r="E95" s="254">
        <f>SUM(E91:E94)</f>
        <v>145833</v>
      </c>
      <c r="F95" s="255"/>
      <c r="G95" s="257"/>
      <c r="H95" s="258"/>
      <c r="I95" s="251"/>
      <c r="J95" s="177"/>
    </row>
    <row r="96" spans="1:10" ht="34.5" customHeight="1">
      <c r="A96" s="692" t="s">
        <v>55</v>
      </c>
      <c r="B96" s="690"/>
      <c r="C96" s="690"/>
      <c r="D96" s="691"/>
      <c r="E96" s="254">
        <f>TRUNC(E90*4/12,0)</f>
        <v>440104</v>
      </c>
      <c r="F96" s="255"/>
      <c r="G96" s="257"/>
      <c r="H96" s="259" t="s">
        <v>288</v>
      </c>
      <c r="I96" s="252"/>
      <c r="J96" s="177" t="s">
        <v>334</v>
      </c>
    </row>
    <row r="97" spans="1:10" ht="34.5" customHeight="1">
      <c r="A97" s="692" t="s">
        <v>56</v>
      </c>
      <c r="B97" s="690"/>
      <c r="C97" s="690"/>
      <c r="D97" s="691"/>
      <c r="E97" s="254">
        <f>TRUNC(SUM(E90,E95,E96)/12,0)</f>
        <v>158854</v>
      </c>
      <c r="F97" s="255"/>
      <c r="G97" s="257"/>
      <c r="H97" s="258" t="s">
        <v>57</v>
      </c>
      <c r="I97" s="251"/>
      <c r="J97" s="177" t="s">
        <v>335</v>
      </c>
    </row>
    <row r="98" spans="1:10" ht="45" customHeight="1">
      <c r="A98" s="692" t="s">
        <v>58</v>
      </c>
      <c r="B98" s="690"/>
      <c r="C98" s="690"/>
      <c r="D98" s="691"/>
      <c r="E98" s="254">
        <f>SUM(E90,E95,E96,E97)</f>
        <v>2065103</v>
      </c>
      <c r="F98" s="255"/>
      <c r="G98" s="257"/>
      <c r="H98" s="6"/>
      <c r="I98" s="13"/>
      <c r="J98" s="12"/>
    </row>
    <row r="99" spans="1:12" s="181" customFormat="1" ht="22.5" customHeight="1">
      <c r="A99" s="228" t="str">
        <f>"주 1) 기본급 : "&amp;월기본급!$A$1&amp;월기본급!$A$2&amp;" 참조"</f>
        <v>주 1) 기본급 : &lt; 표 : 8 &gt; M/M당기본급산출표 참조</v>
      </c>
      <c r="B99" s="228"/>
      <c r="C99" s="228"/>
      <c r="D99" s="228"/>
      <c r="E99" s="179"/>
      <c r="F99" s="179"/>
      <c r="G99" s="179"/>
      <c r="H99" s="179"/>
      <c r="I99" s="179"/>
      <c r="J99" s="179"/>
      <c r="L99" s="230"/>
    </row>
    <row r="100" spans="1:12" s="430" customFormat="1" ht="22.5" customHeight="1">
      <c r="A100" s="421" t="str">
        <f>"   2) 연장근로수당 : ["&amp;FIXED(E90,0)&amp;"(기본급)÷"&amp;K88&amp;"시간(월근로시간)×("&amp;$M$29&amp;"시간×4.34주)×1.25(할증)+"</f>
        <v>   2) 연장근로수당 : [1,320,312(기본급)÷209시간(월근로시간)×(0.2시간×4.34주)×1.25(할증)+</v>
      </c>
      <c r="B100" s="428"/>
      <c r="C100" s="428"/>
      <c r="D100" s="428"/>
      <c r="E100" s="429"/>
      <c r="F100" s="429"/>
      <c r="G100" s="429"/>
      <c r="H100" s="429"/>
      <c r="I100" s="429"/>
      <c r="J100" s="429"/>
      <c r="L100" s="431"/>
    </row>
    <row r="101" spans="1:12" s="430" customFormat="1" ht="22.5" customHeight="1">
      <c r="A101" s="421" t="str">
        <f>"                    "&amp;FIXED(E90,0)&amp;"(기본급)÷"&amp;K88&amp;"시간(월근로시간)×("&amp;(연장근로!$D$9)&amp;"시간×"&amp;(연장근로!$F$9)&amp;"주)×1.5(할증)]"</f>
        <v>                    1,320,312(기본급)÷209시간(월근로시간)×(0시간×4.34주)×1.5(할증)]</v>
      </c>
      <c r="B101" s="428"/>
      <c r="C101" s="428"/>
      <c r="D101" s="428"/>
      <c r="E101" s="429"/>
      <c r="F101" s="429"/>
      <c r="G101" s="429"/>
      <c r="H101" s="429"/>
      <c r="I101" s="429"/>
      <c r="J101" s="429"/>
      <c r="L101" s="431"/>
    </row>
    <row r="102" spans="1:12" s="430" customFormat="1" ht="22.5" customHeight="1">
      <c r="A102" s="427" t="s">
        <v>372</v>
      </c>
      <c r="B102" s="428"/>
      <c r="C102" s="428"/>
      <c r="D102" s="428"/>
      <c r="E102" s="429"/>
      <c r="F102" s="429"/>
      <c r="G102" s="429"/>
      <c r="H102" s="429"/>
      <c r="I102" s="429"/>
      <c r="J102" s="429"/>
      <c r="L102" s="431"/>
    </row>
    <row r="103" spans="1:12" s="181" customFormat="1" ht="22.5" customHeight="1">
      <c r="A103" s="421" t="str">
        <f>"   3) 휴일근로수당 : "&amp;FIXED(E90,0)&amp;"(기본급)÷"&amp;K88&amp;"(월근로시간)×"&amp;K92&amp;"시간(휴일근로시간)×1.5(할증)"</f>
        <v>   3) 휴일근로수당 : 1,320,312(기본급)÷209(월근로시간)×8시간(휴일근로시간)×1.5(할증)</v>
      </c>
      <c r="B103" s="228"/>
      <c r="C103" s="228"/>
      <c r="D103" s="228"/>
      <c r="E103" s="179"/>
      <c r="F103" s="179"/>
      <c r="G103" s="179"/>
      <c r="H103" s="179"/>
      <c r="I103" s="179"/>
      <c r="J103" s="179"/>
      <c r="L103" s="230"/>
    </row>
    <row r="104" spans="1:12" s="181" customFormat="1" ht="22.5" customHeight="1">
      <c r="A104" s="421" t="str">
        <f>"   4) 년차수당 : "&amp;FIXED(E90,0)&amp;"(기본급)÷"&amp;K88&amp;"(월근로시간)×8시간(일근로시간)×15일/년÷12개월"</f>
        <v>   4) 년차수당 : 1,320,312(기본급)÷209(월근로시간)×8시간(일근로시간)×15일/년÷12개월</v>
      </c>
      <c r="B104" s="178"/>
      <c r="C104" s="178"/>
      <c r="D104" s="178"/>
      <c r="E104" s="180"/>
      <c r="F104" s="180"/>
      <c r="G104" s="180"/>
      <c r="H104" s="180"/>
      <c r="I104" s="180"/>
      <c r="J104" s="171"/>
      <c r="L104" s="230"/>
    </row>
    <row r="105" spans="1:12" s="181" customFormat="1" ht="22.5" customHeight="1">
      <c r="A105" s="421" t="s">
        <v>336</v>
      </c>
      <c r="B105" s="178"/>
      <c r="C105" s="178"/>
      <c r="D105" s="178"/>
      <c r="E105" s="180"/>
      <c r="F105" s="180"/>
      <c r="G105" s="180"/>
      <c r="H105" s="180"/>
      <c r="I105" s="180"/>
      <c r="J105" s="171"/>
      <c r="L105" s="230"/>
    </row>
    <row r="106" spans="1:10" ht="22.5" customHeight="1">
      <c r="A106" s="421" t="str">
        <f>"   6) 상여금 : "&amp;FIXED(E90,0)&amp;"(기본급)×4개월(년 400%적용)÷12개월"</f>
        <v>   6) 상여금 : 1,320,312(기본급)×4개월(년 400%적용)÷12개월</v>
      </c>
      <c r="J106" s="34"/>
    </row>
    <row r="107" spans="1:10" ht="22.5" customHeight="1">
      <c r="A107" s="253" t="str">
        <f>"   7) 퇴직급여충당금 : {"&amp;FIXED(E90,0)&amp;"(기본급)+"&amp;FIXED(E95,0)&amp;"(제수당)+"&amp;FIXED(E96,0)&amp;"(상여금)}÷12개월"</f>
        <v>   7) 퇴직급여충당금 : {1,320,312(기본급)+145,833(제수당)+440,104(상여금)}÷12개월</v>
      </c>
      <c r="J107" s="34"/>
    </row>
    <row r="108" spans="1:10" ht="22.5" customHeight="1">
      <c r="A108" s="253"/>
      <c r="J108" s="34"/>
    </row>
    <row r="109" spans="1:12" ht="19.5" customHeight="1">
      <c r="A109" s="169" t="str">
        <f>"구 분 : "&amp;월기본급!B13&amp;"                       직종명 : "&amp;월기본급!F13&amp;""</f>
        <v>구 분 : 미화반장                       직종명 : 보통인부</v>
      </c>
      <c r="B109" s="170"/>
      <c r="C109" s="170"/>
      <c r="D109" s="170"/>
      <c r="E109" s="180"/>
      <c r="F109" s="180"/>
      <c r="G109" s="180"/>
      <c r="J109" s="226" t="s">
        <v>39</v>
      </c>
      <c r="K109" s="152">
        <v>209</v>
      </c>
      <c r="L109" s="169" t="s">
        <v>47</v>
      </c>
    </row>
    <row r="110" spans="1:10" ht="49.5" customHeight="1">
      <c r="A110" s="692" t="s">
        <v>48</v>
      </c>
      <c r="B110" s="690"/>
      <c r="C110" s="690"/>
      <c r="D110" s="691"/>
      <c r="E110" s="712" t="s">
        <v>49</v>
      </c>
      <c r="F110" s="713"/>
      <c r="G110" s="243" t="s">
        <v>211</v>
      </c>
      <c r="H110" s="242"/>
      <c r="I110" s="243" t="s">
        <v>50</v>
      </c>
      <c r="J110" s="242"/>
    </row>
    <row r="111" spans="1:10" ht="34.5" customHeight="1">
      <c r="A111" s="692" t="s">
        <v>51</v>
      </c>
      <c r="B111" s="690"/>
      <c r="C111" s="690"/>
      <c r="D111" s="691"/>
      <c r="E111" s="254">
        <f>월기본급!J13</f>
        <v>1038030</v>
      </c>
      <c r="F111" s="255"/>
      <c r="G111" s="257"/>
      <c r="H111" s="239"/>
      <c r="I111" s="238"/>
      <c r="J111" s="177" t="s">
        <v>52</v>
      </c>
    </row>
    <row r="112" spans="1:10" ht="34.5" customHeight="1">
      <c r="A112" s="701" t="s">
        <v>326</v>
      </c>
      <c r="B112" s="23"/>
      <c r="C112" s="664" t="s">
        <v>1</v>
      </c>
      <c r="D112" s="21"/>
      <c r="E112" s="465">
        <v>5100</v>
      </c>
      <c r="F112" s="255"/>
      <c r="G112" s="257"/>
      <c r="H112" s="258" t="s">
        <v>241</v>
      </c>
      <c r="I112" s="251"/>
      <c r="J112" s="177" t="s">
        <v>13</v>
      </c>
    </row>
    <row r="113" spans="1:11" ht="34.5" customHeight="1">
      <c r="A113" s="704"/>
      <c r="B113" s="23"/>
      <c r="C113" s="24" t="s">
        <v>252</v>
      </c>
      <c r="D113" s="21"/>
      <c r="E113" s="465">
        <f>TRUNC(E111/K109*$K$92*1.5,0)</f>
        <v>59599</v>
      </c>
      <c r="F113" s="255"/>
      <c r="G113" s="257"/>
      <c r="H113" s="258" t="s">
        <v>241</v>
      </c>
      <c r="I113" s="251"/>
      <c r="J113" s="177" t="s">
        <v>14</v>
      </c>
      <c r="K113" s="152">
        <v>8</v>
      </c>
    </row>
    <row r="114" spans="1:10" ht="34.5" customHeight="1">
      <c r="A114" s="704"/>
      <c r="B114" s="23"/>
      <c r="C114" s="24" t="s">
        <v>53</v>
      </c>
      <c r="D114" s="21"/>
      <c r="E114" s="254">
        <f>TRUNC(E111/K109*8*15/12,0)</f>
        <v>49666</v>
      </c>
      <c r="F114" s="255"/>
      <c r="G114" s="257"/>
      <c r="H114" s="258" t="s">
        <v>240</v>
      </c>
      <c r="I114" s="251"/>
      <c r="J114" s="177" t="s">
        <v>15</v>
      </c>
    </row>
    <row r="115" spans="1:10" ht="34.5" customHeight="1">
      <c r="A115" s="704"/>
      <c r="B115" s="23"/>
      <c r="C115" s="24" t="s">
        <v>325</v>
      </c>
      <c r="D115" s="21"/>
      <c r="E115" s="254"/>
      <c r="F115" s="255"/>
      <c r="G115" s="257"/>
      <c r="H115" s="258"/>
      <c r="I115" s="251"/>
      <c r="J115" s="177" t="s">
        <v>16</v>
      </c>
    </row>
    <row r="116" spans="1:10" ht="34.5" customHeight="1">
      <c r="A116" s="702"/>
      <c r="B116" s="23"/>
      <c r="C116" s="24" t="s">
        <v>54</v>
      </c>
      <c r="D116" s="21"/>
      <c r="E116" s="254">
        <f>SUM(E112:E115)</f>
        <v>114365</v>
      </c>
      <c r="F116" s="255"/>
      <c r="G116" s="257"/>
      <c r="H116" s="258"/>
      <c r="I116" s="251"/>
      <c r="J116" s="177"/>
    </row>
    <row r="117" spans="1:10" ht="34.5" customHeight="1">
      <c r="A117" s="692" t="s">
        <v>55</v>
      </c>
      <c r="B117" s="690"/>
      <c r="C117" s="690"/>
      <c r="D117" s="691"/>
      <c r="E117" s="254">
        <f>TRUNC(E111*4/12,0)</f>
        <v>346010</v>
      </c>
      <c r="F117" s="255"/>
      <c r="G117" s="257"/>
      <c r="H117" s="259" t="s">
        <v>288</v>
      </c>
      <c r="I117" s="252"/>
      <c r="J117" s="177" t="s">
        <v>334</v>
      </c>
    </row>
    <row r="118" spans="1:10" ht="34.5" customHeight="1">
      <c r="A118" s="692" t="s">
        <v>56</v>
      </c>
      <c r="B118" s="690"/>
      <c r="C118" s="690"/>
      <c r="D118" s="691"/>
      <c r="E118" s="254">
        <f>TRUNC(SUM(E111,E116,E117)/12,0)</f>
        <v>124867</v>
      </c>
      <c r="F118" s="255"/>
      <c r="G118" s="257"/>
      <c r="H118" s="258" t="s">
        <v>57</v>
      </c>
      <c r="I118" s="251"/>
      <c r="J118" s="177" t="s">
        <v>335</v>
      </c>
    </row>
    <row r="119" spans="1:10" ht="45" customHeight="1">
      <c r="A119" s="692" t="s">
        <v>58</v>
      </c>
      <c r="B119" s="690"/>
      <c r="C119" s="690"/>
      <c r="D119" s="691"/>
      <c r="E119" s="254">
        <f>SUM(E111,E116,E117,E118)</f>
        <v>1623272</v>
      </c>
      <c r="F119" s="255"/>
      <c r="G119" s="257"/>
      <c r="H119" s="6"/>
      <c r="I119" s="13"/>
      <c r="J119" s="12"/>
    </row>
    <row r="120" spans="1:12" s="181" customFormat="1" ht="22.5" customHeight="1">
      <c r="A120" s="228" t="str">
        <f>"주 1) 기본급 : "&amp;월기본급!$A$1&amp;월기본급!$A$2&amp;" 참조"</f>
        <v>주 1) 기본급 : &lt; 표 : 8 &gt; M/M당기본급산출표 참조</v>
      </c>
      <c r="B120" s="228"/>
      <c r="C120" s="228"/>
      <c r="D120" s="228"/>
      <c r="E120" s="179"/>
      <c r="F120" s="179"/>
      <c r="G120" s="179"/>
      <c r="H120" s="179"/>
      <c r="I120" s="179"/>
      <c r="J120" s="179"/>
      <c r="L120" s="230"/>
    </row>
    <row r="121" spans="1:12" s="430" customFormat="1" ht="22.5" customHeight="1">
      <c r="A121" s="421" t="str">
        <f>"   2) 연장근로수당 : ["&amp;FIXED(E111,0)&amp;"(기본급)÷"&amp;K109&amp;"시간(월근로시간)×("&amp;$M$28&amp;"시간×4.34주)×1.25(할증)+"</f>
        <v>   2) 연장근로수당 : [1,038,030(기본급)÷209시간(월근로시간)×(0시간×4.34주)×1.25(할증)+</v>
      </c>
      <c r="B121" s="428"/>
      <c r="C121" s="428"/>
      <c r="D121" s="428"/>
      <c r="E121" s="429"/>
      <c r="F121" s="429"/>
      <c r="G121" s="429"/>
      <c r="H121" s="429"/>
      <c r="I121" s="429"/>
      <c r="J121" s="429"/>
      <c r="L121" s="431"/>
    </row>
    <row r="122" spans="1:12" s="430" customFormat="1" ht="22.5" customHeight="1">
      <c r="A122" s="421" t="str">
        <f>"                    "&amp;FIXED(E111,0)&amp;"(기본급)÷"&amp;K109&amp;"시간(월근로시간)×("&amp;(연장근로!$D$9)&amp;"시간×"&amp;(연장근로!$F$9)&amp;"주)×1.5(할증)]"</f>
        <v>                    1,038,030(기본급)÷209시간(월근로시간)×(0시간×4.34주)×1.5(할증)]</v>
      </c>
      <c r="B122" s="428"/>
      <c r="C122" s="428"/>
      <c r="D122" s="428"/>
      <c r="E122" s="429"/>
      <c r="F122" s="429"/>
      <c r="G122" s="429"/>
      <c r="H122" s="429"/>
      <c r="I122" s="429"/>
      <c r="J122" s="429"/>
      <c r="L122" s="431"/>
    </row>
    <row r="123" spans="1:12" s="430" customFormat="1" ht="22.5" customHeight="1">
      <c r="A123" s="427" t="s">
        <v>345</v>
      </c>
      <c r="B123" s="428"/>
      <c r="C123" s="428"/>
      <c r="D123" s="428"/>
      <c r="E123" s="429"/>
      <c r="F123" s="429"/>
      <c r="G123" s="429"/>
      <c r="H123" s="429"/>
      <c r="I123" s="429"/>
      <c r="J123" s="429"/>
      <c r="L123" s="431"/>
    </row>
    <row r="124" spans="1:12" s="181" customFormat="1" ht="22.5" customHeight="1">
      <c r="A124" s="421" t="str">
        <f>"   3) 휴일근로수당 : "&amp;FIXED(E111,0)&amp;"(기본급)÷"&amp;K109&amp;"(월근로시간)×"&amp;FIXED(K113,0)&amp;"시간(휴일근로시간)×1.5(할증)"</f>
        <v>   3) 휴일근로수당 : 1,038,030(기본급)÷209(월근로시간)×8시간(휴일근로시간)×1.5(할증)</v>
      </c>
      <c r="B124" s="228"/>
      <c r="C124" s="228"/>
      <c r="D124" s="228"/>
      <c r="E124" s="179"/>
      <c r="F124" s="179"/>
      <c r="G124" s="179"/>
      <c r="H124" s="179"/>
      <c r="I124" s="179"/>
      <c r="J124" s="179"/>
      <c r="L124" s="230"/>
    </row>
    <row r="125" spans="1:12" s="181" customFormat="1" ht="22.5" customHeight="1">
      <c r="A125" s="421" t="str">
        <f>"   4) 년차수당 : "&amp;FIXED(E111,0)&amp;"(기본급)÷"&amp;K109&amp;"(월근로시간)×8시간(일근로시간)×15일/년÷12개월"</f>
        <v>   4) 년차수당 : 1,038,030(기본급)÷209(월근로시간)×8시간(일근로시간)×15일/년÷12개월</v>
      </c>
      <c r="B125" s="178"/>
      <c r="C125" s="178"/>
      <c r="D125" s="178"/>
      <c r="E125" s="180"/>
      <c r="F125" s="180"/>
      <c r="G125" s="180"/>
      <c r="H125" s="180"/>
      <c r="I125" s="180"/>
      <c r="J125" s="171"/>
      <c r="L125" s="230"/>
    </row>
    <row r="126" spans="1:12" s="181" customFormat="1" ht="22.5" customHeight="1">
      <c r="A126" s="421" t="s">
        <v>336</v>
      </c>
      <c r="B126" s="178"/>
      <c r="C126" s="178"/>
      <c r="D126" s="178"/>
      <c r="E126" s="180"/>
      <c r="F126" s="180"/>
      <c r="G126" s="180"/>
      <c r="H126" s="180"/>
      <c r="I126" s="180"/>
      <c r="J126" s="171"/>
      <c r="L126" s="230"/>
    </row>
    <row r="127" spans="1:10" ht="22.5" customHeight="1">
      <c r="A127" s="421" t="str">
        <f>"   6) 상여금 : "&amp;FIXED(E111,0)&amp;"(기본급)×4개월(년 400%적용)÷12개월"</f>
        <v>   6) 상여금 : 1,038,030(기본급)×4개월(년 400%적용)÷12개월</v>
      </c>
      <c r="J127" s="34"/>
    </row>
    <row r="128" spans="1:10" ht="22.5" customHeight="1">
      <c r="A128" s="253" t="str">
        <f>"   7) 퇴직급여충당금 : {"&amp;FIXED(E111,0)&amp;"(기본급)+"&amp;FIXED(E116,0)&amp;"(제수당)+"&amp;FIXED(E117,0)&amp;"(상여금)}÷12개월"</f>
        <v>   7) 퇴직급여충당금 : {1,038,030(기본급)+114,365(제수당)+346,010(상여금)}÷12개월</v>
      </c>
      <c r="J128" s="34"/>
    </row>
    <row r="129" spans="1:10" ht="22.5" customHeight="1">
      <c r="A129" s="253"/>
      <c r="J129" s="34"/>
    </row>
    <row r="130" spans="1:12" ht="19.5" customHeight="1">
      <c r="A130" s="169" t="str">
        <f>"구 분 : "&amp;월기본급!B14&amp;"                       직종명 : "&amp;월기본급!F14&amp;""</f>
        <v>구 분 : 미화원                       직종명 : 보통인부</v>
      </c>
      <c r="B130" s="170"/>
      <c r="C130" s="170"/>
      <c r="D130" s="170"/>
      <c r="E130" s="180"/>
      <c r="F130" s="180"/>
      <c r="G130" s="180"/>
      <c r="J130" s="226" t="s">
        <v>39</v>
      </c>
      <c r="K130" s="152">
        <v>209</v>
      </c>
      <c r="L130" s="169" t="s">
        <v>47</v>
      </c>
    </row>
    <row r="131" spans="1:10" ht="49.5" customHeight="1">
      <c r="A131" s="692" t="s">
        <v>48</v>
      </c>
      <c r="B131" s="690"/>
      <c r="C131" s="690"/>
      <c r="D131" s="691"/>
      <c r="E131" s="712" t="s">
        <v>49</v>
      </c>
      <c r="F131" s="713"/>
      <c r="G131" s="243" t="s">
        <v>211</v>
      </c>
      <c r="H131" s="242"/>
      <c r="I131" s="243" t="s">
        <v>50</v>
      </c>
      <c r="J131" s="242"/>
    </row>
    <row r="132" spans="1:10" ht="34.5" customHeight="1">
      <c r="A132" s="692" t="s">
        <v>51</v>
      </c>
      <c r="B132" s="690"/>
      <c r="C132" s="690"/>
      <c r="D132" s="691"/>
      <c r="E132" s="254">
        <f>월기본급!J14</f>
        <v>1038030</v>
      </c>
      <c r="F132" s="255"/>
      <c r="G132" s="257"/>
      <c r="H132" s="239"/>
      <c r="I132" s="238"/>
      <c r="J132" s="177" t="s">
        <v>52</v>
      </c>
    </row>
    <row r="133" spans="1:10" ht="34.5" customHeight="1">
      <c r="A133" s="701" t="s">
        <v>326</v>
      </c>
      <c r="B133" s="23"/>
      <c r="C133" s="664" t="s">
        <v>1</v>
      </c>
      <c r="D133" s="21"/>
      <c r="E133" s="465">
        <v>5100</v>
      </c>
      <c r="F133" s="255"/>
      <c r="G133" s="257"/>
      <c r="H133" s="258" t="s">
        <v>241</v>
      </c>
      <c r="I133" s="251"/>
      <c r="J133" s="177" t="s">
        <v>13</v>
      </c>
    </row>
    <row r="134" spans="1:11" ht="34.5" customHeight="1">
      <c r="A134" s="704"/>
      <c r="B134" s="23"/>
      <c r="C134" s="24" t="s">
        <v>252</v>
      </c>
      <c r="D134" s="21"/>
      <c r="E134" s="465">
        <f>TRUNC(E132/K130*$K$92*1.5,0)</f>
        <v>59599</v>
      </c>
      <c r="F134" s="255"/>
      <c r="G134" s="257"/>
      <c r="H134" s="258" t="s">
        <v>241</v>
      </c>
      <c r="I134" s="251"/>
      <c r="J134" s="177" t="s">
        <v>14</v>
      </c>
      <c r="K134" s="152">
        <v>8</v>
      </c>
    </row>
    <row r="135" spans="1:10" ht="34.5" customHeight="1">
      <c r="A135" s="704"/>
      <c r="B135" s="23"/>
      <c r="C135" s="24" t="s">
        <v>53</v>
      </c>
      <c r="D135" s="21"/>
      <c r="E135" s="254">
        <f>TRUNC(E132/K130*8*15/12,0)</f>
        <v>49666</v>
      </c>
      <c r="F135" s="255"/>
      <c r="G135" s="257"/>
      <c r="H135" s="258" t="s">
        <v>240</v>
      </c>
      <c r="I135" s="251"/>
      <c r="J135" s="177" t="s">
        <v>15</v>
      </c>
    </row>
    <row r="136" spans="1:10" ht="34.5" customHeight="1">
      <c r="A136" s="704"/>
      <c r="B136" s="23"/>
      <c r="C136" s="24" t="s">
        <v>325</v>
      </c>
      <c r="D136" s="21"/>
      <c r="E136" s="254"/>
      <c r="F136" s="255"/>
      <c r="G136" s="257"/>
      <c r="H136" s="258"/>
      <c r="I136" s="251"/>
      <c r="J136" s="177" t="s">
        <v>16</v>
      </c>
    </row>
    <row r="137" spans="1:10" ht="34.5" customHeight="1">
      <c r="A137" s="702"/>
      <c r="B137" s="23"/>
      <c r="C137" s="24" t="s">
        <v>54</v>
      </c>
      <c r="D137" s="21"/>
      <c r="E137" s="254">
        <f>SUM(E133:E136)</f>
        <v>114365</v>
      </c>
      <c r="F137" s="255"/>
      <c r="G137" s="257"/>
      <c r="H137" s="258"/>
      <c r="I137" s="251"/>
      <c r="J137" s="177"/>
    </row>
    <row r="138" spans="1:10" ht="34.5" customHeight="1">
      <c r="A138" s="692" t="s">
        <v>55</v>
      </c>
      <c r="B138" s="690"/>
      <c r="C138" s="690"/>
      <c r="D138" s="691"/>
      <c r="E138" s="254">
        <f>TRUNC(E132*4/12,0)</f>
        <v>346010</v>
      </c>
      <c r="F138" s="255"/>
      <c r="G138" s="257"/>
      <c r="H138" s="259" t="s">
        <v>288</v>
      </c>
      <c r="I138" s="252"/>
      <c r="J138" s="177" t="s">
        <v>334</v>
      </c>
    </row>
    <row r="139" spans="1:10" ht="34.5" customHeight="1">
      <c r="A139" s="692" t="s">
        <v>56</v>
      </c>
      <c r="B139" s="690"/>
      <c r="C139" s="690"/>
      <c r="D139" s="691"/>
      <c r="E139" s="254">
        <f>TRUNC(SUM(E132,E137,E138)/12,0)</f>
        <v>124867</v>
      </c>
      <c r="F139" s="255"/>
      <c r="G139" s="257"/>
      <c r="H139" s="258" t="s">
        <v>57</v>
      </c>
      <c r="I139" s="251"/>
      <c r="J139" s="177" t="s">
        <v>335</v>
      </c>
    </row>
    <row r="140" spans="1:10" ht="45" customHeight="1">
      <c r="A140" s="692" t="s">
        <v>58</v>
      </c>
      <c r="B140" s="690"/>
      <c r="C140" s="690"/>
      <c r="D140" s="691"/>
      <c r="E140" s="254">
        <f>SUM(E132,E137,E138,E139)</f>
        <v>1623272</v>
      </c>
      <c r="F140" s="255"/>
      <c r="G140" s="257"/>
      <c r="H140" s="6"/>
      <c r="I140" s="13"/>
      <c r="J140" s="12"/>
    </row>
    <row r="141" spans="1:12" s="181" customFormat="1" ht="22.5" customHeight="1">
      <c r="A141" s="228" t="str">
        <f>"주 1) 기본급 : "&amp;월기본급!$A$1&amp;월기본급!$A$2&amp;" 참조"</f>
        <v>주 1) 기본급 : &lt; 표 : 8 &gt; M/M당기본급산출표 참조</v>
      </c>
      <c r="B141" s="228"/>
      <c r="C141" s="228"/>
      <c r="D141" s="228"/>
      <c r="E141" s="179"/>
      <c r="F141" s="179"/>
      <c r="G141" s="179"/>
      <c r="H141" s="179"/>
      <c r="I141" s="179"/>
      <c r="J141" s="179"/>
      <c r="L141" s="230"/>
    </row>
    <row r="142" spans="1:12" s="430" customFormat="1" ht="22.5" customHeight="1">
      <c r="A142" s="421" t="str">
        <f>"   2) 연장근로수당 : ["&amp;FIXED(E132,0)&amp;"(기본급)÷"&amp;K130&amp;"시간(월근로시간)×("&amp;$M$28&amp;"시간×4.34주)×1.25(할증)+"</f>
        <v>   2) 연장근로수당 : [1,038,030(기본급)÷209시간(월근로시간)×(0시간×4.34주)×1.25(할증)+</v>
      </c>
      <c r="B142" s="428"/>
      <c r="C142" s="428"/>
      <c r="D142" s="428"/>
      <c r="E142" s="429"/>
      <c r="F142" s="429"/>
      <c r="G142" s="429"/>
      <c r="H142" s="429"/>
      <c r="I142" s="429"/>
      <c r="J142" s="429"/>
      <c r="L142" s="431"/>
    </row>
    <row r="143" spans="1:12" s="430" customFormat="1" ht="22.5" customHeight="1">
      <c r="A143" s="421" t="str">
        <f>"                    "&amp;FIXED(E132,0)&amp;"(기본급)÷"&amp;K130&amp;"시간(월근로시간)×("&amp;(연장근로!$D$9)&amp;"시간×"&amp;(연장근로!$F$9)&amp;"주)×1.5(할증)]"</f>
        <v>                    1,038,030(기본급)÷209시간(월근로시간)×(0시간×4.34주)×1.5(할증)]</v>
      </c>
      <c r="B143" s="428"/>
      <c r="C143" s="428"/>
      <c r="D143" s="428"/>
      <c r="E143" s="429"/>
      <c r="F143" s="429"/>
      <c r="G143" s="429"/>
      <c r="H143" s="429"/>
      <c r="I143" s="429"/>
      <c r="J143" s="429"/>
      <c r="L143" s="431"/>
    </row>
    <row r="144" spans="1:12" s="430" customFormat="1" ht="22.5" customHeight="1">
      <c r="A144" s="427" t="s">
        <v>345</v>
      </c>
      <c r="B144" s="428"/>
      <c r="C144" s="428"/>
      <c r="D144" s="428"/>
      <c r="E144" s="429"/>
      <c r="F144" s="429"/>
      <c r="G144" s="429"/>
      <c r="H144" s="429"/>
      <c r="I144" s="429"/>
      <c r="J144" s="429"/>
      <c r="L144" s="431"/>
    </row>
    <row r="145" spans="1:12" s="181" customFormat="1" ht="22.5" customHeight="1">
      <c r="A145" s="421" t="str">
        <f>"   3) 휴일근로수당 : "&amp;FIXED(E132,0)&amp;"(기본급)÷"&amp;K130&amp;"(월근로시간)×"&amp;FIXED(K134,0)&amp;"시간(휴일근로시간)×1.5(할증)"</f>
        <v>   3) 휴일근로수당 : 1,038,030(기본급)÷209(월근로시간)×8시간(휴일근로시간)×1.5(할증)</v>
      </c>
      <c r="B145" s="228"/>
      <c r="C145" s="228"/>
      <c r="D145" s="228"/>
      <c r="E145" s="179"/>
      <c r="F145" s="179"/>
      <c r="G145" s="179"/>
      <c r="H145" s="179"/>
      <c r="I145" s="179"/>
      <c r="J145" s="179"/>
      <c r="L145" s="230"/>
    </row>
    <row r="146" spans="1:12" s="181" customFormat="1" ht="22.5" customHeight="1">
      <c r="A146" s="421" t="str">
        <f>"   4) 년차수당 : "&amp;FIXED(E132,0)&amp;"(기본급)÷"&amp;K130&amp;"(월근로시간)×8시간(일근로시간)×15일/년÷12개월"</f>
        <v>   4) 년차수당 : 1,038,030(기본급)÷209(월근로시간)×8시간(일근로시간)×15일/년÷12개월</v>
      </c>
      <c r="B146" s="178"/>
      <c r="C146" s="178"/>
      <c r="D146" s="178"/>
      <c r="E146" s="180"/>
      <c r="F146" s="180"/>
      <c r="G146" s="180"/>
      <c r="H146" s="180"/>
      <c r="I146" s="180"/>
      <c r="J146" s="171"/>
      <c r="L146" s="230"/>
    </row>
    <row r="147" spans="1:12" s="181" customFormat="1" ht="22.5" customHeight="1">
      <c r="A147" s="421" t="s">
        <v>336</v>
      </c>
      <c r="B147" s="178"/>
      <c r="C147" s="178"/>
      <c r="D147" s="178"/>
      <c r="E147" s="180"/>
      <c r="F147" s="180"/>
      <c r="G147" s="180"/>
      <c r="H147" s="180"/>
      <c r="I147" s="180"/>
      <c r="J147" s="171"/>
      <c r="L147" s="230"/>
    </row>
    <row r="148" spans="1:10" ht="22.5" customHeight="1">
      <c r="A148" s="421" t="str">
        <f>"   6) 상여금 : "&amp;FIXED(E132,0)&amp;"(기본급)×4개월(년 400%적용)÷12개월"</f>
        <v>   6) 상여금 : 1,038,030(기본급)×4개월(년 400%적용)÷12개월</v>
      </c>
      <c r="J148" s="34"/>
    </row>
    <row r="149" spans="1:10" ht="22.5" customHeight="1">
      <c r="A149" s="253" t="str">
        <f>"   7) 퇴직급여충당금 : {"&amp;FIXED(E132,0)&amp;"(기본급)+"&amp;FIXED(E137,0)&amp;"(제수당)+"&amp;FIXED(E138,0)&amp;"(상여금)}÷12개월"</f>
        <v>   7) 퇴직급여충당금 : {1,038,030(기본급)+114,365(제수당)+346,010(상여금)}÷12개월</v>
      </c>
      <c r="J149" s="34"/>
    </row>
    <row r="150" spans="1:10" ht="22.5" customHeight="1">
      <c r="A150" s="253"/>
      <c r="J150" s="34"/>
    </row>
    <row r="151" spans="1:12" ht="19.5" customHeight="1">
      <c r="A151" s="169" t="str">
        <f>"구 분 : "&amp;월기본급!B15&amp;"                       직종명 : "&amp;월기본급!F15&amp;""</f>
        <v>구 분 : 경비반장                       직종명 : 보통인부</v>
      </c>
      <c r="B151" s="170"/>
      <c r="C151" s="170"/>
      <c r="D151" s="170"/>
      <c r="E151" s="180"/>
      <c r="F151" s="180"/>
      <c r="G151" s="180"/>
      <c r="J151" s="226" t="s">
        <v>39</v>
      </c>
      <c r="K151" s="425">
        <v>209</v>
      </c>
      <c r="L151" s="169" t="s">
        <v>47</v>
      </c>
    </row>
    <row r="152" spans="1:10" ht="49.5" customHeight="1">
      <c r="A152" s="692" t="s">
        <v>48</v>
      </c>
      <c r="B152" s="690"/>
      <c r="C152" s="690"/>
      <c r="D152" s="691"/>
      <c r="E152" s="712" t="s">
        <v>49</v>
      </c>
      <c r="F152" s="713"/>
      <c r="G152" s="243" t="s">
        <v>211</v>
      </c>
      <c r="H152" s="242"/>
      <c r="I152" s="243" t="s">
        <v>50</v>
      </c>
      <c r="J152" s="242"/>
    </row>
    <row r="153" spans="1:10" ht="34.5" customHeight="1">
      <c r="A153" s="692" t="s">
        <v>51</v>
      </c>
      <c r="B153" s="690"/>
      <c r="C153" s="690"/>
      <c r="D153" s="691"/>
      <c r="E153" s="254">
        <f>월기본급!J15</f>
        <v>1038030</v>
      </c>
      <c r="F153" s="255"/>
      <c r="G153" s="257"/>
      <c r="H153" s="239"/>
      <c r="I153" s="238"/>
      <c r="J153" s="177" t="s">
        <v>52</v>
      </c>
    </row>
    <row r="154" spans="1:11" ht="34.5" customHeight="1">
      <c r="A154" s="701" t="s">
        <v>326</v>
      </c>
      <c r="B154" s="23"/>
      <c r="C154" s="664" t="s">
        <v>1</v>
      </c>
      <c r="D154" s="21"/>
      <c r="E154" s="465">
        <v>5100</v>
      </c>
      <c r="F154" s="255"/>
      <c r="G154" s="257"/>
      <c r="H154" s="258" t="s">
        <v>241</v>
      </c>
      <c r="I154" s="251"/>
      <c r="J154" s="177" t="s">
        <v>13</v>
      </c>
      <c r="K154" s="503"/>
    </row>
    <row r="155" spans="1:11" ht="34.5" customHeight="1">
      <c r="A155" s="704"/>
      <c r="B155" s="23"/>
      <c r="C155" s="24" t="s">
        <v>252</v>
      </c>
      <c r="D155" s="21"/>
      <c r="E155" s="465">
        <f>TRUNC(E153/K151*$K$92*1.5,0)</f>
        <v>59599</v>
      </c>
      <c r="F155" s="255"/>
      <c r="G155" s="257"/>
      <c r="H155" s="258" t="s">
        <v>241</v>
      </c>
      <c r="I155" s="251"/>
      <c r="J155" s="177" t="s">
        <v>14</v>
      </c>
      <c r="K155" s="503">
        <v>8</v>
      </c>
    </row>
    <row r="156" spans="1:10" ht="34.5" customHeight="1">
      <c r="A156" s="704"/>
      <c r="B156" s="23"/>
      <c r="C156" s="24" t="s">
        <v>53</v>
      </c>
      <c r="D156" s="21"/>
      <c r="E156" s="254">
        <f>TRUNC(E153/K151*8*15/12,0)</f>
        <v>49666</v>
      </c>
      <c r="F156" s="255"/>
      <c r="G156" s="257"/>
      <c r="H156" s="258" t="s">
        <v>240</v>
      </c>
      <c r="I156" s="251"/>
      <c r="J156" s="177" t="s">
        <v>15</v>
      </c>
    </row>
    <row r="157" spans="1:10" ht="34.5" customHeight="1">
      <c r="A157" s="704"/>
      <c r="B157" s="23"/>
      <c r="C157" s="24" t="s">
        <v>325</v>
      </c>
      <c r="D157" s="21"/>
      <c r="E157" s="254"/>
      <c r="F157" s="255"/>
      <c r="G157" s="257"/>
      <c r="H157" s="258"/>
      <c r="I157" s="251"/>
      <c r="J157" s="177" t="s">
        <v>16</v>
      </c>
    </row>
    <row r="158" spans="1:10" ht="34.5" customHeight="1">
      <c r="A158" s="702"/>
      <c r="B158" s="23"/>
      <c r="C158" s="24" t="s">
        <v>54</v>
      </c>
      <c r="D158" s="21"/>
      <c r="E158" s="254">
        <f>SUM(E154:E157)</f>
        <v>114365</v>
      </c>
      <c r="F158" s="255"/>
      <c r="G158" s="257"/>
      <c r="H158" s="258"/>
      <c r="I158" s="251"/>
      <c r="J158" s="177"/>
    </row>
    <row r="159" spans="1:10" ht="34.5" customHeight="1">
      <c r="A159" s="692" t="s">
        <v>55</v>
      </c>
      <c r="B159" s="690"/>
      <c r="C159" s="690"/>
      <c r="D159" s="691"/>
      <c r="E159" s="254">
        <f>TRUNC(E153*4/12,0)</f>
        <v>346010</v>
      </c>
      <c r="F159" s="255"/>
      <c r="G159" s="257"/>
      <c r="H159" s="259" t="s">
        <v>288</v>
      </c>
      <c r="I159" s="252"/>
      <c r="J159" s="177" t="s">
        <v>334</v>
      </c>
    </row>
    <row r="160" spans="1:10" ht="34.5" customHeight="1">
      <c r="A160" s="692" t="s">
        <v>56</v>
      </c>
      <c r="B160" s="690"/>
      <c r="C160" s="690"/>
      <c r="D160" s="691"/>
      <c r="E160" s="254">
        <f>TRUNC(SUM(E153,E158,E159)/12,0)</f>
        <v>124867</v>
      </c>
      <c r="F160" s="255"/>
      <c r="G160" s="257"/>
      <c r="H160" s="258" t="s">
        <v>57</v>
      </c>
      <c r="I160" s="251"/>
      <c r="J160" s="177" t="s">
        <v>335</v>
      </c>
    </row>
    <row r="161" spans="1:10" ht="45" customHeight="1">
      <c r="A161" s="692" t="s">
        <v>58</v>
      </c>
      <c r="B161" s="690"/>
      <c r="C161" s="690"/>
      <c r="D161" s="691"/>
      <c r="E161" s="254">
        <f>SUM(E153,E158,E159,E160)</f>
        <v>1623272</v>
      </c>
      <c r="F161" s="255"/>
      <c r="G161" s="257"/>
      <c r="H161" s="6"/>
      <c r="I161" s="13"/>
      <c r="J161" s="12"/>
    </row>
    <row r="162" spans="1:12" s="181" customFormat="1" ht="22.5" customHeight="1">
      <c r="A162" s="228" t="str">
        <f>"주 1) 기본급 : "&amp;월기본급!$A$1&amp;월기본급!$A$2&amp;" 참조"</f>
        <v>주 1) 기본급 : &lt; 표 : 8 &gt; M/M당기본급산출표 참조</v>
      </c>
      <c r="B162" s="228"/>
      <c r="C162" s="228"/>
      <c r="D162" s="228"/>
      <c r="E162" s="179"/>
      <c r="F162" s="179"/>
      <c r="G162" s="179"/>
      <c r="H162" s="179"/>
      <c r="I162" s="179"/>
      <c r="J162" s="179"/>
      <c r="L162" s="230"/>
    </row>
    <row r="163" spans="1:12" s="430" customFormat="1" ht="22.5" customHeight="1">
      <c r="A163" s="421" t="str">
        <f>"   2) 연장근로수당 : ["&amp;FIXED(E153,0)&amp;"(기본급)÷"&amp;K151&amp;"시간(월근로시간)×("&amp;$M$28&amp;"시간×4.34주)×1.25(할증)+"</f>
        <v>   2) 연장근로수당 : [1,038,030(기본급)÷209시간(월근로시간)×(0시간×4.34주)×1.25(할증)+</v>
      </c>
      <c r="B163" s="428"/>
      <c r="C163" s="428"/>
      <c r="D163" s="428"/>
      <c r="E163" s="429"/>
      <c r="F163" s="429"/>
      <c r="G163" s="429"/>
      <c r="H163" s="429"/>
      <c r="I163" s="429"/>
      <c r="J163" s="429"/>
      <c r="L163" s="431"/>
    </row>
    <row r="164" spans="1:12" s="430" customFormat="1" ht="22.5" customHeight="1">
      <c r="A164" s="421" t="str">
        <f>"                    "&amp;FIXED(E153,0)&amp;"(기본급)÷"&amp;K151&amp;"시간(월근로시간)×("&amp;(연장근로!$D$9)&amp;"시간×"&amp;(연장근로!$F$9)&amp;"주)×1.5(할증)]"</f>
        <v>                    1,038,030(기본급)÷209시간(월근로시간)×(0시간×4.34주)×1.5(할증)]</v>
      </c>
      <c r="B164" s="428"/>
      <c r="C164" s="428"/>
      <c r="D164" s="428"/>
      <c r="E164" s="429"/>
      <c r="F164" s="429"/>
      <c r="G164" s="429"/>
      <c r="H164" s="429"/>
      <c r="I164" s="429"/>
      <c r="J164" s="429"/>
      <c r="L164" s="431"/>
    </row>
    <row r="165" spans="1:12" s="430" customFormat="1" ht="22.5" customHeight="1">
      <c r="A165" s="427" t="s">
        <v>372</v>
      </c>
      <c r="B165" s="428"/>
      <c r="C165" s="428"/>
      <c r="D165" s="428"/>
      <c r="E165" s="429"/>
      <c r="F165" s="429"/>
      <c r="G165" s="429"/>
      <c r="H165" s="429"/>
      <c r="I165" s="429"/>
      <c r="J165" s="429"/>
      <c r="L165" s="431"/>
    </row>
    <row r="166" spans="1:12" s="181" customFormat="1" ht="22.5" customHeight="1">
      <c r="A166" s="421" t="str">
        <f>"   3) 휴일근로수당 : "&amp;FIXED(E153,0)&amp;"(기본급)÷"&amp;K151&amp;"(월근로시간)×"&amp;K155&amp;"시간(휴일근로시간)×1.5(할증)"</f>
        <v>   3) 휴일근로수당 : 1,038,030(기본급)÷209(월근로시간)×8시간(휴일근로시간)×1.5(할증)</v>
      </c>
      <c r="B166" s="228"/>
      <c r="C166" s="228"/>
      <c r="D166" s="228"/>
      <c r="E166" s="179"/>
      <c r="F166" s="179"/>
      <c r="G166" s="179"/>
      <c r="H166" s="179"/>
      <c r="I166" s="179"/>
      <c r="J166" s="179"/>
      <c r="L166" s="230"/>
    </row>
    <row r="167" spans="1:12" s="181" customFormat="1" ht="22.5" customHeight="1">
      <c r="A167" s="421" t="str">
        <f>"   4) 년차수당 : "&amp;FIXED(E153,0)&amp;"(기본급)÷"&amp;K151&amp;"(월근로시간)×8시간(일근로시간)×15일/년÷12개월"</f>
        <v>   4) 년차수당 : 1,038,030(기본급)÷209(월근로시간)×8시간(일근로시간)×15일/년÷12개월</v>
      </c>
      <c r="B167" s="178"/>
      <c r="C167" s="178"/>
      <c r="D167" s="178"/>
      <c r="E167" s="180"/>
      <c r="F167" s="180"/>
      <c r="G167" s="180"/>
      <c r="H167" s="180"/>
      <c r="I167" s="180"/>
      <c r="J167" s="171"/>
      <c r="L167" s="230"/>
    </row>
    <row r="168" spans="1:12" s="181" customFormat="1" ht="22.5" customHeight="1">
      <c r="A168" s="421" t="s">
        <v>336</v>
      </c>
      <c r="B168" s="178"/>
      <c r="C168" s="178"/>
      <c r="D168" s="178"/>
      <c r="E168" s="180"/>
      <c r="F168" s="180"/>
      <c r="G168" s="180"/>
      <c r="H168" s="180"/>
      <c r="I168" s="180"/>
      <c r="J168" s="171"/>
      <c r="L168" s="230"/>
    </row>
    <row r="169" spans="1:10" ht="22.5" customHeight="1">
      <c r="A169" s="421" t="str">
        <f>"   6) 상여금 : "&amp;FIXED(E153,0)&amp;"(기본급)×4개월(년 400%적용)÷12개월"</f>
        <v>   6) 상여금 : 1,038,030(기본급)×4개월(년 400%적용)÷12개월</v>
      </c>
      <c r="J169" s="34"/>
    </row>
    <row r="170" spans="1:10" ht="22.5" customHeight="1">
      <c r="A170" s="253" t="str">
        <f>"   7) 퇴직급여충당금 : {"&amp;FIXED(E153,0)&amp;"(기본급)+"&amp;FIXED(E158,0)&amp;"(제수당)+"&amp;FIXED(E159,0)&amp;"(상여금)}÷12개월"</f>
        <v>   7) 퇴직급여충당금 : {1,038,030(기본급)+114,365(제수당)+346,010(상여금)}÷12개월</v>
      </c>
      <c r="J170" s="34"/>
    </row>
    <row r="171" spans="1:10" ht="22.5" customHeight="1">
      <c r="A171" s="253"/>
      <c r="J171" s="34"/>
    </row>
    <row r="172" spans="1:12" ht="19.5" customHeight="1">
      <c r="A172" s="169" t="str">
        <f>"구 분 : "&amp;월기본급!B16&amp;"                       직종명 : "&amp;월기본급!F16&amp;""</f>
        <v>구 분 : 경비원                       직종명 : 보통인부</v>
      </c>
      <c r="B172" s="170"/>
      <c r="C172" s="170"/>
      <c r="D172" s="170"/>
      <c r="E172" s="180"/>
      <c r="F172" s="180"/>
      <c r="G172" s="180"/>
      <c r="J172" s="226" t="s">
        <v>39</v>
      </c>
      <c r="K172" s="425">
        <v>209</v>
      </c>
      <c r="L172" s="169" t="s">
        <v>47</v>
      </c>
    </row>
    <row r="173" spans="1:10" ht="49.5" customHeight="1">
      <c r="A173" s="692" t="s">
        <v>48</v>
      </c>
      <c r="B173" s="690"/>
      <c r="C173" s="690"/>
      <c r="D173" s="691"/>
      <c r="E173" s="712" t="s">
        <v>49</v>
      </c>
      <c r="F173" s="713"/>
      <c r="G173" s="243" t="s">
        <v>211</v>
      </c>
      <c r="H173" s="242"/>
      <c r="I173" s="243" t="s">
        <v>50</v>
      </c>
      <c r="J173" s="242"/>
    </row>
    <row r="174" spans="1:10" ht="34.5" customHeight="1">
      <c r="A174" s="692" t="s">
        <v>51</v>
      </c>
      <c r="B174" s="690"/>
      <c r="C174" s="690"/>
      <c r="D174" s="691"/>
      <c r="E174" s="254">
        <f>월기본급!J16</f>
        <v>1038030</v>
      </c>
      <c r="F174" s="255"/>
      <c r="G174" s="257"/>
      <c r="H174" s="239"/>
      <c r="I174" s="238"/>
      <c r="J174" s="177" t="s">
        <v>52</v>
      </c>
    </row>
    <row r="175" spans="1:11" ht="34.5" customHeight="1">
      <c r="A175" s="701" t="s">
        <v>326</v>
      </c>
      <c r="B175" s="23"/>
      <c r="C175" s="592" t="s">
        <v>1</v>
      </c>
      <c r="D175" s="21"/>
      <c r="E175" s="465">
        <v>5100</v>
      </c>
      <c r="F175" s="255"/>
      <c r="G175" s="257"/>
      <c r="H175" s="258" t="s">
        <v>241</v>
      </c>
      <c r="I175" s="251"/>
      <c r="J175" s="177" t="s">
        <v>13</v>
      </c>
      <c r="K175" s="503"/>
    </row>
    <row r="176" spans="1:11" ht="34.5" customHeight="1">
      <c r="A176" s="704"/>
      <c r="B176" s="23"/>
      <c r="C176" s="24" t="s">
        <v>252</v>
      </c>
      <c r="D176" s="21"/>
      <c r="E176" s="465">
        <f>TRUNC(E174/K172*$K$92*1.5,0)</f>
        <v>59599</v>
      </c>
      <c r="F176" s="255"/>
      <c r="G176" s="257"/>
      <c r="H176" s="258" t="s">
        <v>241</v>
      </c>
      <c r="I176" s="251"/>
      <c r="J176" s="177" t="s">
        <v>14</v>
      </c>
      <c r="K176" s="503">
        <v>8</v>
      </c>
    </row>
    <row r="177" spans="1:10" ht="34.5" customHeight="1">
      <c r="A177" s="704"/>
      <c r="B177" s="23"/>
      <c r="C177" s="24" t="s">
        <v>53</v>
      </c>
      <c r="D177" s="21"/>
      <c r="E177" s="254">
        <f>TRUNC(E174/K172*8*15/12,0)</f>
        <v>49666</v>
      </c>
      <c r="F177" s="255"/>
      <c r="G177" s="257"/>
      <c r="H177" s="258" t="s">
        <v>240</v>
      </c>
      <c r="I177" s="251"/>
      <c r="J177" s="177" t="s">
        <v>15</v>
      </c>
    </row>
    <row r="178" spans="1:10" ht="34.5" customHeight="1">
      <c r="A178" s="704"/>
      <c r="B178" s="23"/>
      <c r="C178" s="24" t="s">
        <v>325</v>
      </c>
      <c r="D178" s="21"/>
      <c r="E178" s="254"/>
      <c r="F178" s="255"/>
      <c r="G178" s="257"/>
      <c r="H178" s="258"/>
      <c r="I178" s="251"/>
      <c r="J178" s="177" t="s">
        <v>16</v>
      </c>
    </row>
    <row r="179" spans="1:10" ht="34.5" customHeight="1">
      <c r="A179" s="702"/>
      <c r="B179" s="23"/>
      <c r="C179" s="24" t="s">
        <v>54</v>
      </c>
      <c r="D179" s="21"/>
      <c r="E179" s="254">
        <f>SUM(E175:E178)</f>
        <v>114365</v>
      </c>
      <c r="F179" s="255"/>
      <c r="G179" s="257"/>
      <c r="H179" s="258"/>
      <c r="I179" s="251"/>
      <c r="J179" s="177"/>
    </row>
    <row r="180" spans="1:10" ht="34.5" customHeight="1">
      <c r="A180" s="692" t="s">
        <v>55</v>
      </c>
      <c r="B180" s="690"/>
      <c r="C180" s="690"/>
      <c r="D180" s="691"/>
      <c r="E180" s="254">
        <f>TRUNC(E174*4/12,0)</f>
        <v>346010</v>
      </c>
      <c r="F180" s="255"/>
      <c r="G180" s="257"/>
      <c r="H180" s="259" t="s">
        <v>288</v>
      </c>
      <c r="I180" s="252"/>
      <c r="J180" s="177" t="s">
        <v>334</v>
      </c>
    </row>
    <row r="181" spans="1:10" ht="34.5" customHeight="1">
      <c r="A181" s="692" t="s">
        <v>56</v>
      </c>
      <c r="B181" s="690"/>
      <c r="C181" s="690"/>
      <c r="D181" s="691"/>
      <c r="E181" s="254">
        <f>TRUNC(SUM(E174,E179,E180)/12,0)</f>
        <v>124867</v>
      </c>
      <c r="F181" s="255"/>
      <c r="G181" s="257"/>
      <c r="H181" s="258" t="s">
        <v>57</v>
      </c>
      <c r="I181" s="251"/>
      <c r="J181" s="177" t="s">
        <v>335</v>
      </c>
    </row>
    <row r="182" spans="1:10" ht="45" customHeight="1">
      <c r="A182" s="692" t="s">
        <v>58</v>
      </c>
      <c r="B182" s="690"/>
      <c r="C182" s="690"/>
      <c r="D182" s="691"/>
      <c r="E182" s="254">
        <f>SUM(E174,E179,E180,E181)</f>
        <v>1623272</v>
      </c>
      <c r="F182" s="255"/>
      <c r="G182" s="257"/>
      <c r="H182" s="6"/>
      <c r="I182" s="13"/>
      <c r="J182" s="12"/>
    </row>
    <row r="183" spans="1:12" s="181" customFormat="1" ht="22.5" customHeight="1">
      <c r="A183" s="228" t="str">
        <f>"주 1) 기본급 : "&amp;월기본급!$A$1&amp;월기본급!$A$2&amp;" 참조"</f>
        <v>주 1) 기본급 : &lt; 표 : 8 &gt; M/M당기본급산출표 참조</v>
      </c>
      <c r="B183" s="228"/>
      <c r="C183" s="228"/>
      <c r="D183" s="228"/>
      <c r="E183" s="179"/>
      <c r="F183" s="179"/>
      <c r="G183" s="179"/>
      <c r="H183" s="179"/>
      <c r="I183" s="179"/>
      <c r="J183" s="179"/>
      <c r="L183" s="230"/>
    </row>
    <row r="184" spans="1:12" s="430" customFormat="1" ht="22.5" customHeight="1">
      <c r="A184" s="421" t="str">
        <f>"   2) 연장근로수당 : ["&amp;FIXED(E174,0)&amp;"(기본급)÷"&amp;K172&amp;"시간(월근로시간)×("&amp;$M$29&amp;"시간×4.34주)×1.25(할증)+"</f>
        <v>   2) 연장근로수당 : [1,038,030(기본급)÷209시간(월근로시간)×(0.2시간×4.34주)×1.25(할증)+</v>
      </c>
      <c r="B184" s="428"/>
      <c r="C184" s="428"/>
      <c r="D184" s="428"/>
      <c r="E184" s="429"/>
      <c r="F184" s="429"/>
      <c r="G184" s="429"/>
      <c r="H184" s="429"/>
      <c r="I184" s="429"/>
      <c r="J184" s="429"/>
      <c r="L184" s="431"/>
    </row>
    <row r="185" spans="1:12" s="430" customFormat="1" ht="22.5" customHeight="1">
      <c r="A185" s="421" t="str">
        <f>"                    "&amp;FIXED(E174,0)&amp;"(기본급)÷"&amp;K172&amp;"시간(월근로시간)×("&amp;(연장근로!$D$9)&amp;"시간×"&amp;(연장근로!$F$9)&amp;"주)×1.5(할증)]"</f>
        <v>                    1,038,030(기본급)÷209시간(월근로시간)×(0시간×4.34주)×1.5(할증)]</v>
      </c>
      <c r="B185" s="428"/>
      <c r="C185" s="428"/>
      <c r="D185" s="428"/>
      <c r="E185" s="429"/>
      <c r="F185" s="429"/>
      <c r="G185" s="429"/>
      <c r="H185" s="429"/>
      <c r="I185" s="429"/>
      <c r="J185" s="429"/>
      <c r="L185" s="431"/>
    </row>
    <row r="186" spans="1:12" s="430" customFormat="1" ht="22.5" customHeight="1">
      <c r="A186" s="427" t="s">
        <v>372</v>
      </c>
      <c r="B186" s="428"/>
      <c r="C186" s="428"/>
      <c r="D186" s="428"/>
      <c r="E186" s="429"/>
      <c r="F186" s="429"/>
      <c r="G186" s="429"/>
      <c r="H186" s="429"/>
      <c r="I186" s="429"/>
      <c r="J186" s="429"/>
      <c r="L186" s="431"/>
    </row>
    <row r="187" spans="1:12" s="181" customFormat="1" ht="22.5" customHeight="1">
      <c r="A187" s="421" t="str">
        <f>"   3) 휴일근로수당 : "&amp;FIXED(E174,0)&amp;"(기본급)÷"&amp;K172&amp;"(월근로시간)×"&amp;K176&amp;"시간(휴일근로시간)×1.5(할증)"</f>
        <v>   3) 휴일근로수당 : 1,038,030(기본급)÷209(월근로시간)×8시간(휴일근로시간)×1.5(할증)</v>
      </c>
      <c r="B187" s="228"/>
      <c r="C187" s="228"/>
      <c r="D187" s="228"/>
      <c r="E187" s="179"/>
      <c r="F187" s="179"/>
      <c r="G187" s="179"/>
      <c r="H187" s="179"/>
      <c r="I187" s="179"/>
      <c r="J187" s="179"/>
      <c r="L187" s="230"/>
    </row>
    <row r="188" spans="1:12" s="181" customFormat="1" ht="22.5" customHeight="1">
      <c r="A188" s="421" t="str">
        <f>"   4) 년차수당 : "&amp;FIXED(E174,0)&amp;"(기본급)÷"&amp;K172&amp;"(월근로시간)×8시간(일근로시간)×15일/년÷12개월"</f>
        <v>   4) 년차수당 : 1,038,030(기본급)÷209(월근로시간)×8시간(일근로시간)×15일/년÷12개월</v>
      </c>
      <c r="B188" s="178"/>
      <c r="C188" s="178"/>
      <c r="D188" s="178"/>
      <c r="E188" s="180"/>
      <c r="F188" s="180"/>
      <c r="G188" s="180"/>
      <c r="H188" s="180"/>
      <c r="I188" s="180"/>
      <c r="J188" s="171"/>
      <c r="L188" s="230"/>
    </row>
    <row r="189" spans="1:12" s="181" customFormat="1" ht="22.5" customHeight="1">
      <c r="A189" s="421" t="s">
        <v>336</v>
      </c>
      <c r="B189" s="178"/>
      <c r="C189" s="178"/>
      <c r="D189" s="178"/>
      <c r="E189" s="180"/>
      <c r="F189" s="180"/>
      <c r="G189" s="180"/>
      <c r="H189" s="180"/>
      <c r="I189" s="180"/>
      <c r="J189" s="171"/>
      <c r="L189" s="230"/>
    </row>
    <row r="190" spans="1:10" ht="22.5" customHeight="1">
      <c r="A190" s="421" t="str">
        <f>"   6) 상여금 : "&amp;FIXED(E174,0)&amp;"(기본급)×4개월(년 400%적용)÷12개월"</f>
        <v>   6) 상여금 : 1,038,030(기본급)×4개월(년 400%적용)÷12개월</v>
      </c>
      <c r="J190" s="34"/>
    </row>
    <row r="191" spans="1:10" ht="22.5" customHeight="1">
      <c r="A191" s="253" t="str">
        <f>"   7) 퇴직급여충당금 : {"&amp;FIXED(E174,0)&amp;"(기본급)+"&amp;FIXED(E179,0)&amp;"(제수당)+"&amp;FIXED(E180,0)&amp;"(상여금)}÷12개월"</f>
        <v>   7) 퇴직급여충당금 : {1,038,030(기본급)+114,365(제수당)+346,010(상여금)}÷12개월</v>
      </c>
      <c r="J191" s="34"/>
    </row>
    <row r="192" spans="1:10" ht="22.5" customHeight="1">
      <c r="A192" s="253"/>
      <c r="J192" s="34"/>
    </row>
    <row r="193" spans="1:12" ht="19.5" customHeight="1">
      <c r="A193" s="169" t="str">
        <f>"구 분 : "&amp;월기본급!B17&amp;"                       직종명 : "&amp;월기본급!F17&amp;""</f>
        <v>구 분 : 주차관리                       직종명 : 보통인부</v>
      </c>
      <c r="B193" s="170"/>
      <c r="C193" s="170"/>
      <c r="D193" s="170"/>
      <c r="E193" s="180"/>
      <c r="F193" s="180"/>
      <c r="G193" s="180"/>
      <c r="J193" s="226" t="s">
        <v>39</v>
      </c>
      <c r="K193" s="152">
        <v>209</v>
      </c>
      <c r="L193" s="169" t="s">
        <v>47</v>
      </c>
    </row>
    <row r="194" spans="1:10" ht="49.5" customHeight="1">
      <c r="A194" s="692" t="s">
        <v>48</v>
      </c>
      <c r="B194" s="690"/>
      <c r="C194" s="690"/>
      <c r="D194" s="691"/>
      <c r="E194" s="712" t="s">
        <v>49</v>
      </c>
      <c r="F194" s="713"/>
      <c r="G194" s="243" t="s">
        <v>211</v>
      </c>
      <c r="H194" s="242"/>
      <c r="I194" s="243" t="s">
        <v>50</v>
      </c>
      <c r="J194" s="242"/>
    </row>
    <row r="195" spans="1:10" ht="34.5" customHeight="1">
      <c r="A195" s="692" t="s">
        <v>51</v>
      </c>
      <c r="B195" s="690"/>
      <c r="C195" s="690"/>
      <c r="D195" s="691"/>
      <c r="E195" s="254">
        <f>월기본급!J17</f>
        <v>1038030</v>
      </c>
      <c r="F195" s="255"/>
      <c r="G195" s="257"/>
      <c r="H195" s="239"/>
      <c r="I195" s="238"/>
      <c r="J195" s="177" t="s">
        <v>52</v>
      </c>
    </row>
    <row r="196" spans="1:10" ht="34.5" customHeight="1">
      <c r="A196" s="701" t="s">
        <v>326</v>
      </c>
      <c r="B196" s="23"/>
      <c r="C196" s="664" t="s">
        <v>1</v>
      </c>
      <c r="D196" s="21"/>
      <c r="E196" s="465">
        <v>5100</v>
      </c>
      <c r="F196" s="255"/>
      <c r="G196" s="257"/>
      <c r="H196" s="258" t="s">
        <v>241</v>
      </c>
      <c r="I196" s="251"/>
      <c r="J196" s="177" t="s">
        <v>13</v>
      </c>
    </row>
    <row r="197" spans="1:11" ht="34.5" customHeight="1">
      <c r="A197" s="704"/>
      <c r="B197" s="23"/>
      <c r="C197" s="24" t="s">
        <v>252</v>
      </c>
      <c r="D197" s="21"/>
      <c r="E197" s="465">
        <f>TRUNC(E195/K193*$K$92*1.5,0)</f>
        <v>59599</v>
      </c>
      <c r="F197" s="255"/>
      <c r="G197" s="257"/>
      <c r="H197" s="258" t="s">
        <v>241</v>
      </c>
      <c r="I197" s="251"/>
      <c r="J197" s="177" t="s">
        <v>14</v>
      </c>
      <c r="K197" s="152">
        <v>8</v>
      </c>
    </row>
    <row r="198" spans="1:10" ht="34.5" customHeight="1">
      <c r="A198" s="704"/>
      <c r="B198" s="23"/>
      <c r="C198" s="24" t="s">
        <v>53</v>
      </c>
      <c r="D198" s="21"/>
      <c r="E198" s="254">
        <f>TRUNC(E195/K193*8*15/12,0)</f>
        <v>49666</v>
      </c>
      <c r="F198" s="255"/>
      <c r="G198" s="257"/>
      <c r="H198" s="258" t="s">
        <v>240</v>
      </c>
      <c r="I198" s="251"/>
      <c r="J198" s="177" t="s">
        <v>15</v>
      </c>
    </row>
    <row r="199" spans="1:10" ht="34.5" customHeight="1">
      <c r="A199" s="704"/>
      <c r="B199" s="23"/>
      <c r="C199" s="24" t="s">
        <v>325</v>
      </c>
      <c r="D199" s="21"/>
      <c r="E199" s="254"/>
      <c r="F199" s="255"/>
      <c r="G199" s="257"/>
      <c r="H199" s="258"/>
      <c r="I199" s="251"/>
      <c r="J199" s="177" t="s">
        <v>16</v>
      </c>
    </row>
    <row r="200" spans="1:10" ht="34.5" customHeight="1">
      <c r="A200" s="702"/>
      <c r="B200" s="23"/>
      <c r="C200" s="24" t="s">
        <v>54</v>
      </c>
      <c r="D200" s="21"/>
      <c r="E200" s="254">
        <f>SUM(E196:E199)</f>
        <v>114365</v>
      </c>
      <c r="F200" s="255"/>
      <c r="G200" s="257"/>
      <c r="H200" s="258"/>
      <c r="I200" s="251"/>
      <c r="J200" s="177"/>
    </row>
    <row r="201" spans="1:10" ht="34.5" customHeight="1">
      <c r="A201" s="692" t="s">
        <v>55</v>
      </c>
      <c r="B201" s="690"/>
      <c r="C201" s="690"/>
      <c r="D201" s="691"/>
      <c r="E201" s="254">
        <f>TRUNC(E195*4/12,0)</f>
        <v>346010</v>
      </c>
      <c r="F201" s="255"/>
      <c r="G201" s="257"/>
      <c r="H201" s="259" t="s">
        <v>288</v>
      </c>
      <c r="I201" s="252"/>
      <c r="J201" s="177" t="s">
        <v>334</v>
      </c>
    </row>
    <row r="202" spans="1:10" ht="34.5" customHeight="1">
      <c r="A202" s="692" t="s">
        <v>56</v>
      </c>
      <c r="B202" s="690"/>
      <c r="C202" s="690"/>
      <c r="D202" s="691"/>
      <c r="E202" s="254">
        <f>TRUNC(SUM(E195,E200,E201)/12,0)</f>
        <v>124867</v>
      </c>
      <c r="F202" s="255"/>
      <c r="G202" s="257"/>
      <c r="H202" s="258" t="s">
        <v>57</v>
      </c>
      <c r="I202" s="251"/>
      <c r="J202" s="177" t="s">
        <v>335</v>
      </c>
    </row>
    <row r="203" spans="1:10" ht="45" customHeight="1">
      <c r="A203" s="692" t="s">
        <v>58</v>
      </c>
      <c r="B203" s="690"/>
      <c r="C203" s="690"/>
      <c r="D203" s="691"/>
      <c r="E203" s="254">
        <f>SUM(E195,E200,E201,E202)</f>
        <v>1623272</v>
      </c>
      <c r="F203" s="255"/>
      <c r="G203" s="257"/>
      <c r="H203" s="6"/>
      <c r="I203" s="13"/>
      <c r="J203" s="12"/>
    </row>
    <row r="204" spans="1:12" s="181" customFormat="1" ht="22.5" customHeight="1">
      <c r="A204" s="228" t="str">
        <f>"주 1) 기본급 : "&amp;월기본급!$A$1&amp;월기본급!$A$2&amp;" 참조"</f>
        <v>주 1) 기본급 : &lt; 표 : 8 &gt; M/M당기본급산출표 참조</v>
      </c>
      <c r="B204" s="228"/>
      <c r="C204" s="228"/>
      <c r="D204" s="228"/>
      <c r="E204" s="179"/>
      <c r="F204" s="179"/>
      <c r="G204" s="179"/>
      <c r="H204" s="179"/>
      <c r="I204" s="179"/>
      <c r="J204" s="179"/>
      <c r="L204" s="230"/>
    </row>
    <row r="205" spans="1:12" s="430" customFormat="1" ht="22.5" customHeight="1">
      <c r="A205" s="421" t="str">
        <f>"   2) 연장근로수당 : ["&amp;FIXED(E195,0)&amp;"(기본급)÷"&amp;K193&amp;"시간(월근로시간)×("&amp;$M$28&amp;"시간×4.34주)×1.25(할증)+"</f>
        <v>   2) 연장근로수당 : [1,038,030(기본급)÷209시간(월근로시간)×(0시간×4.34주)×1.25(할증)+</v>
      </c>
      <c r="B205" s="428"/>
      <c r="C205" s="428"/>
      <c r="D205" s="428"/>
      <c r="E205" s="429"/>
      <c r="F205" s="429"/>
      <c r="G205" s="429"/>
      <c r="H205" s="429"/>
      <c r="I205" s="429"/>
      <c r="J205" s="429"/>
      <c r="L205" s="431"/>
    </row>
    <row r="206" spans="1:12" s="430" customFormat="1" ht="22.5" customHeight="1">
      <c r="A206" s="421" t="str">
        <f>"                    "&amp;FIXED(E195,0)&amp;"(기본급)÷"&amp;K193&amp;"시간(월근로시간)×("&amp;(연장근로!$D$9)&amp;"시간×"&amp;(연장근로!$F$9)&amp;"주)×1.5(할증)]"</f>
        <v>                    1,038,030(기본급)÷209시간(월근로시간)×(0시간×4.34주)×1.5(할증)]</v>
      </c>
      <c r="B206" s="428"/>
      <c r="C206" s="428"/>
      <c r="D206" s="428"/>
      <c r="E206" s="429"/>
      <c r="F206" s="429"/>
      <c r="G206" s="429"/>
      <c r="H206" s="429"/>
      <c r="I206" s="429"/>
      <c r="J206" s="429"/>
      <c r="L206" s="431"/>
    </row>
    <row r="207" spans="1:12" s="430" customFormat="1" ht="22.5" customHeight="1">
      <c r="A207" s="427" t="s">
        <v>345</v>
      </c>
      <c r="B207" s="428"/>
      <c r="C207" s="428"/>
      <c r="D207" s="428"/>
      <c r="E207" s="429"/>
      <c r="F207" s="429"/>
      <c r="G207" s="429"/>
      <c r="H207" s="429"/>
      <c r="I207" s="429"/>
      <c r="J207" s="429"/>
      <c r="L207" s="431"/>
    </row>
    <row r="208" spans="1:12" s="181" customFormat="1" ht="22.5" customHeight="1">
      <c r="A208" s="421" t="str">
        <f>"   3) 휴일근로수당 : "&amp;FIXED(E195,0)&amp;"(기본급)÷"&amp;K193&amp;"(월근로시간)×"&amp;FIXED(K197,0)&amp;"시간(휴일근로시간)×1.5(할증)"</f>
        <v>   3) 휴일근로수당 : 1,038,030(기본급)÷209(월근로시간)×8시간(휴일근로시간)×1.5(할증)</v>
      </c>
      <c r="B208" s="228"/>
      <c r="C208" s="228"/>
      <c r="D208" s="228"/>
      <c r="E208" s="179"/>
      <c r="F208" s="179"/>
      <c r="G208" s="179"/>
      <c r="H208" s="179"/>
      <c r="I208" s="179"/>
      <c r="J208" s="179"/>
      <c r="L208" s="230"/>
    </row>
    <row r="209" spans="1:12" s="181" customFormat="1" ht="22.5" customHeight="1">
      <c r="A209" s="421" t="str">
        <f>"   4) 년차수당 : "&amp;FIXED(E195,0)&amp;"(기본급)÷"&amp;K193&amp;"(월근로시간)×8시간(일근로시간)×15일/년÷12개월"</f>
        <v>   4) 년차수당 : 1,038,030(기본급)÷209(월근로시간)×8시간(일근로시간)×15일/년÷12개월</v>
      </c>
      <c r="B209" s="178"/>
      <c r="C209" s="178"/>
      <c r="D209" s="178"/>
      <c r="E209" s="180"/>
      <c r="F209" s="180"/>
      <c r="G209" s="180"/>
      <c r="H209" s="180"/>
      <c r="I209" s="180"/>
      <c r="J209" s="171"/>
      <c r="L209" s="230"/>
    </row>
    <row r="210" spans="1:12" s="181" customFormat="1" ht="22.5" customHeight="1">
      <c r="A210" s="421" t="s">
        <v>336</v>
      </c>
      <c r="B210" s="178"/>
      <c r="C210" s="178"/>
      <c r="D210" s="178"/>
      <c r="E210" s="180"/>
      <c r="F210" s="180"/>
      <c r="G210" s="180"/>
      <c r="H210" s="180"/>
      <c r="I210" s="180"/>
      <c r="J210" s="171"/>
      <c r="L210" s="230"/>
    </row>
    <row r="211" spans="1:10" ht="22.5" customHeight="1">
      <c r="A211" s="421" t="str">
        <f>"   6) 상여금 : "&amp;FIXED(E195,0)&amp;"(기본급)×4개월(년 400%적용)÷12개월"</f>
        <v>   6) 상여금 : 1,038,030(기본급)×4개월(년 400%적용)÷12개월</v>
      </c>
      <c r="J211" s="34"/>
    </row>
    <row r="212" spans="1:10" ht="22.5" customHeight="1">
      <c r="A212" s="253" t="str">
        <f>"   7) 퇴직급여충당금 : {"&amp;FIXED(E195,0)&amp;"(기본급)+"&amp;FIXED(E200,0)&amp;"(제수당)+"&amp;FIXED(E201,0)&amp;"(상여금)}÷12개월"</f>
        <v>   7) 퇴직급여충당금 : {1,038,030(기본급)+114,365(제수당)+346,010(상여금)}÷12개월</v>
      </c>
      <c r="J212" s="34"/>
    </row>
  </sheetData>
  <sheetProtection/>
  <mergeCells count="70">
    <mergeCell ref="A6:D6"/>
    <mergeCell ref="E5:F5"/>
    <mergeCell ref="A5:D5"/>
    <mergeCell ref="A14:D14"/>
    <mergeCell ref="A13:D13"/>
    <mergeCell ref="A12:D12"/>
    <mergeCell ref="A7:A11"/>
    <mergeCell ref="A26:D26"/>
    <mergeCell ref="E26:F26"/>
    <mergeCell ref="A27:D27"/>
    <mergeCell ref="A28:A32"/>
    <mergeCell ref="A175:A179"/>
    <mergeCell ref="A180:D180"/>
    <mergeCell ref="E173:F173"/>
    <mergeCell ref="A174:D174"/>
    <mergeCell ref="A153:D153"/>
    <mergeCell ref="A154:A158"/>
    <mergeCell ref="A181:D181"/>
    <mergeCell ref="A182:D182"/>
    <mergeCell ref="A202:D202"/>
    <mergeCell ref="A203:D203"/>
    <mergeCell ref="A194:D194"/>
    <mergeCell ref="E194:F194"/>
    <mergeCell ref="A195:D195"/>
    <mergeCell ref="A196:A200"/>
    <mergeCell ref="A201:D201"/>
    <mergeCell ref="A159:D159"/>
    <mergeCell ref="A160:D160"/>
    <mergeCell ref="A161:D161"/>
    <mergeCell ref="A173:D173"/>
    <mergeCell ref="A139:D139"/>
    <mergeCell ref="A140:D140"/>
    <mergeCell ref="A152:D152"/>
    <mergeCell ref="E152:F152"/>
    <mergeCell ref="E131:F131"/>
    <mergeCell ref="A132:D132"/>
    <mergeCell ref="A133:A137"/>
    <mergeCell ref="A138:D138"/>
    <mergeCell ref="A117:D117"/>
    <mergeCell ref="A118:D118"/>
    <mergeCell ref="A119:D119"/>
    <mergeCell ref="A131:D131"/>
    <mergeCell ref="A111:D111"/>
    <mergeCell ref="A112:A116"/>
    <mergeCell ref="A91:A95"/>
    <mergeCell ref="A96:D96"/>
    <mergeCell ref="A97:D97"/>
    <mergeCell ref="A98:D98"/>
    <mergeCell ref="A90:D90"/>
    <mergeCell ref="A77:D77"/>
    <mergeCell ref="A89:D89"/>
    <mergeCell ref="A75:D75"/>
    <mergeCell ref="A110:D110"/>
    <mergeCell ref="E110:F110"/>
    <mergeCell ref="E89:F89"/>
    <mergeCell ref="A69:D69"/>
    <mergeCell ref="A33:D33"/>
    <mergeCell ref="A34:D34"/>
    <mergeCell ref="A35:D35"/>
    <mergeCell ref="A70:A74"/>
    <mergeCell ref="A76:D76"/>
    <mergeCell ref="E68:F68"/>
    <mergeCell ref="A47:D47"/>
    <mergeCell ref="A48:D48"/>
    <mergeCell ref="A54:D54"/>
    <mergeCell ref="A55:D55"/>
    <mergeCell ref="A49:A53"/>
    <mergeCell ref="A56:D56"/>
    <mergeCell ref="A68:D68"/>
    <mergeCell ref="E47:F4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&amp;P+13 -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view="pageBreakPreview" zoomScaleNormal="75" zoomScaleSheetLayoutView="100" zoomScalePageLayoutView="0" workbookViewId="0" topLeftCell="A1">
      <selection activeCell="D8" sqref="D8"/>
    </sheetView>
  </sheetViews>
  <sheetFormatPr defaultColWidth="11.421875" defaultRowHeight="12"/>
  <cols>
    <col min="1" max="1" width="3.7109375" style="441" customWidth="1"/>
    <col min="2" max="2" width="20.7109375" style="442" customWidth="1"/>
    <col min="3" max="3" width="3.7109375" style="441" customWidth="1"/>
    <col min="4" max="4" width="11.7109375" style="441" customWidth="1"/>
    <col min="5" max="5" width="4.7109375" style="442" customWidth="1"/>
    <col min="6" max="6" width="14.7109375" style="442" customWidth="1"/>
    <col min="7" max="7" width="11.7109375" style="442" customWidth="1"/>
    <col min="8" max="8" width="4.7109375" style="441" customWidth="1"/>
    <col min="9" max="9" width="19.57421875" style="441" customWidth="1"/>
    <col min="10" max="16384" width="11.421875" style="441" customWidth="1"/>
  </cols>
  <sheetData>
    <row r="1" ht="19.5" customHeight="1">
      <c r="A1" s="441" t="s">
        <v>404</v>
      </c>
    </row>
    <row r="2" spans="1:9" ht="39.75" customHeight="1">
      <c r="A2" s="443" t="s">
        <v>368</v>
      </c>
      <c r="B2" s="444"/>
      <c r="C2" s="445"/>
      <c r="D2" s="445"/>
      <c r="E2" s="444"/>
      <c r="F2" s="444"/>
      <c r="G2" s="444"/>
      <c r="H2" s="445"/>
      <c r="I2" s="445"/>
    </row>
    <row r="3" spans="1:9" ht="19.5" customHeight="1">
      <c r="A3" s="445"/>
      <c r="B3" s="444"/>
      <c r="C3" s="444"/>
      <c r="D3" s="444"/>
      <c r="E3" s="444"/>
      <c r="F3" s="448"/>
      <c r="G3" s="448"/>
      <c r="H3" s="448"/>
      <c r="I3" s="448"/>
    </row>
    <row r="4" spans="1:9" ht="19.5" customHeight="1">
      <c r="A4" s="449"/>
      <c r="B4" s="450"/>
      <c r="C4" s="450"/>
      <c r="D4" s="450"/>
      <c r="E4" s="450"/>
      <c r="F4" s="451"/>
      <c r="G4" s="451"/>
      <c r="H4" s="451"/>
      <c r="I4" s="452" t="s">
        <v>352</v>
      </c>
    </row>
    <row r="5" spans="1:9" ht="49.5" customHeight="1">
      <c r="A5" s="453"/>
      <c r="B5" s="454" t="s">
        <v>339</v>
      </c>
      <c r="C5" s="455"/>
      <c r="D5" s="477" t="s">
        <v>357</v>
      </c>
      <c r="E5" s="456"/>
      <c r="F5" s="457" t="s">
        <v>358</v>
      </c>
      <c r="G5" s="478" t="s">
        <v>359</v>
      </c>
      <c r="H5" s="456"/>
      <c r="I5" s="457" t="s">
        <v>338</v>
      </c>
    </row>
    <row r="6" spans="1:9" ht="19.5" customHeight="1">
      <c r="A6" s="479"/>
      <c r="B6" s="480"/>
      <c r="C6" s="481"/>
      <c r="D6" s="482"/>
      <c r="E6" s="483"/>
      <c r="F6" s="484"/>
      <c r="G6" s="485"/>
      <c r="H6" s="483"/>
      <c r="I6" s="484"/>
    </row>
    <row r="7" spans="1:9" ht="60" customHeight="1">
      <c r="A7" s="486"/>
      <c r="B7" s="444"/>
      <c r="C7" s="487"/>
      <c r="D7" s="518" t="s">
        <v>376</v>
      </c>
      <c r="E7" s="448"/>
      <c r="F7" s="488" t="s">
        <v>314</v>
      </c>
      <c r="G7" s="448" t="s">
        <v>311</v>
      </c>
      <c r="H7" s="448"/>
      <c r="I7" s="436"/>
    </row>
    <row r="8" spans="1:9" ht="60" customHeight="1">
      <c r="A8" s="489"/>
      <c r="B8" s="490" t="s">
        <v>360</v>
      </c>
      <c r="C8" s="490"/>
      <c r="D8" s="491">
        <v>0.2</v>
      </c>
      <c r="E8" s="492"/>
      <c r="F8" s="472">
        <v>4.34</v>
      </c>
      <c r="G8" s="493">
        <f>TRUNC(D8*F8,2)</f>
        <v>0.86</v>
      </c>
      <c r="H8" s="492"/>
      <c r="I8" s="587" t="s">
        <v>461</v>
      </c>
    </row>
    <row r="9" spans="1:9" ht="60" customHeight="1">
      <c r="A9" s="489"/>
      <c r="B9" s="490" t="s">
        <v>463</v>
      </c>
      <c r="C9" s="490"/>
      <c r="D9" s="491">
        <v>0</v>
      </c>
      <c r="E9" s="492"/>
      <c r="F9" s="472">
        <v>4.34</v>
      </c>
      <c r="G9" s="493">
        <f>TRUNC(D9*F9,2)</f>
        <v>0</v>
      </c>
      <c r="H9" s="492"/>
      <c r="I9" s="587" t="s">
        <v>462</v>
      </c>
    </row>
    <row r="10" spans="1:9" ht="60" customHeight="1">
      <c r="A10" s="494"/>
      <c r="B10" s="495"/>
      <c r="C10" s="495"/>
      <c r="D10" s="496"/>
      <c r="E10" s="497"/>
      <c r="F10" s="498"/>
      <c r="G10" s="499"/>
      <c r="H10" s="497"/>
      <c r="I10" s="500"/>
    </row>
    <row r="11" spans="1:9" ht="45" customHeight="1">
      <c r="A11" s="453"/>
      <c r="B11" s="454" t="s">
        <v>340</v>
      </c>
      <c r="C11" s="458"/>
      <c r="D11" s="460"/>
      <c r="E11" s="459"/>
      <c r="F11" s="461"/>
      <c r="G11" s="469">
        <f>SUM(G8:G10)</f>
        <v>0.86</v>
      </c>
      <c r="H11" s="459"/>
      <c r="I11" s="462"/>
    </row>
    <row r="12" ht="19.5" customHeight="1">
      <c r="A12" s="441" t="s">
        <v>361</v>
      </c>
    </row>
    <row r="13" ht="19.5" customHeight="1">
      <c r="A13" s="441" t="s">
        <v>362</v>
      </c>
    </row>
    <row r="14" spans="1:9" ht="19.5" customHeight="1">
      <c r="A14" s="421" t="s">
        <v>363</v>
      </c>
      <c r="B14" s="421"/>
      <c r="C14" s="428"/>
      <c r="D14" s="428"/>
      <c r="E14" s="428"/>
      <c r="F14" s="429"/>
      <c r="G14" s="429"/>
      <c r="H14" s="429"/>
      <c r="I14" s="429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  <headerFooter alignWithMargins="0">
    <oddFooter>&amp;C- &amp;P+22 -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view="pageBreakPreview" zoomScaleNormal="75" zoomScaleSheetLayoutView="100" zoomScalePageLayoutView="0" workbookViewId="0" topLeftCell="A1">
      <selection activeCell="G10" sqref="G10"/>
    </sheetView>
  </sheetViews>
  <sheetFormatPr defaultColWidth="11.421875" defaultRowHeight="12"/>
  <cols>
    <col min="1" max="1" width="3.7109375" style="441" customWidth="1"/>
    <col min="2" max="2" width="20.7109375" style="442" customWidth="1"/>
    <col min="3" max="3" width="3.7109375" style="441" customWidth="1"/>
    <col min="4" max="4" width="11.7109375" style="441" customWidth="1"/>
    <col min="5" max="5" width="4.7109375" style="442" customWidth="1"/>
    <col min="6" max="6" width="14.7109375" style="442" customWidth="1"/>
    <col min="7" max="7" width="11.7109375" style="442" customWidth="1"/>
    <col min="8" max="8" width="4.7109375" style="441" customWidth="1"/>
    <col min="9" max="9" width="19.57421875" style="441" customWidth="1"/>
    <col min="10" max="11" width="11.421875" style="441" customWidth="1"/>
    <col min="12" max="12" width="17.00390625" style="441" bestFit="1" customWidth="1"/>
    <col min="13" max="16384" width="11.421875" style="441" customWidth="1"/>
  </cols>
  <sheetData>
    <row r="1" ht="19.5" customHeight="1">
      <c r="A1" s="441" t="s">
        <v>405</v>
      </c>
    </row>
    <row r="2" spans="1:11" ht="39.75" customHeight="1">
      <c r="A2" s="443" t="s">
        <v>369</v>
      </c>
      <c r="B2" s="444"/>
      <c r="C2" s="445"/>
      <c r="D2" s="445"/>
      <c r="E2" s="444"/>
      <c r="F2" s="444"/>
      <c r="G2" s="444"/>
      <c r="H2" s="445"/>
      <c r="I2" s="445"/>
      <c r="J2" s="446"/>
      <c r="K2" s="447"/>
    </row>
    <row r="3" spans="1:11" ht="19.5" customHeight="1">
      <c r="A3" s="445"/>
      <c r="B3" s="444"/>
      <c r="C3" s="444"/>
      <c r="D3" s="444"/>
      <c r="E3" s="444"/>
      <c r="F3" s="448"/>
      <c r="G3" s="448"/>
      <c r="H3" s="448"/>
      <c r="I3" s="448"/>
      <c r="J3" s="448"/>
      <c r="K3" s="447"/>
    </row>
    <row r="4" spans="1:11" ht="19.5" customHeight="1">
      <c r="A4" s="449"/>
      <c r="B4" s="450"/>
      <c r="C4" s="450"/>
      <c r="D4" s="450"/>
      <c r="E4" s="450"/>
      <c r="F4" s="451"/>
      <c r="G4" s="451"/>
      <c r="H4" s="451"/>
      <c r="I4" s="452" t="s">
        <v>352</v>
      </c>
      <c r="J4" s="451"/>
      <c r="K4" s="452"/>
    </row>
    <row r="5" spans="1:9" ht="49.5" customHeight="1">
      <c r="A5" s="453"/>
      <c r="B5" s="454" t="s">
        <v>339</v>
      </c>
      <c r="C5" s="455"/>
      <c r="D5" s="477" t="s">
        <v>364</v>
      </c>
      <c r="E5" s="456"/>
      <c r="F5" s="457" t="s">
        <v>358</v>
      </c>
      <c r="G5" s="478" t="s">
        <v>365</v>
      </c>
      <c r="H5" s="456"/>
      <c r="I5" s="457" t="s">
        <v>338</v>
      </c>
    </row>
    <row r="6" spans="1:9" ht="19.5" customHeight="1">
      <c r="A6" s="479"/>
      <c r="B6" s="480"/>
      <c r="C6" s="481"/>
      <c r="D6" s="482"/>
      <c r="E6" s="483"/>
      <c r="F6" s="484"/>
      <c r="G6" s="485"/>
      <c r="H6" s="483"/>
      <c r="I6" s="484"/>
    </row>
    <row r="7" spans="1:9" ht="60" customHeight="1">
      <c r="A7" s="486"/>
      <c r="B7" s="444"/>
      <c r="C7" s="487"/>
      <c r="D7" s="518" t="s">
        <v>376</v>
      </c>
      <c r="E7" s="448"/>
      <c r="F7" s="488" t="s">
        <v>314</v>
      </c>
      <c r="G7" s="448" t="s">
        <v>311</v>
      </c>
      <c r="H7" s="448"/>
      <c r="I7" s="436"/>
    </row>
    <row r="8" spans="1:9" ht="60" customHeight="1">
      <c r="A8" s="489"/>
      <c r="B8" s="490" t="s">
        <v>360</v>
      </c>
      <c r="C8" s="490"/>
      <c r="D8" s="491">
        <v>8</v>
      </c>
      <c r="E8" s="492"/>
      <c r="F8" s="472">
        <v>1</v>
      </c>
      <c r="G8" s="493">
        <f>TRUNC(D8*F8,2)</f>
        <v>8</v>
      </c>
      <c r="H8" s="492"/>
      <c r="I8" s="436"/>
    </row>
    <row r="9" spans="1:9" ht="60" customHeight="1">
      <c r="A9" s="494"/>
      <c r="B9" s="495"/>
      <c r="C9" s="495"/>
      <c r="D9" s="496"/>
      <c r="E9" s="497"/>
      <c r="F9" s="498"/>
      <c r="G9" s="499"/>
      <c r="H9" s="497"/>
      <c r="I9" s="500"/>
    </row>
    <row r="10" spans="1:9" ht="45" customHeight="1">
      <c r="A10" s="453"/>
      <c r="B10" s="454" t="s">
        <v>340</v>
      </c>
      <c r="C10" s="458"/>
      <c r="D10" s="460"/>
      <c r="E10" s="459"/>
      <c r="F10" s="461"/>
      <c r="G10" s="469">
        <f>SUM(G8:G9)</f>
        <v>8</v>
      </c>
      <c r="H10" s="459"/>
      <c r="I10" s="462"/>
    </row>
    <row r="11" ht="19.5" customHeight="1">
      <c r="A11" s="441" t="s">
        <v>366</v>
      </c>
    </row>
    <row r="12" ht="19.5" customHeight="1">
      <c r="A12" s="441" t="s">
        <v>371</v>
      </c>
    </row>
    <row r="13" spans="1:11" ht="19.5" customHeight="1">
      <c r="A13" s="421" t="s">
        <v>367</v>
      </c>
      <c r="B13" s="421"/>
      <c r="C13" s="428"/>
      <c r="D13" s="428"/>
      <c r="E13" s="428"/>
      <c r="F13" s="429"/>
      <c r="G13" s="429"/>
      <c r="H13" s="429"/>
      <c r="I13" s="429"/>
      <c r="J13" s="429"/>
      <c r="K13" s="429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blackAndWhite="1" horizontalDpi="600" verticalDpi="600" orientation="portrait" paperSize="9" r:id="rId1"/>
  <headerFooter alignWithMargins="0">
    <oddFooter>&amp;C- &amp;P+23 -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view="pageBreakPreview" zoomScale="95" zoomScaleSheetLayoutView="95" zoomScalePageLayoutView="0" workbookViewId="0" topLeftCell="A1">
      <selection activeCell="M20" sqref="M20"/>
    </sheetView>
  </sheetViews>
  <sheetFormatPr defaultColWidth="9.140625" defaultRowHeight="12"/>
  <cols>
    <col min="1" max="1" width="1.7109375" style="10" customWidth="1"/>
    <col min="2" max="2" width="13.7109375" style="10" customWidth="1"/>
    <col min="3" max="3" width="1.7109375" style="10" customWidth="1"/>
    <col min="4" max="4" width="10.7109375" style="152" customWidth="1"/>
    <col min="5" max="5" width="1.7109375" style="152" customWidth="1"/>
    <col min="6" max="6" width="16.7109375" style="152" customWidth="1"/>
    <col min="7" max="7" width="1.7109375" style="152" customWidth="1"/>
    <col min="8" max="8" width="11.7109375" style="33" customWidth="1"/>
    <col min="9" max="9" width="9.7109375" style="33" customWidth="1"/>
    <col min="10" max="10" width="13.7109375" style="33" customWidth="1"/>
    <col min="11" max="11" width="12.28125" style="33" customWidth="1"/>
    <col min="12" max="12" width="9.140625" style="33" customWidth="1"/>
    <col min="13" max="16384" width="9.140625" style="152" customWidth="1"/>
  </cols>
  <sheetData>
    <row r="1" spans="1:4" ht="19.5" customHeight="1">
      <c r="A1" s="223" t="s">
        <v>406</v>
      </c>
      <c r="B1" s="223"/>
      <c r="C1" s="223"/>
      <c r="D1" s="222"/>
    </row>
    <row r="2" spans="1:12" s="168" customFormat="1" ht="39.75" customHeight="1">
      <c r="A2" s="166" t="s">
        <v>59</v>
      </c>
      <c r="B2" s="166"/>
      <c r="C2" s="166"/>
      <c r="D2" s="224"/>
      <c r="E2" s="224"/>
      <c r="F2" s="224"/>
      <c r="G2" s="224"/>
      <c r="H2" s="153"/>
      <c r="I2" s="153"/>
      <c r="J2" s="153"/>
      <c r="K2" s="153"/>
      <c r="L2" s="249"/>
    </row>
    <row r="3" spans="1:12" s="168" customFormat="1" ht="19.5" customHeight="1">
      <c r="A3" s="166"/>
      <c r="B3" s="166"/>
      <c r="C3" s="166"/>
      <c r="D3" s="224"/>
      <c r="E3" s="224"/>
      <c r="F3" s="224"/>
      <c r="G3" s="224"/>
      <c r="H3" s="153"/>
      <c r="I3" s="153"/>
      <c r="J3" s="153"/>
      <c r="K3" s="153"/>
      <c r="L3" s="249"/>
    </row>
    <row r="4" spans="1:11" ht="19.5" customHeight="1">
      <c r="A4" s="170"/>
      <c r="B4" s="170"/>
      <c r="C4" s="170"/>
      <c r="D4" s="169"/>
      <c r="E4" s="169"/>
      <c r="F4" s="169"/>
      <c r="G4" s="169"/>
      <c r="K4" s="226" t="s">
        <v>39</v>
      </c>
    </row>
    <row r="5" spans="1:12" s="188" customFormat="1" ht="19.5" customHeight="1">
      <c r="A5" s="5"/>
      <c r="B5" s="714" t="s">
        <v>60</v>
      </c>
      <c r="C5" s="4"/>
      <c r="D5" s="716" t="s">
        <v>61</v>
      </c>
      <c r="E5" s="5"/>
      <c r="F5" s="718" t="s">
        <v>41</v>
      </c>
      <c r="G5" s="4"/>
      <c r="H5" s="701" t="s">
        <v>296</v>
      </c>
      <c r="I5" s="701" t="s">
        <v>297</v>
      </c>
      <c r="J5" s="701" t="s">
        <v>210</v>
      </c>
      <c r="K5" s="701" t="s">
        <v>253</v>
      </c>
      <c r="L5" s="159"/>
    </row>
    <row r="6" spans="1:12" s="188" customFormat="1" ht="30" customHeight="1">
      <c r="A6" s="174"/>
      <c r="B6" s="715"/>
      <c r="C6" s="164"/>
      <c r="D6" s="717"/>
      <c r="E6" s="174"/>
      <c r="F6" s="719"/>
      <c r="G6" s="164"/>
      <c r="H6" s="704"/>
      <c r="I6" s="702"/>
      <c r="J6" s="704"/>
      <c r="K6" s="704"/>
      <c r="L6" s="159"/>
    </row>
    <row r="7" spans="1:12" s="188" customFormat="1" ht="9.75" customHeight="1">
      <c r="A7" s="5"/>
      <c r="B7" s="11"/>
      <c r="C7" s="11"/>
      <c r="D7" s="5"/>
      <c r="E7" s="5"/>
      <c r="F7" s="7"/>
      <c r="G7" s="4"/>
      <c r="H7" s="16"/>
      <c r="I7" s="16"/>
      <c r="J7" s="16"/>
      <c r="K7" s="16"/>
      <c r="L7" s="159"/>
    </row>
    <row r="8" spans="1:12" s="186" customFormat="1" ht="30" customHeight="1">
      <c r="A8" s="174"/>
      <c r="B8" s="10"/>
      <c r="C8" s="10"/>
      <c r="D8" s="174"/>
      <c r="E8" s="246"/>
      <c r="F8" s="188"/>
      <c r="G8" s="247"/>
      <c r="H8" s="8" t="s">
        <v>62</v>
      </c>
      <c r="I8" s="8" t="s">
        <v>13</v>
      </c>
      <c r="J8" s="8"/>
      <c r="K8" s="248"/>
      <c r="L8" s="160"/>
    </row>
    <row r="9" spans="1:11" ht="30" customHeight="1">
      <c r="A9" s="240"/>
      <c r="B9" s="420" t="s">
        <v>294</v>
      </c>
      <c r="C9" s="437"/>
      <c r="D9" s="638" t="s">
        <v>536</v>
      </c>
      <c r="E9" s="435"/>
      <c r="F9" s="637" t="s">
        <v>532</v>
      </c>
      <c r="G9" s="433"/>
      <c r="H9" s="432">
        <v>67249</v>
      </c>
      <c r="I9" s="510">
        <v>21</v>
      </c>
      <c r="J9" s="161">
        <f aca="true" t="shared" si="0" ref="J9:J17">TRUNC(H9*I9,0)</f>
        <v>1412229</v>
      </c>
      <c r="K9" s="35"/>
    </row>
    <row r="10" spans="1:11" ht="30" customHeight="1">
      <c r="A10" s="240"/>
      <c r="B10" s="420" t="s">
        <v>478</v>
      </c>
      <c r="C10" s="437"/>
      <c r="D10" s="638" t="s">
        <v>537</v>
      </c>
      <c r="E10" s="435"/>
      <c r="F10" s="637" t="s">
        <v>533</v>
      </c>
      <c r="G10" s="433"/>
      <c r="H10" s="432">
        <v>64144</v>
      </c>
      <c r="I10" s="510">
        <f aca="true" t="shared" si="1" ref="I10:I17">I9</f>
        <v>21</v>
      </c>
      <c r="J10" s="161">
        <f t="shared" si="0"/>
        <v>1347024</v>
      </c>
      <c r="K10" s="35"/>
    </row>
    <row r="11" spans="1:11" ht="30" customHeight="1">
      <c r="A11" s="240"/>
      <c r="B11" s="420" t="s">
        <v>292</v>
      </c>
      <c r="C11" s="437"/>
      <c r="D11" s="638" t="s">
        <v>538</v>
      </c>
      <c r="E11" s="435"/>
      <c r="F11" s="637" t="s">
        <v>534</v>
      </c>
      <c r="G11" s="433"/>
      <c r="H11" s="432">
        <v>63759</v>
      </c>
      <c r="I11" s="510">
        <f t="shared" si="1"/>
        <v>21</v>
      </c>
      <c r="J11" s="161">
        <f t="shared" si="0"/>
        <v>1338939</v>
      </c>
      <c r="K11" s="35"/>
    </row>
    <row r="12" spans="1:11" ht="30" customHeight="1">
      <c r="A12" s="240"/>
      <c r="B12" s="420" t="s">
        <v>293</v>
      </c>
      <c r="C12" s="437"/>
      <c r="D12" s="638" t="s">
        <v>539</v>
      </c>
      <c r="E12" s="435"/>
      <c r="F12" s="637" t="s">
        <v>535</v>
      </c>
      <c r="G12" s="433"/>
      <c r="H12" s="432">
        <v>62872</v>
      </c>
      <c r="I12" s="510">
        <f t="shared" si="1"/>
        <v>21</v>
      </c>
      <c r="J12" s="161">
        <f t="shared" si="0"/>
        <v>1320312</v>
      </c>
      <c r="K12" s="35"/>
    </row>
    <row r="13" spans="1:11" ht="30" customHeight="1">
      <c r="A13" s="240"/>
      <c r="B13" s="41" t="s">
        <v>237</v>
      </c>
      <c r="C13" s="157"/>
      <c r="D13" s="638" t="s">
        <v>540</v>
      </c>
      <c r="E13" s="435"/>
      <c r="F13" s="434" t="s">
        <v>354</v>
      </c>
      <c r="G13" s="433"/>
      <c r="H13" s="432">
        <v>49430</v>
      </c>
      <c r="I13" s="422">
        <f t="shared" si="1"/>
        <v>21</v>
      </c>
      <c r="J13" s="161">
        <f t="shared" si="0"/>
        <v>1038030</v>
      </c>
      <c r="K13" s="35"/>
    </row>
    <row r="14" spans="1:11" ht="30" customHeight="1">
      <c r="A14" s="240"/>
      <c r="B14" s="41" t="s">
        <v>295</v>
      </c>
      <c r="C14" s="157"/>
      <c r="D14" s="638" t="s">
        <v>541</v>
      </c>
      <c r="E14" s="435"/>
      <c r="F14" s="434" t="s">
        <v>255</v>
      </c>
      <c r="G14" s="433"/>
      <c r="H14" s="432">
        <v>49430</v>
      </c>
      <c r="I14" s="422">
        <f t="shared" si="1"/>
        <v>21</v>
      </c>
      <c r="J14" s="161">
        <f t="shared" si="0"/>
        <v>1038030</v>
      </c>
      <c r="K14" s="35"/>
    </row>
    <row r="15" spans="1:11" ht="30" customHeight="1">
      <c r="A15" s="240"/>
      <c r="B15" s="420" t="s">
        <v>480</v>
      </c>
      <c r="C15" s="437"/>
      <c r="D15" s="638" t="s">
        <v>541</v>
      </c>
      <c r="E15" s="435"/>
      <c r="F15" s="434" t="s">
        <v>255</v>
      </c>
      <c r="G15" s="433"/>
      <c r="H15" s="432">
        <v>49430</v>
      </c>
      <c r="I15" s="510">
        <f t="shared" si="1"/>
        <v>21</v>
      </c>
      <c r="J15" s="161">
        <f t="shared" si="0"/>
        <v>1038030</v>
      </c>
      <c r="K15" s="471"/>
    </row>
    <row r="16" spans="1:11" ht="30" customHeight="1">
      <c r="A16" s="240"/>
      <c r="B16" s="420" t="s">
        <v>481</v>
      </c>
      <c r="C16" s="437"/>
      <c r="D16" s="638" t="s">
        <v>541</v>
      </c>
      <c r="E16" s="435"/>
      <c r="F16" s="434" t="s">
        <v>255</v>
      </c>
      <c r="G16" s="433"/>
      <c r="H16" s="432">
        <v>49430</v>
      </c>
      <c r="I16" s="510">
        <f t="shared" si="1"/>
        <v>21</v>
      </c>
      <c r="J16" s="161">
        <f t="shared" si="0"/>
        <v>1038030</v>
      </c>
      <c r="K16" s="471"/>
    </row>
    <row r="17" spans="1:11" ht="30" customHeight="1">
      <c r="A17" s="240"/>
      <c r="B17" s="646" t="s">
        <v>560</v>
      </c>
      <c r="C17" s="437"/>
      <c r="D17" s="638" t="s">
        <v>541</v>
      </c>
      <c r="E17" s="435"/>
      <c r="F17" s="434" t="s">
        <v>255</v>
      </c>
      <c r="G17" s="433"/>
      <c r="H17" s="432">
        <v>49430</v>
      </c>
      <c r="I17" s="422">
        <f t="shared" si="1"/>
        <v>21</v>
      </c>
      <c r="J17" s="161">
        <f t="shared" si="0"/>
        <v>1038030</v>
      </c>
      <c r="K17" s="35"/>
    </row>
    <row r="18" spans="1:11" ht="9.75" customHeight="1">
      <c r="A18" s="241"/>
      <c r="B18" s="245"/>
      <c r="C18" s="158"/>
      <c r="D18" s="36"/>
      <c r="E18" s="3"/>
      <c r="F18" s="190"/>
      <c r="G18" s="2"/>
      <c r="H18" s="162"/>
      <c r="I18" s="162"/>
      <c r="J18" s="162"/>
      <c r="K18" s="192"/>
    </row>
    <row r="19" ht="19.5" customHeight="1">
      <c r="A19" s="636" t="s">
        <v>531</v>
      </c>
    </row>
    <row r="20" spans="1:12" s="425" customFormat="1" ht="19.5" customHeight="1">
      <c r="A20" s="423" t="s">
        <v>370</v>
      </c>
      <c r="B20" s="424"/>
      <c r="C20" s="424"/>
      <c r="H20" s="426"/>
      <c r="I20" s="426"/>
      <c r="J20" s="426"/>
      <c r="K20" s="426"/>
      <c r="L20" s="426"/>
    </row>
  </sheetData>
  <sheetProtection/>
  <mergeCells count="7">
    <mergeCell ref="J5:J6"/>
    <mergeCell ref="K5:K6"/>
    <mergeCell ref="B5:B6"/>
    <mergeCell ref="D5:D6"/>
    <mergeCell ref="F5:F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&amp;C- &amp;P+24 -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view="pageBreakPreview" zoomScaleSheetLayoutView="100" zoomScalePageLayoutView="0" workbookViewId="0" topLeftCell="A1">
      <selection activeCell="G12" sqref="G12"/>
    </sheetView>
  </sheetViews>
  <sheetFormatPr defaultColWidth="9.140625" defaultRowHeight="12"/>
  <cols>
    <col min="1" max="1" width="5.7109375" style="316" customWidth="1"/>
    <col min="2" max="2" width="1.28515625" style="316" customWidth="1"/>
    <col min="3" max="3" width="12.7109375" style="316" customWidth="1"/>
    <col min="4" max="4" width="1.28515625" style="316" customWidth="1"/>
    <col min="5" max="5" width="29.7109375" style="310" customWidth="1"/>
    <col min="6" max="6" width="74.421875" style="310" customWidth="1"/>
    <col min="7" max="7" width="44.421875" style="310" customWidth="1"/>
    <col min="8" max="8" width="9.140625" style="310" customWidth="1"/>
    <col min="9" max="9" width="9.140625" style="311" customWidth="1"/>
    <col min="10" max="16384" width="9.140625" style="310" customWidth="1"/>
  </cols>
  <sheetData>
    <row r="1" spans="1:4" ht="19.5" customHeight="1">
      <c r="A1" s="312" t="s">
        <v>466</v>
      </c>
      <c r="B1" s="313"/>
      <c r="C1" s="313"/>
      <c r="D1" s="313"/>
    </row>
    <row r="2" spans="1:7" ht="39.75" customHeight="1">
      <c r="A2" s="307" t="s">
        <v>225</v>
      </c>
      <c r="B2" s="315"/>
      <c r="C2" s="315"/>
      <c r="D2" s="315"/>
      <c r="E2" s="314"/>
      <c r="F2" s="314"/>
      <c r="G2" s="314"/>
    </row>
    <row r="3" spans="1:7" ht="19.5" customHeight="1">
      <c r="A3" s="314"/>
      <c r="B3" s="315"/>
      <c r="C3" s="315"/>
      <c r="D3" s="315"/>
      <c r="E3" s="314"/>
      <c r="F3" s="314"/>
      <c r="G3" s="314"/>
    </row>
    <row r="4" ht="19.5" customHeight="1"/>
    <row r="5" spans="1:7" ht="24.75" customHeight="1">
      <c r="A5" s="730" t="s">
        <v>216</v>
      </c>
      <c r="B5" s="714"/>
      <c r="C5" s="714"/>
      <c r="D5" s="731"/>
      <c r="E5" s="722" t="s">
        <v>217</v>
      </c>
      <c r="F5" s="720" t="s">
        <v>218</v>
      </c>
      <c r="G5" s="722" t="s">
        <v>219</v>
      </c>
    </row>
    <row r="6" spans="1:7" ht="24.75" customHeight="1">
      <c r="A6" s="732"/>
      <c r="B6" s="733"/>
      <c r="C6" s="733"/>
      <c r="D6" s="734"/>
      <c r="E6" s="723"/>
      <c r="F6" s="721"/>
      <c r="G6" s="723"/>
    </row>
    <row r="7" spans="1:7" ht="49.5" customHeight="1">
      <c r="A7" s="712" t="s">
        <v>220</v>
      </c>
      <c r="B7" s="729"/>
      <c r="C7" s="729"/>
      <c r="D7" s="713"/>
      <c r="E7" s="309" t="s">
        <v>221</v>
      </c>
      <c r="F7" s="346" t="s">
        <v>374</v>
      </c>
      <c r="G7" s="346" t="s">
        <v>375</v>
      </c>
    </row>
    <row r="8" spans="1:7" ht="49.5" customHeight="1">
      <c r="A8" s="727" t="s">
        <v>257</v>
      </c>
      <c r="B8" s="238"/>
      <c r="C8" s="37" t="s">
        <v>1</v>
      </c>
      <c r="D8" s="308"/>
      <c r="E8" s="309" t="s">
        <v>241</v>
      </c>
      <c r="F8" s="309" t="s">
        <v>247</v>
      </c>
      <c r="G8" s="346" t="s">
        <v>353</v>
      </c>
    </row>
    <row r="9" spans="1:7" ht="49.5" customHeight="1">
      <c r="A9" s="728"/>
      <c r="B9" s="238"/>
      <c r="C9" s="37" t="s">
        <v>258</v>
      </c>
      <c r="D9" s="308"/>
      <c r="E9" s="309" t="s">
        <v>241</v>
      </c>
      <c r="F9" s="309" t="s">
        <v>284</v>
      </c>
      <c r="G9" s="309" t="s">
        <v>333</v>
      </c>
    </row>
    <row r="10" spans="1:7" ht="49.5" customHeight="1">
      <c r="A10" s="728"/>
      <c r="B10" s="238"/>
      <c r="C10" s="37" t="s">
        <v>25</v>
      </c>
      <c r="D10" s="308"/>
      <c r="E10" s="309" t="s">
        <v>242</v>
      </c>
      <c r="F10" s="309" t="s">
        <v>238</v>
      </c>
      <c r="G10" s="309" t="s">
        <v>248</v>
      </c>
    </row>
    <row r="11" spans="1:7" ht="49.5" customHeight="1">
      <c r="A11" s="724" t="s">
        <v>222</v>
      </c>
      <c r="B11" s="725"/>
      <c r="C11" s="725"/>
      <c r="D11" s="726"/>
      <c r="E11" s="634" t="s">
        <v>524</v>
      </c>
      <c r="F11" s="309" t="s">
        <v>285</v>
      </c>
      <c r="G11" s="309" t="s">
        <v>286</v>
      </c>
    </row>
    <row r="12" spans="1:7" ht="49.5" customHeight="1">
      <c r="A12" s="724" t="s">
        <v>223</v>
      </c>
      <c r="B12" s="725"/>
      <c r="C12" s="725"/>
      <c r="D12" s="726"/>
      <c r="E12" s="319" t="s">
        <v>243</v>
      </c>
      <c r="F12" s="309" t="s">
        <v>239</v>
      </c>
      <c r="G12" s="309" t="s">
        <v>224</v>
      </c>
    </row>
  </sheetData>
  <sheetProtection/>
  <mergeCells count="8">
    <mergeCell ref="F5:F6"/>
    <mergeCell ref="G5:G6"/>
    <mergeCell ref="A12:D12"/>
    <mergeCell ref="A8:A10"/>
    <mergeCell ref="A7:D7"/>
    <mergeCell ref="A11:D11"/>
    <mergeCell ref="A5:D6"/>
    <mergeCell ref="E5:E6"/>
  </mergeCells>
  <printOptions horizontalCentered="1"/>
  <pageMargins left="0.787401574803149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2"/>
  <headerFooter alignWithMargins="0">
    <oddFooter>&amp;C- &amp;P+25 -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연구소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진한식</dc:creator>
  <cp:keywords/>
  <dc:description/>
  <cp:lastModifiedBy>xxx</cp:lastModifiedBy>
  <cp:lastPrinted>2010-11-12T04:25:45Z</cp:lastPrinted>
  <dcterms:created xsi:type="dcterms:W3CDTF">2008-01-03T00:35:12Z</dcterms:created>
  <dcterms:modified xsi:type="dcterms:W3CDTF">2010-11-16T08:12:51Z</dcterms:modified>
  <cp:category/>
  <cp:version/>
  <cp:contentType/>
  <cp:contentStatus/>
</cp:coreProperties>
</file>