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240" windowHeight="8445" tabRatio="908"/>
  </bookViews>
  <sheets>
    <sheet name="집계" sheetId="1" r:id="rId1"/>
    <sheet name="원가집계" sheetId="42" r:id="rId2"/>
    <sheet name="원가" sheetId="2" r:id="rId3"/>
    <sheet name="인집" sheetId="20" r:id="rId4"/>
    <sheet name="단위당인건비" sheetId="19" r:id="rId5"/>
    <sheet name="연장근로" sheetId="48" r:id="rId6"/>
    <sheet name="휴일근로" sheetId="49" r:id="rId7"/>
    <sheet name="월기본급" sheetId="18" r:id="rId8"/>
    <sheet name="경비집계표" sheetId="15" r:id="rId9"/>
    <sheet name="보험료" sheetId="14" r:id="rId10"/>
    <sheet name="보험료산출기준" sheetId="29" r:id="rId11"/>
    <sheet name="산재비율" sheetId="54" r:id="rId12"/>
    <sheet name="복리후생비" sheetId="12" r:id="rId13"/>
    <sheet name="식대" sheetId="11" r:id="rId14"/>
    <sheet name="지방소득세(종업원분)" sheetId="43" r:id="rId15"/>
    <sheet name="교육비" sheetId="44" r:id="rId16"/>
    <sheet name="일반" sheetId="8" r:id="rId17"/>
    <sheet name="이윤" sheetId="6" r:id="rId18"/>
    <sheet name="이윤율" sheetId="5" r:id="rId19"/>
  </sheets>
  <definedNames>
    <definedName name="_xlnm.Print_Area" localSheetId="8">경비집계표!$A$1:$I$24</definedName>
    <definedName name="_xlnm.Print_Area" localSheetId="4">단위당인건비!$A$1:$J$66</definedName>
    <definedName name="_xlnm.Print_Area" localSheetId="9">보험료!$A$1:$J$44</definedName>
    <definedName name="_xlnm.Print_Area" localSheetId="10">보험료산출기준!$A$1:$H$12</definedName>
    <definedName name="_xlnm.Print_Area" localSheetId="12">복리후생비!$A$1:$L$8</definedName>
    <definedName name="_xlnm.Print_Area" localSheetId="13">식대!$A$1:$K$11</definedName>
    <definedName name="_xlnm.Print_Area" localSheetId="5">연장근로!$A$1:$I$14</definedName>
    <definedName name="_xlnm.Print_Area" localSheetId="2">원가!$A$1:$L$68</definedName>
    <definedName name="_xlnm.Print_Area" localSheetId="1">원가집계!$A$1:$O$34</definedName>
    <definedName name="_xlnm.Print_Area" localSheetId="7">월기본급!$A$1:$K$10</definedName>
    <definedName name="_xlnm.Print_Area" localSheetId="18">이윤율!$A$1:$F$13</definedName>
    <definedName name="_xlnm.Print_Area" localSheetId="3">인집!$A$1:$K$10</definedName>
    <definedName name="_xlnm.Print_Area" localSheetId="0">집계!$A$1:$N$14</definedName>
    <definedName name="_xlnm.Print_Area" localSheetId="6">휴일근로!$A$1:$I$13</definedName>
    <definedName name="_xlnm.Print_Titles" localSheetId="4">단위당인건비!$2:$3</definedName>
    <definedName name="_xlnm.Print_Titles" localSheetId="9">보험료!$2:$3</definedName>
  </definedNames>
  <calcPr calcId="124519" iterate="1"/>
</workbook>
</file>

<file path=xl/calcChain.xml><?xml version="1.0" encoding="utf-8"?>
<calcChain xmlns="http://schemas.openxmlformats.org/spreadsheetml/2006/main">
  <c r="K28" i="19"/>
  <c r="H7" i="29"/>
  <c r="M29" i="19"/>
  <c r="G8" i="2"/>
  <c r="G8" i="42" s="1"/>
  <c r="E17" i="15"/>
  <c r="G26" i="2" s="1"/>
  <c r="G26" i="42" s="1"/>
  <c r="F17" i="15"/>
  <c r="G59" i="2"/>
  <c r="H26" i="42" s="1"/>
  <c r="G9" i="48"/>
  <c r="L7" i="19"/>
  <c r="H31" i="14"/>
  <c r="H30"/>
  <c r="H29"/>
  <c r="H11"/>
  <c r="H10"/>
  <c r="H9"/>
  <c r="A4" i="19"/>
  <c r="E6"/>
  <c r="E14" s="1"/>
  <c r="G8" i="48"/>
  <c r="K7" i="19"/>
  <c r="A15"/>
  <c r="J9" i="18"/>
  <c r="E27" i="19" s="1"/>
  <c r="L7" i="11"/>
  <c r="M7"/>
  <c r="G7" s="1"/>
  <c r="I7" s="1"/>
  <c r="G7" i="12" s="1"/>
  <c r="I7" s="1"/>
  <c r="E14" i="15" s="1"/>
  <c r="J7" i="44"/>
  <c r="E18" i="15" s="1"/>
  <c r="G27" i="2" s="1"/>
  <c r="G27" i="42" s="1"/>
  <c r="I10" i="18"/>
  <c r="L8" i="11"/>
  <c r="M8"/>
  <c r="E7" i="20"/>
  <c r="E7" i="44" s="1"/>
  <c r="B7" i="20"/>
  <c r="B8" i="43" s="1"/>
  <c r="A4" i="2"/>
  <c r="A4" i="14" s="1"/>
  <c r="A18"/>
  <c r="A17"/>
  <c r="J10" i="18"/>
  <c r="E48" i="19" s="1"/>
  <c r="I9" i="43"/>
  <c r="I8" i="44"/>
  <c r="J8" s="1"/>
  <c r="F18" i="15" s="1"/>
  <c r="G60" i="2" s="1"/>
  <c r="H27" i="42" s="1"/>
  <c r="G11" i="2"/>
  <c r="G11" i="42" s="1"/>
  <c r="L28" i="2"/>
  <c r="L15"/>
  <c r="A25" i="19"/>
  <c r="A36"/>
  <c r="L28"/>
  <c r="A11" i="1"/>
  <c r="G11" i="48"/>
  <c r="K49" i="19" s="1"/>
  <c r="J10" i="8"/>
  <c r="K10" i="6"/>
  <c r="G8" i="49"/>
  <c r="G10" s="1"/>
  <c r="B8" i="20"/>
  <c r="B8" i="11" s="1"/>
  <c r="E8" i="20"/>
  <c r="E10" i="8" s="1"/>
  <c r="E10" i="6" s="1"/>
  <c r="B7" i="11"/>
  <c r="A23" i="15"/>
  <c r="A4" i="42"/>
  <c r="B7" i="44"/>
  <c r="G45" i="2"/>
  <c r="H11" i="42" s="1"/>
  <c r="H5"/>
  <c r="G5"/>
  <c r="E8" i="12"/>
  <c r="B7"/>
  <c r="A22" i="15"/>
  <c r="A21"/>
  <c r="A20"/>
  <c r="E9" i="43"/>
  <c r="A10"/>
  <c r="A13" i="8"/>
  <c r="A12"/>
  <c r="A11"/>
  <c r="F5" i="15"/>
  <c r="A38" i="2"/>
  <c r="A24" i="14" s="1"/>
  <c r="A46" i="19"/>
  <c r="A9" i="11"/>
  <c r="A9" i="20"/>
  <c r="A38" i="14"/>
  <c r="A37"/>
  <c r="A12" i="6"/>
  <c r="A57" i="19"/>
  <c r="A14" i="6"/>
  <c r="A13"/>
  <c r="A11"/>
  <c r="B9" i="8"/>
  <c r="B9" i="6" s="1"/>
  <c r="L61" i="2"/>
  <c r="L49"/>
  <c r="C7" i="1"/>
  <c r="K7" i="11"/>
  <c r="H9" i="1"/>
  <c r="H6" i="42"/>
  <c r="E8" i="11"/>
  <c r="E6" i="15"/>
  <c r="E7" i="12"/>
  <c r="E7" i="11"/>
  <c r="F7" i="1"/>
  <c r="E9" i="8"/>
  <c r="E9" i="6" s="1"/>
  <c r="E8" i="43"/>
  <c r="G6" i="42"/>
  <c r="E7" i="19"/>
  <c r="E11" s="1"/>
  <c r="E8" i="44"/>
  <c r="B8"/>
  <c r="J7" i="20"/>
  <c r="G14" i="2"/>
  <c r="G14" i="42" s="1"/>
  <c r="G48" i="2"/>
  <c r="H14" i="42" s="1"/>
  <c r="J8" i="20"/>
  <c r="B8" i="12" l="1"/>
  <c r="E9" i="19"/>
  <c r="A16"/>
  <c r="B9" i="43"/>
  <c r="B10" i="8"/>
  <c r="B10" i="6" s="1"/>
  <c r="C8" i="1"/>
  <c r="K29" i="19"/>
  <c r="K50"/>
  <c r="K8"/>
  <c r="A19" s="1"/>
  <c r="G8" i="20"/>
  <c r="D29" i="14" s="1"/>
  <c r="D30" s="1"/>
  <c r="D31" s="1"/>
  <c r="D32" s="1"/>
  <c r="D34" s="1"/>
  <c r="E51" i="19"/>
  <c r="G44" i="2" s="1"/>
  <c r="H10" i="42" s="1"/>
  <c r="E50" i="19"/>
  <c r="G43" i="2" s="1"/>
  <c r="H9" i="42" s="1"/>
  <c r="A59" i="19"/>
  <c r="A58"/>
  <c r="A40"/>
  <c r="A41"/>
  <c r="G7" i="20"/>
  <c r="D9" i="14" s="1"/>
  <c r="D10" s="1"/>
  <c r="D11" s="1"/>
  <c r="D12" s="1"/>
  <c r="D14" s="1"/>
  <c r="E30" i="19"/>
  <c r="G10" i="2" s="1"/>
  <c r="G10" i="42" s="1"/>
  <c r="K8" i="11"/>
  <c r="A22" i="19"/>
  <c r="E5" i="15"/>
  <c r="F8" i="1"/>
  <c r="A17" i="19"/>
  <c r="E13"/>
  <c r="E12"/>
  <c r="A23" s="1"/>
  <c r="F6" i="15"/>
  <c r="A20" i="19"/>
  <c r="G8" i="11"/>
  <c r="I8" s="1"/>
  <c r="G8" i="12" s="1"/>
  <c r="E8" i="19"/>
  <c r="A38"/>
  <c r="G41" i="2"/>
  <c r="A37" i="19"/>
  <c r="E29"/>
  <c r="E54"/>
  <c r="A43"/>
  <c r="E49"/>
  <c r="A61"/>
  <c r="G7" i="2"/>
  <c r="E33" i="19"/>
  <c r="A64"/>
  <c r="A62"/>
  <c r="E16" i="15"/>
  <c r="G23" i="2"/>
  <c r="I8" i="12"/>
  <c r="F14" i="15"/>
  <c r="G13" i="2" l="1"/>
  <c r="G13" i="42" s="1"/>
  <c r="I7" i="20"/>
  <c r="F9" i="14" s="1"/>
  <c r="F10" s="1"/>
  <c r="F11" s="1"/>
  <c r="F12" s="1"/>
  <c r="F14" s="1"/>
  <c r="E53" i="19"/>
  <c r="G42" i="2"/>
  <c r="H8" i="42" s="1"/>
  <c r="G9" i="2"/>
  <c r="G9" i="42" s="1"/>
  <c r="E32" i="19"/>
  <c r="G47" i="2"/>
  <c r="H13" i="42" s="1"/>
  <c r="I8" i="20"/>
  <c r="F29" i="14" s="1"/>
  <c r="F30" s="1"/>
  <c r="F31" s="1"/>
  <c r="F32" s="1"/>
  <c r="F34" s="1"/>
  <c r="G7" i="42"/>
  <c r="H7"/>
  <c r="G23"/>
  <c r="G25" i="2"/>
  <c r="G25" i="42" s="1"/>
  <c r="F16" i="15"/>
  <c r="G58" i="2" s="1"/>
  <c r="H25" i="42" s="1"/>
  <c r="G57" i="2"/>
  <c r="H23" i="42" s="1"/>
  <c r="H7" i="20" l="1"/>
  <c r="G12" i="2"/>
  <c r="E35" i="19"/>
  <c r="G15" i="2" s="1"/>
  <c r="G15" i="42" s="1"/>
  <c r="A44" i="19"/>
  <c r="E56"/>
  <c r="G49" i="2" s="1"/>
  <c r="H15" i="42" s="1"/>
  <c r="G46" i="2"/>
  <c r="H8" i="20"/>
  <c r="A65" i="19"/>
  <c r="E9" i="14" l="1"/>
  <c r="K7" i="20"/>
  <c r="M55" i="2"/>
  <c r="M51"/>
  <c r="M50"/>
  <c r="H12" i="42"/>
  <c r="M52" i="2"/>
  <c r="M53"/>
  <c r="M54" s="1"/>
  <c r="M18"/>
  <c r="M21"/>
  <c r="M17"/>
  <c r="G12" i="42"/>
  <c r="M19" i="2"/>
  <c r="M20" s="1"/>
  <c r="M16"/>
  <c r="K8" i="20"/>
  <c r="E29" i="14"/>
  <c r="M56" i="2" l="1"/>
  <c r="G9" i="14"/>
  <c r="I9" s="1"/>
  <c r="E7" i="15" s="1"/>
  <c r="G16" i="2" s="1"/>
  <c r="N16" s="1"/>
  <c r="E10" i="14"/>
  <c r="G9" i="8"/>
  <c r="G9" i="6" s="1"/>
  <c r="G8" i="43"/>
  <c r="M22" i="2"/>
  <c r="G10" i="8"/>
  <c r="G10" i="6" s="1"/>
  <c r="G9" i="43"/>
  <c r="G29" i="14"/>
  <c r="I29" s="1"/>
  <c r="F7" i="15" s="1"/>
  <c r="G50" i="2" s="1"/>
  <c r="E30" i="14"/>
  <c r="G30" l="1"/>
  <c r="I30" s="1"/>
  <c r="F8" i="15" s="1"/>
  <c r="G51" i="2" s="1"/>
  <c r="E31" i="14"/>
  <c r="E11"/>
  <c r="G10"/>
  <c r="I10" s="1"/>
  <c r="E8" i="15" s="1"/>
  <c r="G17" i="2" s="1"/>
  <c r="G16" i="42"/>
  <c r="N50" i="2"/>
  <c r="H16" i="42"/>
  <c r="N51" i="2" l="1"/>
  <c r="H17" i="42"/>
  <c r="G11" i="14"/>
  <c r="I11" s="1"/>
  <c r="E9" i="15" s="1"/>
  <c r="G18" i="2" s="1"/>
  <c r="E12" i="14"/>
  <c r="E32"/>
  <c r="G31"/>
  <c r="I31" s="1"/>
  <c r="F9" i="15" s="1"/>
  <c r="G52" i="2" s="1"/>
  <c r="G17" i="42"/>
  <c r="N17" i="2"/>
  <c r="G32" i="14" l="1"/>
  <c r="I32" s="1"/>
  <c r="E34"/>
  <c r="G34" s="1"/>
  <c r="I34" s="1"/>
  <c r="F12" i="15" s="1"/>
  <c r="G55" i="2" s="1"/>
  <c r="H18" i="42"/>
  <c r="N52" i="2"/>
  <c r="N18"/>
  <c r="G18" i="42"/>
  <c r="E14" i="14"/>
  <c r="G14" s="1"/>
  <c r="I14" s="1"/>
  <c r="E12" i="15" s="1"/>
  <c r="G21" i="2" s="1"/>
  <c r="G12" i="14"/>
  <c r="I12" s="1"/>
  <c r="I33" l="1"/>
  <c r="F10" i="15"/>
  <c r="G21" i="42"/>
  <c r="N21" i="2"/>
  <c r="N55"/>
  <c r="H21" i="42"/>
  <c r="I13" i="14"/>
  <c r="E11" i="15" s="1"/>
  <c r="G20" i="2" s="1"/>
  <c r="E10" i="15"/>
  <c r="I16" i="14"/>
  <c r="I36" l="1"/>
  <c r="F11" i="15"/>
  <c r="G54" i="2" s="1"/>
  <c r="G20" i="42"/>
  <c r="N20" i="2"/>
  <c r="G53"/>
  <c r="G19"/>
  <c r="E13" i="15"/>
  <c r="N53" i="2" l="1"/>
  <c r="H19" i="42"/>
  <c r="F13" i="15"/>
  <c r="N54" i="2"/>
  <c r="H20" i="42"/>
  <c r="G19"/>
  <c r="N19" i="2"/>
  <c r="G22"/>
  <c r="E19" i="15"/>
  <c r="H9" i="8" l="1"/>
  <c r="G28" i="2"/>
  <c r="G56"/>
  <c r="F19" i="15"/>
  <c r="N22" i="2"/>
  <c r="G22" i="42"/>
  <c r="H9" i="6" l="1"/>
  <c r="I9" i="8"/>
  <c r="K9" s="1"/>
  <c r="I9" i="6" s="1"/>
  <c r="G29" i="2"/>
  <c r="G28" i="42"/>
  <c r="N56" i="2"/>
  <c r="H22" i="42"/>
  <c r="H10" i="8"/>
  <c r="G61" i="2"/>
  <c r="J9" i="6" l="1"/>
  <c r="L9" s="1"/>
  <c r="G30" i="2"/>
  <c r="G29" i="42"/>
  <c r="I10" i="8"/>
  <c r="K10" s="1"/>
  <c r="I10" i="6" s="1"/>
  <c r="H10"/>
  <c r="G62" i="2"/>
  <c r="H28" i="42"/>
  <c r="G63" i="2" l="1"/>
  <c r="H29" i="42"/>
  <c r="G31" i="2"/>
  <c r="G32" s="1"/>
  <c r="G30" i="42"/>
  <c r="J10" i="6"/>
  <c r="L10" s="1"/>
  <c r="I15" i="2" l="1"/>
  <c r="G32" i="42"/>
  <c r="I30" i="2"/>
  <c r="I32"/>
  <c r="I29"/>
  <c r="G33"/>
  <c r="I28"/>
  <c r="G64"/>
  <c r="H31" i="42" s="1"/>
  <c r="H30"/>
  <c r="G65" i="2"/>
  <c r="G31" i="42"/>
  <c r="I31" i="2"/>
  <c r="I64" l="1"/>
  <c r="H32" i="42"/>
  <c r="I62" i="2"/>
  <c r="I61"/>
  <c r="I65"/>
  <c r="I49"/>
  <c r="G66"/>
  <c r="H33" i="42" s="1"/>
  <c r="I63" i="2"/>
  <c r="G33" i="42"/>
  <c r="G34" i="2"/>
  <c r="G67" l="1"/>
  <c r="G34" i="42"/>
  <c r="J7" i="1"/>
  <c r="K7" s="1"/>
  <c r="N7" s="1"/>
  <c r="J8" l="1"/>
  <c r="K8" s="1"/>
  <c r="N8" s="1"/>
  <c r="H34" i="42"/>
  <c r="K9" i="1" l="1"/>
</calcChain>
</file>

<file path=xl/sharedStrings.xml><?xml version="1.0" encoding="utf-8"?>
<sst xmlns="http://schemas.openxmlformats.org/spreadsheetml/2006/main" count="606" uniqueCount="391">
  <si>
    <t>연장근로수당</t>
    <phoneticPr fontId="5" type="noConversion"/>
  </si>
  <si>
    <t>국민연금법 제88조</t>
    <phoneticPr fontId="5" type="noConversion"/>
  </si>
  <si>
    <t>주 2)</t>
    <phoneticPr fontId="5" type="noConversion"/>
  </si>
  <si>
    <t>소    계</t>
    <phoneticPr fontId="5" type="noConversion"/>
  </si>
  <si>
    <t>보
험
료</t>
    <phoneticPr fontId="7" type="noConversion"/>
  </si>
  <si>
    <t>년차수당</t>
    <phoneticPr fontId="5" type="noConversion"/>
  </si>
  <si>
    <t>소          계</t>
    <phoneticPr fontId="6" type="noConversion"/>
  </si>
  <si>
    <t>단위(1인)당
용역비</t>
    <phoneticPr fontId="7" type="noConversion"/>
  </si>
  <si>
    <t>월간용역비</t>
    <phoneticPr fontId="7" type="noConversion"/>
  </si>
  <si>
    <t>적용
개월수</t>
    <phoneticPr fontId="7" type="noConversion"/>
  </si>
  <si>
    <t>년간용역비</t>
    <phoneticPr fontId="7" type="noConversion"/>
  </si>
  <si>
    <t>주 1)</t>
    <phoneticPr fontId="7" type="noConversion"/>
  </si>
  <si>
    <t>주 2)</t>
  </si>
  <si>
    <t>주 3)</t>
  </si>
  <si>
    <t>주 4)</t>
  </si>
  <si>
    <t>주 5)</t>
  </si>
  <si>
    <t>계</t>
    <phoneticPr fontId="7" type="noConversion"/>
  </si>
  <si>
    <t>단위 : 원/월</t>
    <phoneticPr fontId="6" type="noConversion"/>
  </si>
  <si>
    <t xml:space="preserve"> 구      분</t>
    <phoneticPr fontId="7" type="noConversion"/>
  </si>
  <si>
    <t>금      액</t>
    <phoneticPr fontId="11" type="noConversion"/>
  </si>
  <si>
    <t>구성비(%)</t>
    <phoneticPr fontId="12" type="noConversion"/>
  </si>
  <si>
    <t>비        고</t>
    <phoneticPr fontId="11" type="noConversion"/>
  </si>
  <si>
    <t xml:space="preserve"> 비      목</t>
    <phoneticPr fontId="7" type="noConversion"/>
  </si>
  <si>
    <t>기    본    급</t>
    <phoneticPr fontId="6" type="noConversion"/>
  </si>
  <si>
    <t>소          계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</si>
  <si>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</si>
  <si>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</si>
  <si>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</si>
  <si>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산재보험료</t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</si>
  <si>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</si>
  <si>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</si>
  <si>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</si>
  <si>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</si>
  <si>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</si>
  <si>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>단위 : 원/월</t>
    <phoneticPr fontId="5" type="noConversion"/>
  </si>
  <si>
    <t>금   액</t>
    <phoneticPr fontId="7" type="noConversion"/>
  </si>
  <si>
    <t>단위당인건비집계표</t>
    <phoneticPr fontId="6" type="noConversion"/>
  </si>
  <si>
    <t>단위 : 원/월</t>
    <phoneticPr fontId="7" type="noConversion"/>
  </si>
  <si>
    <t>구      분</t>
    <phoneticPr fontId="7" type="noConversion"/>
  </si>
  <si>
    <t>적용직종명</t>
    <phoneticPr fontId="14" type="noConversion"/>
  </si>
  <si>
    <t>기본급</t>
    <phoneticPr fontId="6" type="noConversion"/>
  </si>
  <si>
    <t>제수당</t>
    <phoneticPr fontId="6" type="noConversion"/>
  </si>
  <si>
    <t>상여금</t>
    <phoneticPr fontId="6" type="noConversion"/>
  </si>
  <si>
    <t>퇴직급여
충당금</t>
    <phoneticPr fontId="6" type="noConversion"/>
  </si>
  <si>
    <t>단위(1인)당인건비산출표</t>
    <phoneticPr fontId="15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</si>
  <si>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</si>
  <si>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</si>
  <si>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</si>
  <si>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비   고</t>
    <phoneticPr fontId="7" type="noConversion"/>
  </si>
  <si>
    <t>기       본       급</t>
    <phoneticPr fontId="6" type="noConversion"/>
  </si>
  <si>
    <t>주 1)</t>
  </si>
  <si>
    <t>년차수당</t>
    <phoneticPr fontId="7" type="noConversion"/>
  </si>
  <si>
    <t>소계</t>
    <phoneticPr fontId="7" type="noConversion"/>
  </si>
  <si>
    <t>상       여       금</t>
    <phoneticPr fontId="6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</si>
  <si>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</si>
  <si>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</si>
  <si>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</si>
  <si>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>M/M당기본급산출표</t>
    <phoneticPr fontId="6" type="noConversion"/>
  </si>
  <si>
    <t>구       분</t>
    <phoneticPr fontId="7" type="noConversion"/>
  </si>
  <si>
    <t>직종번호</t>
    <phoneticPr fontId="7" type="noConversion"/>
  </si>
  <si>
    <t>주 1)</t>
    <phoneticPr fontId="14" type="noConversion"/>
  </si>
  <si>
    <t>경비집계표</t>
    <phoneticPr fontId="7" type="noConversion"/>
  </si>
  <si>
    <t>비          목</t>
    <phoneticPr fontId="5" type="noConversion"/>
  </si>
  <si>
    <t>보  험  료</t>
    <phoneticPr fontId="5" type="noConversion"/>
  </si>
  <si>
    <t>주 1)</t>
    <phoneticPr fontId="5" type="noConversion"/>
  </si>
  <si>
    <t>복리후생비</t>
    <phoneticPr fontId="5" type="noConversion"/>
  </si>
  <si>
    <t>식대</t>
    <phoneticPr fontId="5" type="noConversion"/>
  </si>
  <si>
    <t>주 2)</t>
    <phoneticPr fontId="5" type="noConversion"/>
  </si>
  <si>
    <t>비           목</t>
    <phoneticPr fontId="7" type="noConversion"/>
  </si>
  <si>
    <t>적 용 대 상 액  주1)</t>
    <phoneticPr fontId="15" type="noConversion"/>
  </si>
  <si>
    <t>금  액</t>
    <phoneticPr fontId="13" type="noConversion"/>
  </si>
  <si>
    <t>비 고</t>
    <phoneticPr fontId="15" type="noConversion"/>
  </si>
  <si>
    <t>기본급</t>
    <phoneticPr fontId="13" type="noConversion"/>
  </si>
  <si>
    <t>제수당</t>
    <phoneticPr fontId="15" type="noConversion"/>
  </si>
  <si>
    <t>상여금</t>
    <phoneticPr fontId="15" type="noConversion"/>
  </si>
  <si>
    <t>국민연금</t>
  </si>
  <si>
    <t>고용보험료</t>
    <phoneticPr fontId="5" type="noConversion"/>
  </si>
  <si>
    <t>국민건강보험료</t>
  </si>
  <si>
    <t>임금채권보장보험료</t>
  </si>
  <si>
    <t>1. 광  업</t>
  </si>
  <si>
    <t xml:space="preserve">   석탄광업</t>
  </si>
  <si>
    <t xml:space="preserve">   금속 및 비금속광업</t>
  </si>
  <si>
    <t xml:space="preserve">   선박건조 및 수리업</t>
  </si>
  <si>
    <t xml:space="preserve">   채석업</t>
  </si>
  <si>
    <t xml:space="preserve">   수송용기계기구 제조업(갑)</t>
  </si>
  <si>
    <t xml:space="preserve">   석회석광업</t>
  </si>
  <si>
    <t xml:space="preserve">   수송용기계기구 제조업(을)</t>
  </si>
  <si>
    <t xml:space="preserve">   제염업</t>
  </si>
  <si>
    <t xml:space="preserve">   기타광업</t>
  </si>
  <si>
    <t xml:space="preserve">   수제품 제조업</t>
  </si>
  <si>
    <t xml:space="preserve">   기타제조업</t>
  </si>
  <si>
    <t>2. 제조업</t>
  </si>
  <si>
    <t xml:space="preserve">   식료품제조업</t>
  </si>
  <si>
    <t>4. 건설업</t>
  </si>
  <si>
    <t xml:space="preserve">   담배제조업</t>
  </si>
  <si>
    <t>5. 운수창고 및 통신업</t>
  </si>
  <si>
    <t xml:space="preserve">   섬유 또는 섬유제품제조업(갑)</t>
  </si>
  <si>
    <t xml:space="preserve">   철도궤도 및 삭도운수업</t>
  </si>
  <si>
    <t xml:space="preserve">   섬유 또는 섬유제품제조업(을)</t>
  </si>
  <si>
    <t xml:space="preserve">   자동차여객운수업</t>
  </si>
  <si>
    <t xml:space="preserve">   제재 및 베니어판 제조업</t>
  </si>
  <si>
    <t xml:space="preserve">   화물자동차운수업</t>
  </si>
  <si>
    <t xml:space="preserve">   목재품 제조업</t>
  </si>
  <si>
    <t xml:space="preserve">   수상운수업, 항만하역 및 화물취급사업</t>
  </si>
  <si>
    <t xml:space="preserve">   항공운수업</t>
  </si>
  <si>
    <t xml:space="preserve">   운수관련 서비스업</t>
  </si>
  <si>
    <t xml:space="preserve">   인쇄업</t>
  </si>
  <si>
    <t xml:space="preserve">   창고업</t>
  </si>
  <si>
    <t xml:space="preserve">   화학제품 제조업</t>
  </si>
  <si>
    <t xml:space="preserve">   통신업</t>
  </si>
  <si>
    <t xml:space="preserve">   의약품 및 화장품 향료 제조업</t>
  </si>
  <si>
    <t>6. 임  업</t>
  </si>
  <si>
    <t xml:space="preserve">   코크스 및 석탄가스 제조업</t>
  </si>
  <si>
    <t xml:space="preserve">   고무제품 제조업</t>
  </si>
  <si>
    <t xml:space="preserve">   도자기제품 제조업</t>
  </si>
  <si>
    <t>7. 어  업</t>
  </si>
  <si>
    <t xml:space="preserve">   유리 제조업</t>
  </si>
  <si>
    <t>8. 농  업</t>
  </si>
  <si>
    <t xml:space="preserve">   요업 또는 토석제품 제조업</t>
  </si>
  <si>
    <t>9. 기타의사업</t>
  </si>
  <si>
    <t xml:space="preserve">   시멘트 제조업</t>
  </si>
  <si>
    <t xml:space="preserve">   농수산물위탁판매업</t>
  </si>
  <si>
    <t xml:space="preserve">   건물등의 종합관리사업</t>
  </si>
  <si>
    <t xml:space="preserve">   금속제련업</t>
  </si>
  <si>
    <t xml:space="preserve">   위생 및 유사서비스업</t>
  </si>
  <si>
    <t xml:space="preserve">   금속재료품 제조업</t>
  </si>
  <si>
    <t xml:space="preserve">   도금업</t>
  </si>
  <si>
    <t xml:space="preserve">   골프장 및 경마장운영업</t>
  </si>
  <si>
    <t xml:space="preserve">   기계기구 제조업</t>
  </si>
  <si>
    <t xml:space="preserve">   기타의 각종사업</t>
  </si>
  <si>
    <t xml:space="preserve">   전기기계기구 제조업</t>
  </si>
  <si>
    <t>10. 금융보험업</t>
  </si>
  <si>
    <t>복리후생비집계표</t>
    <phoneticPr fontId="7" type="noConversion"/>
  </si>
  <si>
    <t>수 량</t>
    <phoneticPr fontId="7" type="noConversion"/>
  </si>
  <si>
    <t>단  가</t>
  </si>
  <si>
    <t>비        고</t>
  </si>
  <si>
    <t>일반관리비산출표</t>
    <phoneticPr fontId="21" type="noConversion"/>
  </si>
  <si>
    <t>구  분</t>
    <phoneticPr fontId="7" type="noConversion"/>
  </si>
  <si>
    <t>적용직종명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</si>
  <si>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</si>
  <si>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</si>
  <si>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</si>
  <si>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</si>
  <si>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이윤비율표</t>
    <phoneticPr fontId="21" type="noConversion"/>
  </si>
  <si>
    <t>구          분</t>
    <phoneticPr fontId="7" type="noConversion"/>
  </si>
  <si>
    <t>회계예규
기준비율(%)</t>
    <phoneticPr fontId="7" type="noConversion"/>
  </si>
  <si>
    <t>조사적용
비율(%)</t>
    <phoneticPr fontId="7" type="noConversion"/>
  </si>
  <si>
    <t>비       고</t>
    <phoneticPr fontId="19" type="noConversion"/>
  </si>
  <si>
    <t>시설공사</t>
    <phoneticPr fontId="19" type="noConversion"/>
  </si>
  <si>
    <t>제조,구매</t>
    <phoneticPr fontId="7" type="noConversion"/>
  </si>
  <si>
    <t>용역</t>
    <phoneticPr fontId="7" type="noConversion"/>
  </si>
  <si>
    <t>수입물품의구입</t>
    <phoneticPr fontId="7" type="noConversion"/>
  </si>
  <si>
    <t xml:space="preserve">    </t>
    <phoneticPr fontId="7" type="noConversion"/>
  </si>
  <si>
    <t>이윤산출표</t>
    <phoneticPr fontId="21" type="noConversion"/>
  </si>
  <si>
    <t>구  분</t>
    <phoneticPr fontId="7" type="noConversion"/>
  </si>
  <si>
    <t>적용직종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</si>
  <si>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</si>
  <si>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</si>
  <si>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</si>
  <si>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</si>
  <si>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일반관리비</t>
    <phoneticPr fontId="7" type="noConversion"/>
  </si>
  <si>
    <t>계</t>
    <phoneticPr fontId="7" type="noConversion"/>
  </si>
  <si>
    <t>주 1)</t>
    <phoneticPr fontId="7" type="noConversion"/>
  </si>
  <si>
    <t>주 2)</t>
    <phoneticPr fontId="7" type="noConversion"/>
  </si>
  <si>
    <t>주 3)</t>
    <phoneticPr fontId="7" type="noConversion"/>
  </si>
  <si>
    <t>주 4)</t>
    <phoneticPr fontId="7" type="noConversion"/>
  </si>
  <si>
    <t>비    목</t>
    <phoneticPr fontId="7" type="noConversion"/>
  </si>
  <si>
    <t xml:space="preserve">   2) 단가 : 시중유통거래가격 참조</t>
    <phoneticPr fontId="7" type="noConversion"/>
  </si>
  <si>
    <t>산업재해보상보험요율</t>
  </si>
  <si>
    <t>사   업   종   류</t>
  </si>
  <si>
    <t xml:space="preserve">   계량기.광학기계.기타 정밀기구 제조업</t>
  </si>
  <si>
    <t>3. 전기·가스 및 상수도업</t>
  </si>
  <si>
    <t xml:space="preserve">   어업</t>
  </si>
  <si>
    <t xml:space="preserve">   양식어업 및 어업관련서비스업</t>
  </si>
  <si>
    <t xml:space="preserve">   보건 및 사회복지사업</t>
  </si>
  <si>
    <t xml:space="preserve">   교육서비스업</t>
  </si>
  <si>
    <t xml:space="preserve">   전자제품 제조업</t>
  </si>
  <si>
    <t>계</t>
    <phoneticPr fontId="5" type="noConversion"/>
  </si>
  <si>
    <t>M/M당
기본급</t>
    <phoneticPr fontId="6" type="noConversion"/>
  </si>
  <si>
    <t>관  련  법  규</t>
    <phoneticPr fontId="7" type="noConversion"/>
  </si>
  <si>
    <t>순용역원가</t>
    <phoneticPr fontId="6" type="noConversion"/>
  </si>
  <si>
    <t>소요
인원</t>
    <phoneticPr fontId="7" type="noConversion"/>
  </si>
  <si>
    <t>단위 : 원</t>
    <phoneticPr fontId="5" type="noConversion"/>
  </si>
  <si>
    <t xml:space="preserve">   3) 월간용역비 : 소요인원 × 단위(1인)당용역비</t>
    <phoneticPr fontId="5" type="noConversion"/>
  </si>
  <si>
    <t>고용보험료</t>
  </si>
  <si>
    <t>비       목</t>
    <phoneticPr fontId="7" type="noConversion"/>
  </si>
  <si>
    <t>관  련  법  규</t>
    <phoneticPr fontId="7" type="noConversion"/>
  </si>
  <si>
    <t>산         정         기         준</t>
    <phoneticPr fontId="7" type="noConversion"/>
  </si>
  <si>
    <t>적  용  방  법</t>
    <phoneticPr fontId="7" type="noConversion"/>
  </si>
  <si>
    <t>비 고</t>
    <phoneticPr fontId="7" type="noConversion"/>
  </si>
  <si>
    <t>보
험
료</t>
    <phoneticPr fontId="7" type="noConversion"/>
  </si>
  <si>
    <t>산재보험료</t>
    <phoneticPr fontId="7" type="noConversion"/>
  </si>
  <si>
    <t>고용보험및산업재해보상보험의
 보험료징수등에관한법률 제14조</t>
    <phoneticPr fontId="5" type="noConversion"/>
  </si>
  <si>
    <t>(기본급+제수당+상여금)×4.5%</t>
    <phoneticPr fontId="7" type="noConversion"/>
  </si>
  <si>
    <t>보험료산정기준표</t>
    <phoneticPr fontId="16" type="noConversion"/>
  </si>
  <si>
    <t>근로기준법 제60조</t>
    <phoneticPr fontId="7" type="noConversion"/>
  </si>
  <si>
    <t>근로기준법 제56조</t>
    <phoneticPr fontId="7" type="noConversion"/>
  </si>
  <si>
    <t>국민건강보험법 제65조</t>
    <phoneticPr fontId="5" type="noConversion"/>
  </si>
  <si>
    <t>인
건
비</t>
    <phoneticPr fontId="6" type="noConversion"/>
  </si>
  <si>
    <t>인
건
비</t>
    <phoneticPr fontId="6" type="noConversion"/>
  </si>
  <si>
    <t>비율
(%)</t>
    <phoneticPr fontId="18" type="noConversion"/>
  </si>
  <si>
    <t>구  분</t>
    <phoneticPr fontId="7" type="noConversion"/>
  </si>
  <si>
    <t>주 1)</t>
    <phoneticPr fontId="7" type="noConversion"/>
  </si>
  <si>
    <t>휴일근로수당</t>
  </si>
  <si>
    <t>비  고</t>
    <phoneticPr fontId="7" type="noConversion"/>
  </si>
  <si>
    <t>보험료산출표</t>
    <phoneticPr fontId="15" type="noConversion"/>
  </si>
  <si>
    <t>경
비</t>
    <phoneticPr fontId="6" type="noConversion"/>
  </si>
  <si>
    <t>주 3)</t>
    <phoneticPr fontId="5" type="noConversion"/>
  </si>
  <si>
    <t xml:space="preserve"> 구      분</t>
    <phoneticPr fontId="7" type="noConversion"/>
  </si>
  <si>
    <t xml:space="preserve"> 비      목</t>
    <phoneticPr fontId="7" type="noConversion"/>
  </si>
  <si>
    <t>기    본    급</t>
    <phoneticPr fontId="6" type="noConversion"/>
  </si>
  <si>
    <t>상       여       금</t>
    <phoneticPr fontId="7" type="noConversion"/>
  </si>
  <si>
    <t>계</t>
    <phoneticPr fontId="7" type="noConversion"/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</si>
  <si>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</si>
  <si>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</si>
  <si>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</si>
  <si>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</si>
  <si>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</si>
  <si>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>노인장기요양보험법 제9조</t>
    <phoneticPr fontId="5" type="noConversion"/>
  </si>
  <si>
    <t>임금채권보장법 제9조</t>
    <phoneticPr fontId="7" type="noConversion"/>
  </si>
  <si>
    <t>보험요율</t>
  </si>
  <si>
    <t xml:space="preserve">   자동차 및 모터사이클 수리업</t>
  </si>
  <si>
    <t xml:space="preserve">   펄프.지류제조업 및 제본 또는
   인쇄물 가공업</t>
  </si>
  <si>
    <t xml:space="preserve">   신문.화폐발행, 출판업 및 경인쇄업</t>
  </si>
  <si>
    <t xml:space="preserve">   연탄 및 응집고제 연료생산업</t>
    <phoneticPr fontId="5" type="noConversion"/>
  </si>
  <si>
    <t xml:space="preserve">   비금속광물제품 및 금속제품
   제조업 또는 금속가공업</t>
  </si>
  <si>
    <t xml:space="preserve">   전문기술서비스업</t>
  </si>
  <si>
    <t>※ 해외파견자 : 18/1000</t>
  </si>
  <si>
    <t>(기본급+제수당+상여금)×2.1%</t>
    <phoneticPr fontId="7" type="noConversion"/>
  </si>
  <si>
    <t>휴일근로수당</t>
    <phoneticPr fontId="5" type="noConversion"/>
  </si>
  <si>
    <t>회계예규에 의거
기본급의 년 400%적용</t>
    <phoneticPr fontId="7" type="noConversion"/>
  </si>
  <si>
    <t>경
비</t>
    <phoneticPr fontId="6" type="noConversion"/>
  </si>
  <si>
    <t>M/D당
임율</t>
    <phoneticPr fontId="6" type="noConversion"/>
  </si>
  <si>
    <t>월근무
일수</t>
    <phoneticPr fontId="6" type="noConversion"/>
  </si>
  <si>
    <t>노인장기요양보험료</t>
    <phoneticPr fontId="5" type="noConversion"/>
  </si>
  <si>
    <t>적용직종명</t>
    <phoneticPr fontId="7" type="noConversion"/>
  </si>
  <si>
    <t>금  액</t>
    <phoneticPr fontId="7" type="noConversion"/>
  </si>
  <si>
    <t>주 1)</t>
    <phoneticPr fontId="5" type="noConversion"/>
  </si>
  <si>
    <t>주 3)</t>
    <phoneticPr fontId="7" type="noConversion"/>
  </si>
  <si>
    <t>적용대상액
(급여액)</t>
    <phoneticPr fontId="7" type="noConversion"/>
  </si>
  <si>
    <t>비    고</t>
    <phoneticPr fontId="7" type="noConversion"/>
  </si>
  <si>
    <t>주 2)</t>
    <phoneticPr fontId="7" type="noConversion"/>
  </si>
  <si>
    <t>비  고</t>
    <phoneticPr fontId="5" type="noConversion"/>
  </si>
  <si>
    <t>구      분</t>
    <phoneticPr fontId="5" type="noConversion"/>
  </si>
  <si>
    <t>적용직종명</t>
    <phoneticPr fontId="5" type="noConversion"/>
  </si>
  <si>
    <t>식대</t>
    <phoneticPr fontId="5" type="noConversion"/>
  </si>
  <si>
    <t>구분</t>
    <phoneticPr fontId="7" type="noConversion"/>
  </si>
  <si>
    <t>적용직종명</t>
    <phoneticPr fontId="7" type="noConversion"/>
  </si>
  <si>
    <t>담당업무</t>
    <phoneticPr fontId="5" type="noConversion"/>
  </si>
  <si>
    <t>노인장기요양보험료</t>
    <phoneticPr fontId="5" type="noConversion"/>
  </si>
  <si>
    <t>제
수
당</t>
    <phoneticPr fontId="7" type="noConversion"/>
  </si>
  <si>
    <t>직책수당</t>
    <phoneticPr fontId="5" type="noConversion"/>
  </si>
  <si>
    <t>제
수
당</t>
    <phoneticPr fontId="6" type="noConversion"/>
  </si>
  <si>
    <t>기
타</t>
    <phoneticPr fontId="7" type="noConversion"/>
  </si>
  <si>
    <t>교육비</t>
    <phoneticPr fontId="7" type="noConversion"/>
  </si>
  <si>
    <t>교육비산출표</t>
    <phoneticPr fontId="21" type="noConversion"/>
  </si>
  <si>
    <t>적용
개월수</t>
    <phoneticPr fontId="18" type="noConversion"/>
  </si>
  <si>
    <t>년간비용</t>
    <phoneticPr fontId="7" type="noConversion"/>
  </si>
  <si>
    <t>월간비용</t>
    <phoneticPr fontId="7" type="noConversion"/>
  </si>
  <si>
    <t>주 6)</t>
    <phoneticPr fontId="7" type="noConversion"/>
  </si>
  <si>
    <t>주 7)</t>
  </si>
  <si>
    <t xml:space="preserve">   5) 직책수당 : 적용직종별 등급을 감안</t>
    <phoneticPr fontId="5" type="noConversion"/>
  </si>
  <si>
    <t xml:space="preserve">   3) 금액 : 천원미만 절사</t>
    <phoneticPr fontId="5" type="noConversion"/>
  </si>
  <si>
    <t>비    고</t>
    <phoneticPr fontId="6" type="noConversion"/>
  </si>
  <si>
    <t>구           분</t>
    <phoneticPr fontId="15" type="noConversion"/>
  </si>
  <si>
    <t>계</t>
    <phoneticPr fontId="15" type="noConversion"/>
  </si>
  <si>
    <t>순용역원가 + 일반관리비 + 이윤</t>
    <phoneticPr fontId="5" type="noConversion"/>
  </si>
  <si>
    <t>순용역원가 + 일반관리비 + 이윤</t>
    <phoneticPr fontId="5" type="noConversion"/>
  </si>
  <si>
    <t xml:space="preserve">                    월근로시간 = {(40시간(월~금)+8시간(일요일))÷7일}×(365일/12개월) = 209시간</t>
    <phoneticPr fontId="5" type="noConversion"/>
  </si>
  <si>
    <t>주) 년간비용 : 적용대상자별 직무교육에 필요한 교육비용 적용</t>
    <phoneticPr fontId="7" type="noConversion"/>
  </si>
  <si>
    <t>단위 : 원/월</t>
    <phoneticPr fontId="5" type="noConversion"/>
  </si>
  <si>
    <t>시
설</t>
    <phoneticPr fontId="5" type="noConversion"/>
  </si>
  <si>
    <t xml:space="preserve">&lt; 표 : 1 &gt; </t>
    <phoneticPr fontId="6" type="noConversion"/>
  </si>
  <si>
    <t>인건비 + 경비</t>
    <phoneticPr fontId="7" type="noConversion"/>
  </si>
  <si>
    <t>단위 : 시간</t>
    <phoneticPr fontId="7" type="noConversion"/>
  </si>
  <si>
    <t>기본</t>
    <phoneticPr fontId="5" type="noConversion"/>
  </si>
  <si>
    <t>휴일</t>
    <phoneticPr fontId="5" type="noConversion"/>
  </si>
  <si>
    <t>주당연장
근로시간</t>
    <phoneticPr fontId="7" type="noConversion"/>
  </si>
  <si>
    <t>월간주수</t>
    <phoneticPr fontId="7" type="noConversion"/>
  </si>
  <si>
    <t>월간연장
근로시간</t>
    <phoneticPr fontId="7" type="noConversion"/>
  </si>
  <si>
    <t>근무시간</t>
    <phoneticPr fontId="7" type="noConversion"/>
  </si>
  <si>
    <t>주 1) 주당연장근로시간 : 근로기준법 제 53조에 의거</t>
    <phoneticPr fontId="7" type="noConversion"/>
  </si>
  <si>
    <t xml:space="preserve">   2) 월간주수 : 365일/년 ÷ 7일/주 ÷ 12개월</t>
    <phoneticPr fontId="7" type="noConversion"/>
  </si>
  <si>
    <t xml:space="preserve">   3) 월간연장근로시간 : 주당연장근로시간 × 월간주수</t>
    <phoneticPr fontId="7" type="noConversion"/>
  </si>
  <si>
    <t>휴일
근로시간</t>
    <phoneticPr fontId="7" type="noConversion"/>
  </si>
  <si>
    <t>월간휴일
근로시간</t>
    <phoneticPr fontId="7" type="noConversion"/>
  </si>
  <si>
    <t>주 1) 휴일근로시간 : 일 근로기본시간 8시간 적용</t>
    <phoneticPr fontId="7" type="noConversion"/>
  </si>
  <si>
    <t xml:space="preserve">   3) 월간휴일근로시간 : 휴일근로시간 × 월간주수</t>
    <phoneticPr fontId="7" type="noConversion"/>
  </si>
  <si>
    <t>연장근로시간산출표</t>
    <phoneticPr fontId="15" type="noConversion"/>
  </si>
  <si>
    <t>휴일근로시간산출표</t>
    <phoneticPr fontId="15" type="noConversion"/>
  </si>
  <si>
    <t xml:space="preserve">                    월근로시간 = {(40시간(월~금)+8시간(일요일))÷7일}×(365일/12개월) = 209시간</t>
    <phoneticPr fontId="5" type="noConversion"/>
  </si>
  <si>
    <t xml:space="preserve">&lt; 표 : 22 &gt; </t>
    <phoneticPr fontId="7" type="noConversion"/>
  </si>
  <si>
    <t>주 1)</t>
    <phoneticPr fontId="7" type="noConversion"/>
  </si>
  <si>
    <t>합계</t>
    <phoneticPr fontId="6" type="noConversion"/>
  </si>
  <si>
    <t>합계</t>
    <phoneticPr fontId="6" type="noConversion"/>
  </si>
  <si>
    <t>부가가치세(10%)</t>
    <phoneticPr fontId="6" type="noConversion"/>
  </si>
  <si>
    <t>총계</t>
    <phoneticPr fontId="6" type="noConversion"/>
  </si>
  <si>
    <t>부가가치세(10%)</t>
    <phoneticPr fontId="5" type="noConversion"/>
  </si>
  <si>
    <t>합계 × 10%</t>
    <phoneticPr fontId="5" type="noConversion"/>
  </si>
  <si>
    <t>총계</t>
    <phoneticPr fontId="5" type="noConversion"/>
  </si>
  <si>
    <t>합계 + 부가가치세</t>
    <phoneticPr fontId="5" type="noConversion"/>
  </si>
  <si>
    <t>합계</t>
    <phoneticPr fontId="6" type="noConversion"/>
  </si>
  <si>
    <t>비        고</t>
    <phoneticPr fontId="5" type="noConversion"/>
  </si>
  <si>
    <t xml:space="preserve">&lt; 표 : 19 &gt; </t>
    <phoneticPr fontId="7" type="noConversion"/>
  </si>
  <si>
    <t>복리
후생비</t>
    <phoneticPr fontId="7" type="noConversion"/>
  </si>
  <si>
    <t>용역원가집계표</t>
    <phoneticPr fontId="6" type="noConversion"/>
  </si>
  <si>
    <t>용역원가계산서</t>
    <phoneticPr fontId="6" type="noConversion"/>
  </si>
  <si>
    <t>직종별원가계산서</t>
    <phoneticPr fontId="5" type="noConversion"/>
  </si>
  <si>
    <t>직종별원가계산서</t>
    <phoneticPr fontId="5" type="noConversion"/>
  </si>
  <si>
    <t xml:space="preserve">&lt; 표 : 2 &gt; </t>
    <phoneticPr fontId="6" type="noConversion"/>
  </si>
  <si>
    <t xml:space="preserve">&lt; 표 : 3 &gt; </t>
    <phoneticPr fontId="6" type="noConversion"/>
  </si>
  <si>
    <t xml:space="preserve">&lt; 표 : 4 &gt; </t>
    <phoneticPr fontId="6" type="noConversion"/>
  </si>
  <si>
    <t xml:space="preserve">&lt; 표 : 5 &gt; </t>
    <phoneticPr fontId="13" type="noConversion"/>
  </si>
  <si>
    <t xml:space="preserve">&lt; 표 : 6 &gt; </t>
    <phoneticPr fontId="7" type="noConversion"/>
  </si>
  <si>
    <t xml:space="preserve">&lt; 표 : 7 &gt; </t>
    <phoneticPr fontId="7" type="noConversion"/>
  </si>
  <si>
    <t xml:space="preserve">&lt; 표 : 8 &gt; </t>
    <phoneticPr fontId="6" type="noConversion"/>
  </si>
  <si>
    <t xml:space="preserve"> 시행령 제12조 법제14조1항의 규정에 의한 고용보험료율은 다음 각호와 같다.
 1. 고용안정. 직업능력개발사업의 보험료율은 다음 각 목의 구분에 따른 보험료율
   가. 상시근로자수가 150인 미만의 사업주의 사업 : 1만분의 25
   나. 상시근로자수가 150인 이상의 사업주의 사업으로서 "고용보험법시행령" 제12조에
       따른 우선지원 대상기업의 범위에 해당하는 사업 : 1만분의 45
   다. 상시근로자수가 150인 이상 1천인 미만인 사업주의 사업으로서 
       나목에 해당하지 아니하는 사업 : 1만분의 65
   라. 상시근로자수가 1천인 이상인 사업주의 사업으로서 나목에 해당하지 아니하는 
       사업 및 국가ㆍ지방자치단체가 직접 행하는 사업 : 1만분의 85
 2. 실업급여의 보험율 : 1천분의 9(사업주 부담 0.45%)
 * 산출식 : 0.25%(고용안정.직업능력개발사업요율)+0.45%(실업급여의 보험율)</t>
    <phoneticPr fontId="7" type="noConversion"/>
  </si>
  <si>
    <t>(기본급+제수당+상여금)×0.7%</t>
    <phoneticPr fontId="7" type="noConversion"/>
  </si>
  <si>
    <t>주당 최초4시간</t>
    <phoneticPr fontId="7" type="noConversion"/>
  </si>
  <si>
    <t>주당 연장근로시간</t>
    <phoneticPr fontId="7" type="noConversion"/>
  </si>
  <si>
    <t>근무시간</t>
    <phoneticPr fontId="7" type="noConversion"/>
  </si>
  <si>
    <t xml:space="preserve">&lt; 표 : 17 &gt; </t>
    <phoneticPr fontId="7" type="noConversion"/>
  </si>
  <si>
    <t xml:space="preserve">&lt; 표 : 18 &gt; </t>
    <phoneticPr fontId="7" type="noConversion"/>
  </si>
  <si>
    <t xml:space="preserve">&lt; 표 : 11 &gt; </t>
    <phoneticPr fontId="8" type="noConversion"/>
  </si>
  <si>
    <t xml:space="preserve">&lt; 표 : 12 &gt; </t>
    <phoneticPr fontId="13" type="noConversion"/>
  </si>
  <si>
    <t xml:space="preserve">&lt; 표 : 13 &gt; </t>
    <phoneticPr fontId="16" type="noConversion"/>
  </si>
  <si>
    <t xml:space="preserve">&lt; 표 : 14 &gt; </t>
    <phoneticPr fontId="7" type="noConversion"/>
  </si>
  <si>
    <t xml:space="preserve">&lt; 표 : 15 &gt; </t>
    <phoneticPr fontId="8" type="noConversion"/>
  </si>
  <si>
    <t xml:space="preserve">&lt; 표 : 16 &gt; </t>
    <phoneticPr fontId="7" type="noConversion"/>
  </si>
  <si>
    <t xml:space="preserve">&lt; 표 : 21 &gt; </t>
    <phoneticPr fontId="7" type="noConversion"/>
  </si>
  <si>
    <r>
      <t xml:space="preserve">   5) 년간용역비 : 월간용역비 × 적용개월수</t>
    </r>
    <r>
      <rPr>
        <sz val="10"/>
        <rFont val="바탕체"/>
        <family val="1"/>
        <charset val="129"/>
      </rPr>
      <t xml:space="preserve"> (천단위미만 절사)</t>
    </r>
    <phoneticPr fontId="5" type="noConversion"/>
  </si>
  <si>
    <t>지방소득세(종업원분)산출표</t>
    <phoneticPr fontId="21" type="noConversion"/>
  </si>
  <si>
    <t>(단위 : 1000분율)</t>
    <phoneticPr fontId="5" type="noConversion"/>
  </si>
  <si>
    <r>
      <t>2</t>
    </r>
    <r>
      <rPr>
        <sz val="10"/>
        <rFont val="바탕체"/>
        <family val="1"/>
        <charset val="129"/>
      </rPr>
      <t>5</t>
    </r>
    <phoneticPr fontId="5" type="noConversion"/>
  </si>
  <si>
    <r>
      <t>2</t>
    </r>
    <r>
      <rPr>
        <sz val="10"/>
        <rFont val="바탕체"/>
        <family val="1"/>
        <charset val="129"/>
      </rPr>
      <t>36</t>
    </r>
    <phoneticPr fontId="5" type="noConversion"/>
  </si>
  <si>
    <r>
      <t>2</t>
    </r>
    <r>
      <rPr>
        <sz val="10"/>
        <rFont val="바탕체"/>
        <family val="1"/>
        <charset val="129"/>
      </rPr>
      <t>33</t>
    </r>
    <phoneticPr fontId="5" type="noConversion"/>
  </si>
  <si>
    <r>
      <t>2</t>
    </r>
    <r>
      <rPr>
        <sz val="10"/>
        <rFont val="바탕체"/>
        <family val="1"/>
        <charset val="129"/>
      </rPr>
      <t>2</t>
    </r>
    <phoneticPr fontId="5" type="noConversion"/>
  </si>
  <si>
    <r>
      <t>6</t>
    </r>
    <r>
      <rPr>
        <sz val="10"/>
        <rFont val="바탕체"/>
        <family val="1"/>
        <charset val="129"/>
      </rPr>
      <t>8</t>
    </r>
    <phoneticPr fontId="5" type="noConversion"/>
  </si>
  <si>
    <r>
      <t>1</t>
    </r>
    <r>
      <rPr>
        <sz val="10"/>
        <rFont val="바탕체"/>
        <family val="1"/>
        <charset val="129"/>
      </rPr>
      <t>1</t>
    </r>
    <phoneticPr fontId="5" type="noConversion"/>
  </si>
  <si>
    <r>
      <t>2</t>
    </r>
    <r>
      <rPr>
        <sz val="10"/>
        <rFont val="바탕체"/>
        <family val="1"/>
        <charset val="129"/>
      </rPr>
      <t>9</t>
    </r>
    <phoneticPr fontId="5" type="noConversion"/>
  </si>
  <si>
    <r>
      <t>7</t>
    </r>
    <r>
      <rPr>
        <sz val="10"/>
        <rFont val="바탕체"/>
        <family val="1"/>
        <charset val="129"/>
      </rPr>
      <t>2</t>
    </r>
    <phoneticPr fontId="5" type="noConversion"/>
  </si>
  <si>
    <r>
      <t>3</t>
    </r>
    <r>
      <rPr>
        <sz val="10"/>
        <rFont val="바탕체"/>
        <family val="1"/>
        <charset val="129"/>
      </rPr>
      <t>2</t>
    </r>
    <phoneticPr fontId="5" type="noConversion"/>
  </si>
  <si>
    <r>
      <t>2</t>
    </r>
    <r>
      <rPr>
        <sz val="10"/>
        <rFont val="바탕체"/>
        <family val="1"/>
        <charset val="129"/>
      </rPr>
      <t>3</t>
    </r>
    <phoneticPr fontId="5" type="noConversion"/>
  </si>
  <si>
    <r>
      <t>3</t>
    </r>
    <r>
      <rPr>
        <sz val="10"/>
        <rFont val="바탕체"/>
        <family val="1"/>
        <charset val="129"/>
      </rPr>
      <t>7</t>
    </r>
    <phoneticPr fontId="5" type="noConversion"/>
  </si>
  <si>
    <t>9</t>
    <phoneticPr fontId="5" type="noConversion"/>
  </si>
  <si>
    <r>
      <t>1</t>
    </r>
    <r>
      <rPr>
        <sz val="10"/>
        <rFont val="바탕체"/>
        <family val="1"/>
        <charset val="129"/>
      </rPr>
      <t>5</t>
    </r>
    <phoneticPr fontId="5" type="noConversion"/>
  </si>
  <si>
    <t>8</t>
    <phoneticPr fontId="5" type="noConversion"/>
  </si>
  <si>
    <r>
      <t>7</t>
    </r>
    <r>
      <rPr>
        <sz val="10"/>
        <rFont val="바탕체"/>
        <family val="1"/>
        <charset val="129"/>
      </rPr>
      <t>6</t>
    </r>
    <phoneticPr fontId="5" type="noConversion"/>
  </si>
  <si>
    <r>
      <t>7</t>
    </r>
    <r>
      <rPr>
        <sz val="10"/>
        <rFont val="바탕체"/>
        <family val="1"/>
        <charset val="129"/>
      </rPr>
      <t>4</t>
    </r>
    <phoneticPr fontId="5" type="noConversion"/>
  </si>
  <si>
    <r>
      <t>3</t>
    </r>
    <r>
      <rPr>
        <sz val="10"/>
        <rFont val="바탕체"/>
        <family val="1"/>
        <charset val="129"/>
      </rPr>
      <t>4</t>
    </r>
    <phoneticPr fontId="5" type="noConversion"/>
  </si>
  <si>
    <r>
      <t>2</t>
    </r>
    <r>
      <rPr>
        <sz val="10"/>
        <rFont val="바탕체"/>
        <family val="1"/>
        <charset val="129"/>
      </rPr>
      <t>7</t>
    </r>
    <phoneticPr fontId="5" type="noConversion"/>
  </si>
  <si>
    <t>7</t>
    <phoneticPr fontId="5" type="noConversion"/>
  </si>
  <si>
    <r>
      <t>6</t>
    </r>
    <r>
      <rPr>
        <sz val="10"/>
        <rFont val="바탕체"/>
        <family val="1"/>
        <charset val="129"/>
      </rPr>
      <t>6</t>
    </r>
    <phoneticPr fontId="5" type="noConversion"/>
  </si>
  <si>
    <r>
      <t>8</t>
    </r>
    <r>
      <rPr>
        <sz val="10"/>
        <rFont val="바탕체"/>
        <family val="1"/>
        <charset val="129"/>
      </rPr>
      <t>4</t>
    </r>
    <phoneticPr fontId="5" type="noConversion"/>
  </si>
  <si>
    <r>
      <t>2</t>
    </r>
    <r>
      <rPr>
        <sz val="10"/>
        <rFont val="바탕체"/>
        <family val="1"/>
        <charset val="129"/>
      </rPr>
      <t>86</t>
    </r>
    <phoneticPr fontId="5" type="noConversion"/>
  </si>
  <si>
    <r>
      <t>2</t>
    </r>
    <r>
      <rPr>
        <sz val="10"/>
        <rFont val="바탕체"/>
        <family val="1"/>
        <charset val="129"/>
      </rPr>
      <t>6</t>
    </r>
    <phoneticPr fontId="5" type="noConversion"/>
  </si>
  <si>
    <r>
      <t>1</t>
    </r>
    <r>
      <rPr>
        <sz val="10"/>
        <rFont val="바탕체"/>
        <family val="1"/>
        <charset val="129"/>
      </rPr>
      <t>2</t>
    </r>
    <phoneticPr fontId="5" type="noConversion"/>
  </si>
  <si>
    <r>
      <t>2</t>
    </r>
    <r>
      <rPr>
        <sz val="10"/>
        <rFont val="바탕체"/>
        <family val="1"/>
        <charset val="129"/>
      </rPr>
      <t>8</t>
    </r>
    <phoneticPr fontId="5" type="noConversion"/>
  </si>
  <si>
    <r>
      <t>2</t>
    </r>
    <r>
      <rPr>
        <sz val="10"/>
        <rFont val="바탕체"/>
        <family val="1"/>
        <charset val="129"/>
      </rPr>
      <t>4</t>
    </r>
    <phoneticPr fontId="5" type="noConversion"/>
  </si>
  <si>
    <t>6</t>
    <phoneticPr fontId="5" type="noConversion"/>
  </si>
  <si>
    <r>
      <t>4</t>
    </r>
    <r>
      <rPr>
        <sz val="10"/>
        <rFont val="바탕체"/>
        <family val="1"/>
        <charset val="129"/>
      </rPr>
      <t>2</t>
    </r>
    <phoneticPr fontId="5" type="noConversion"/>
  </si>
  <si>
    <r>
      <t>주) 노동부 고시 제200</t>
    </r>
    <r>
      <rPr>
        <sz val="10"/>
        <rFont val="바탕체"/>
        <family val="1"/>
        <charset val="129"/>
      </rPr>
      <t>9</t>
    </r>
    <r>
      <rPr>
        <sz val="10"/>
        <rFont val="바탕체"/>
        <family val="1"/>
        <charset val="129"/>
      </rPr>
      <t>-</t>
    </r>
    <r>
      <rPr>
        <sz val="10"/>
        <rFont val="바탕체"/>
        <family val="1"/>
        <charset val="129"/>
      </rPr>
      <t>79</t>
    </r>
    <r>
      <rPr>
        <sz val="10"/>
        <rFont val="바탕체"/>
        <family val="1"/>
        <charset val="129"/>
      </rPr>
      <t>호(20</t>
    </r>
    <r>
      <rPr>
        <sz val="10"/>
        <rFont val="바탕체"/>
        <family val="1"/>
        <charset val="129"/>
      </rPr>
      <t>10</t>
    </r>
    <r>
      <rPr>
        <sz val="10"/>
        <rFont val="바탕체"/>
        <family val="1"/>
        <charset val="129"/>
      </rPr>
      <t>년 1월 1일부터 시행)</t>
    </r>
    <phoneticPr fontId="5" type="noConversion"/>
  </si>
  <si>
    <t>노동부 고시 제2009-79호(2010년 1월 1일부터 시행)</t>
    <phoneticPr fontId="7" type="noConversion"/>
  </si>
  <si>
    <t xml:space="preserve">사업장가입자의 연금보험료중 기여금은 사업장가입자 본인이, 부담금은 사용자가
 부담하되, 그 금액은 각각 표준소득월액의 1천분의 45에 해당하는 금액으로 한다. </t>
    <phoneticPr fontId="5" type="noConversion"/>
  </si>
  <si>
    <t>고용보험및산업재해보상보험의보험료징수등
 에관한법률 제14조 1항, 시행령 제12조</t>
    <phoneticPr fontId="7" type="noConversion"/>
  </si>
  <si>
    <r>
      <t xml:space="preserve">   2) 비율(%) : 지방세법 제101</t>
    </r>
    <r>
      <rPr>
        <sz val="10"/>
        <rFont val="바탕체"/>
        <family val="1"/>
        <charset val="129"/>
      </rPr>
      <t>조 면세점(해당</t>
    </r>
    <r>
      <rPr>
        <sz val="10"/>
        <rFont val="바탕체"/>
        <family val="1"/>
        <charset val="129"/>
      </rPr>
      <t xml:space="preserve"> </t>
    </r>
    <r>
      <rPr>
        <sz val="10"/>
        <rFont val="바탕체"/>
        <family val="1"/>
        <charset val="129"/>
      </rPr>
      <t>사업소의</t>
    </r>
    <r>
      <rPr>
        <sz val="10"/>
        <rFont val="바탕체"/>
        <family val="1"/>
        <charset val="129"/>
      </rPr>
      <t xml:space="preserve"> 종업원수가 50명 이하인 경우에는 
                종업원분을 부과하지 아니한다.</t>
    </r>
    <r>
      <rPr>
        <sz val="10"/>
        <rFont val="바탕체"/>
        <family val="1"/>
        <charset val="129"/>
      </rPr>
      <t>)</t>
    </r>
    <phoneticPr fontId="7" type="noConversion"/>
  </si>
  <si>
    <t>주) 지방자치단체 원가계산 및 예정가격 작성요령(행정안전부예규 제293호, 2010.1.8)</t>
    <phoneticPr fontId="7" type="noConversion"/>
  </si>
  <si>
    <t>연장</t>
    <phoneticPr fontId="5" type="noConversion"/>
  </si>
  <si>
    <t>지방소득세(종업원분)</t>
    <phoneticPr fontId="5" type="noConversion"/>
  </si>
  <si>
    <t>교육비</t>
    <phoneticPr fontId="5" type="noConversion"/>
  </si>
  <si>
    <t>지방소득세(종업원분)</t>
    <phoneticPr fontId="7" type="noConversion"/>
  </si>
  <si>
    <t>단위(1인)당 식비산출표</t>
    <phoneticPr fontId="5" type="noConversion"/>
  </si>
  <si>
    <t>연장근로수당</t>
    <phoneticPr fontId="5" type="noConversion"/>
  </si>
  <si>
    <r>
      <t xml:space="preserve">순용역원가 × </t>
    </r>
    <r>
      <rPr>
        <sz val="10"/>
        <rFont val="바탕체"/>
        <family val="1"/>
        <charset val="129"/>
      </rPr>
      <t>3</t>
    </r>
    <r>
      <rPr>
        <sz val="10"/>
        <rFont val="바탕체"/>
        <family val="1"/>
        <charset val="129"/>
      </rPr>
      <t>%</t>
    </r>
    <phoneticPr fontId="5" type="noConversion"/>
  </si>
  <si>
    <r>
      <t xml:space="preserve">   2) 월간주수 : 월 </t>
    </r>
    <r>
      <rPr>
        <sz val="10"/>
        <rFont val="바탕체"/>
        <family val="1"/>
        <charset val="129"/>
      </rPr>
      <t>2</t>
    </r>
    <r>
      <rPr>
        <sz val="10"/>
        <rFont val="바탕체"/>
        <family val="1"/>
        <charset val="129"/>
      </rPr>
      <t>회 휴일근무 기준</t>
    </r>
    <phoneticPr fontId="7" type="noConversion"/>
  </si>
  <si>
    <t>운전기사</t>
    <phoneticPr fontId="7" type="noConversion"/>
  </si>
  <si>
    <t>운전직(트레일러공)</t>
    <phoneticPr fontId="7" type="noConversion"/>
  </si>
  <si>
    <t>사무직</t>
    <phoneticPr fontId="7" type="noConversion"/>
  </si>
  <si>
    <r>
      <t>(인건비+경비+일반관리비)×5</t>
    </r>
    <r>
      <rPr>
        <sz val="10"/>
        <rFont val="바탕체"/>
        <family val="1"/>
        <charset val="129"/>
      </rPr>
      <t>%</t>
    </r>
    <phoneticPr fontId="5" type="noConversion"/>
  </si>
  <si>
    <t>건 명 : 2011년 경기문화재단 파견 용역</t>
    <phoneticPr fontId="7" type="noConversion"/>
  </si>
  <si>
    <t>교통보조비</t>
    <phoneticPr fontId="5" type="noConversion"/>
  </si>
  <si>
    <t xml:space="preserve">   4) 적용개월수 :  운전직운 6개월, 사무직은 12개월 기준임</t>
    <phoneticPr fontId="5" type="noConversion"/>
  </si>
  <si>
    <r>
      <t>(기본급+제수당+상여금)×0.0</t>
    </r>
    <r>
      <rPr>
        <sz val="10"/>
        <rFont val="바탕체"/>
        <family val="1"/>
        <charset val="129"/>
      </rPr>
      <t>8</t>
    </r>
    <r>
      <rPr>
        <sz val="10"/>
        <rFont val="바탕체"/>
        <family val="1"/>
        <charset val="129"/>
      </rPr>
      <t>%</t>
    </r>
    <phoneticPr fontId="7" type="noConversion"/>
  </si>
  <si>
    <r>
      <t>임금채권보장법 제9조 및 동법 시행령 제13조의 규정에 의하여 임금채권보장기금
 사업주부담금비율은 0.</t>
    </r>
    <r>
      <rPr>
        <sz val="10"/>
        <rFont val="바탕체"/>
        <family val="1"/>
        <charset val="129"/>
      </rPr>
      <t>8</t>
    </r>
    <r>
      <rPr>
        <sz val="10"/>
        <rFont val="바탕체"/>
        <family val="1"/>
        <charset val="129"/>
      </rPr>
      <t>/1000(전업종공통)</t>
    </r>
    <phoneticPr fontId="7" type="noConversion"/>
  </si>
  <si>
    <r>
      <t>국민건강보험료×6</t>
    </r>
    <r>
      <rPr>
        <sz val="10"/>
        <rFont val="바탕체"/>
        <family val="1"/>
        <charset val="129"/>
      </rPr>
      <t>.55</t>
    </r>
    <r>
      <rPr>
        <sz val="10"/>
        <rFont val="바탕체"/>
        <family val="1"/>
        <charset val="129"/>
      </rPr>
      <t>%</t>
    </r>
    <phoneticPr fontId="7" type="noConversion"/>
  </si>
  <si>
    <r>
      <t xml:space="preserve">「국민건강보험법」 제62조제4항 및 제5항에 따라 산정한 보험료액에서 같은 법 제66조
 또는 제66조의2에 따라 경감 또는 면제되는 비용을 공제한 금액에 장기요양보험료율을
 곱하여 산정한 금액으로 한다.
 * 노인장기요양보험요율 : 국민건강보험료 × </t>
    </r>
    <r>
      <rPr>
        <sz val="10"/>
        <rFont val="바탕체"/>
        <family val="1"/>
        <charset val="129"/>
      </rPr>
      <t>6.55</t>
    </r>
    <r>
      <rPr>
        <sz val="10"/>
        <rFont val="바탕체"/>
        <family val="1"/>
        <charset val="129"/>
      </rPr>
      <t>%</t>
    </r>
    <phoneticPr fontId="5" type="noConversion"/>
  </si>
  <si>
    <r>
      <t>(보헙료의 납부의무) 직장가입자의 보험료는 사용자가 납부한다.
 국민건강보험재정건전화특별법시행령 제3조에 의한 보험요율 : 표준보수월액의 5.</t>
    </r>
    <r>
      <rPr>
        <sz val="10"/>
        <rFont val="바탕체"/>
        <family val="1"/>
        <charset val="129"/>
      </rPr>
      <t>33</t>
    </r>
    <r>
      <rPr>
        <sz val="10"/>
        <rFont val="바탕체"/>
        <family val="1"/>
        <charset val="129"/>
      </rPr>
      <t>%
 (상용자부담 50%,근로자부담 50%)</t>
    </r>
    <phoneticPr fontId="7" type="noConversion"/>
  </si>
  <si>
    <r>
      <t>(기본급+제수당+상여금)×2.</t>
    </r>
    <r>
      <rPr>
        <sz val="10"/>
        <rFont val="바탕체"/>
        <family val="1"/>
        <charset val="129"/>
      </rPr>
      <t>665</t>
    </r>
    <r>
      <rPr>
        <sz val="10"/>
        <rFont val="바탕체"/>
        <family val="1"/>
        <charset val="129"/>
      </rPr>
      <t>%</t>
    </r>
    <phoneticPr fontId="7" type="noConversion"/>
  </si>
  <si>
    <r>
      <t>일반관리비(3</t>
    </r>
    <r>
      <rPr>
        <sz val="10"/>
        <rFont val="바탕체"/>
        <family val="1"/>
        <charset val="129"/>
      </rPr>
      <t>%)</t>
    </r>
    <phoneticPr fontId="6" type="noConversion"/>
  </si>
  <si>
    <r>
      <t>이                 윤(7</t>
    </r>
    <r>
      <rPr>
        <sz val="10"/>
        <rFont val="바탕체"/>
        <family val="1"/>
        <charset val="129"/>
      </rPr>
      <t>%)</t>
    </r>
    <phoneticPr fontId="6" type="noConversion"/>
  </si>
  <si>
    <r>
      <t>이                 윤(5</t>
    </r>
    <r>
      <rPr>
        <sz val="10"/>
        <rFont val="바탕체"/>
        <family val="1"/>
        <charset val="129"/>
      </rPr>
      <t>%)</t>
    </r>
    <phoneticPr fontId="6" type="noConversion"/>
  </si>
</sst>
</file>

<file path=xl/styles.xml><?xml version="1.0" encoding="utf-8"?>
<styleSheet xmlns="http://schemas.openxmlformats.org/spreadsheetml/2006/main">
  <numFmts count="56">
    <numFmt numFmtId="41" formatCode="_-* #,##0_-;\-* #,##0_-;_-* &quot;-&quot;_-;_-@_-"/>
    <numFmt numFmtId="24" formatCode="\$#,##0_);[Red]\(\$#,##0\)"/>
    <numFmt numFmtId="176" formatCode="_-* #,##0.0_-;\-* #,##0.0_-;_-* &quot;-&quot;_-;_-@_-"/>
    <numFmt numFmtId="177" formatCode="0.0"/>
    <numFmt numFmtId="178" formatCode="_ * #,##0_ ;_ * \-#,##0_ ;_ * &quot;-&quot;_ ;_ @_ "/>
    <numFmt numFmtId="179" formatCode="#,##0_ "/>
    <numFmt numFmtId="180" formatCode="#,##0.000"/>
    <numFmt numFmtId="181" formatCode="0_);[Red]\(0\)"/>
    <numFmt numFmtId="182" formatCode="#,##0.0_);[Red]\(#,##0.0\)"/>
    <numFmt numFmtId="183" formatCode="#,##0_);[Red]\(#,##0\)"/>
    <numFmt numFmtId="184" formatCode="_ * #,##0.00_ ;_ * \-#,##0.00_ ;_ * &quot;-&quot;??_ ;_ @_ "/>
    <numFmt numFmtId="185" formatCode="#,##0.0_ "/>
    <numFmt numFmtId="186" formatCode="#,##0.00_ "/>
    <numFmt numFmtId="187" formatCode="#."/>
    <numFmt numFmtId="188" formatCode="#,##0.0"/>
    <numFmt numFmtId="189" formatCode="&quot;₩&quot;\!\$#\!\,##0_);[Red]&quot;₩&quot;\!\(&quot;₩&quot;\!\$#\!\,##0&quot;₩&quot;\!\)"/>
    <numFmt numFmtId="190" formatCode="_(&quot;$&quot;* #,##0_);_(&quot;$&quot;* \(#,##0\);_(&quot;$&quot;* &quot;-&quot;_);_(@_)"/>
    <numFmt numFmtId="191" formatCode="0\!.0000000000000000"/>
    <numFmt numFmtId="192" formatCode="&quot;$&quot;#\!\,##0\!.00_);[Red]&quot;₩&quot;\!\(&quot;$&quot;#\!\,##0\!.00&quot;₩&quot;\!\)"/>
    <numFmt numFmtId="193" formatCode="0.00_);[Red]\(0.00\)"/>
    <numFmt numFmtId="194" formatCode="0.00;[Red]0.00"/>
    <numFmt numFmtId="195" formatCode="_-* #,##0.0_-;&quot;₩&quot;\!\-* #,##0.0_-;_-* &quot;-&quot;_-;_-@_-"/>
    <numFmt numFmtId="196" formatCode="&quot;₩&quot;#,##0;&quot;₩&quot;&quot;₩&quot;&quot;₩&quot;&quot;₩&quot;&quot;₩&quot;&quot;₩&quot;\!\!\-#,##0"/>
    <numFmt numFmtId="197" formatCode="_ &quot;₩&quot;* #,##0.00_ ;_ &quot;₩&quot;* \-#,##0.00_ ;_ &quot;₩&quot;* &quot;-&quot;??_ ;_ @_ "/>
    <numFmt numFmtId="198" formatCode="#,##0;[Red]&quot;-&quot;#,##0"/>
    <numFmt numFmtId="199" formatCode="#\!\,##0;&quot;₩&quot;\!\-#\!\,##0\!.00"/>
    <numFmt numFmtId="200" formatCode="#,##0;\-#,##0.00"/>
    <numFmt numFmtId="201" formatCode="#,##0;&quot;-&quot;#,##0"/>
    <numFmt numFmtId="202" formatCode="&quot;₩&quot;#,##0;[Red]&quot;₩&quot;&quot;₩&quot;&quot;₩&quot;&quot;₩&quot;&quot;₩&quot;&quot;₩&quot;\!\!\-#,##0"/>
    <numFmt numFmtId="203" formatCode="&quot;₩&quot;#,##0.00;&quot;₩&quot;\-#,##0.00"/>
    <numFmt numFmtId="204" formatCode="&quot;M-S3-014-&quot;\ ###&quot;&quot;\ "/>
    <numFmt numFmtId="205" formatCode="&quot;004-30-&quot;\ ###&quot;호&quot;\ "/>
    <numFmt numFmtId="206" formatCode="&quot;M-S3-016-&quot;\ ###&quot;&quot;\ "/>
    <numFmt numFmtId="207" formatCode="&quot;M-S3-004-&quot;\ ###&quot;&quot;\ "/>
    <numFmt numFmtId="208" formatCode="_-* #,##0.00_-;&quot;₩&quot;&quot;₩&quot;&quot;₩&quot;&quot;₩&quot;\!\!\-* #,##0.00_-;_-* &quot;-&quot;??_-;_-@_-"/>
    <numFmt numFmtId="209" formatCode="_-&quot;₩&quot;* #,##0.00_-;&quot;₩&quot;&quot;₩&quot;&quot;₩&quot;&quot;₩&quot;\!\!\-&quot;₩&quot;* #,##0.00_-;_-&quot;₩&quot;* &quot;-&quot;??_-;_-@_-"/>
    <numFmt numFmtId="210" formatCode="&quot;₩&quot;#,##0.00;&quot;₩&quot;&quot;₩&quot;&quot;₩&quot;&quot;₩&quot;&quot;₩&quot;&quot;₩&quot;\!\!\-#,##0.00"/>
    <numFmt numFmtId="211" formatCode="&quot;$&quot;#,##0.00_);\(&quot;$&quot;#,##0.00\)"/>
    <numFmt numFmtId="212" formatCode="0000000000000"/>
    <numFmt numFmtId="213" formatCode="_-* #,##0.00\ _P_t_s_-;\-* #,##0.00\ _P_t_s_-;_-* &quot;-&quot;??\ _P_t_s_-;_-@_-"/>
    <numFmt numFmtId="214" formatCode="#,##0."/>
    <numFmt numFmtId="215" formatCode="\$#."/>
    <numFmt numFmtId="216" formatCode="yy/m"/>
    <numFmt numFmtId="217" formatCode="&quot;$&quot;#,##0;[Red]\-&quot;$&quot;#,##0"/>
    <numFmt numFmtId="218" formatCode="&quot;F&quot;\ #,##0_-;&quot;F&quot;\ #,##0\-"/>
    <numFmt numFmtId="219" formatCode="&quot;₩&quot;#,##0;[Red]&quot;₩&quot;&quot;₩&quot;&quot;₩&quot;&quot;₩&quot;&quot;₩&quot;&quot;₩&quot;&quot;₩&quot;&quot;₩&quot;&quot;₩&quot;\-#,##0"/>
    <numFmt numFmtId="220" formatCode="0.00000000_ "/>
    <numFmt numFmtId="221" formatCode="_-[$€-2]* #,##0.00_-;&quot;₩&quot;\!\-[$€-2]* #,##0.00_-;_-[$€-2]* &quot;-&quot;??_-"/>
    <numFmt numFmtId="222" formatCode="_-* #,##0.0_-;\-* #,##0.0_-;_-* &quot;-&quot;??_-;_-@_-"/>
    <numFmt numFmtId="223" formatCode="#,##0.0000;[Red]\-#,##0.0000"/>
    <numFmt numFmtId="224" formatCode="&quot;$&quot;#,##0.00_);[Red]\(&quot;$&quot;#,##0.00\)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0.00_ "/>
    <numFmt numFmtId="229" formatCode="#,##0_ ;[Red]\-#,##0\ "/>
  </numFmts>
  <fonts count="79">
    <font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체"/>
      <family val="1"/>
      <charset val="129"/>
    </font>
    <font>
      <sz val="20"/>
      <name val="바탕체"/>
      <family val="1"/>
      <charset val="129"/>
    </font>
    <font>
      <sz val="10"/>
      <name val="Arial"/>
      <family val="2"/>
    </font>
    <font>
      <sz val="8"/>
      <name val="바탕체"/>
      <family val="1"/>
      <charset val="129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명조"/>
      <family val="3"/>
      <charset val="129"/>
    </font>
    <font>
      <sz val="20"/>
      <name val="돋움체"/>
      <family val="3"/>
      <charset val="129"/>
    </font>
    <font>
      <u/>
      <sz val="20"/>
      <name val="돋움체"/>
      <family val="3"/>
      <charset val="129"/>
    </font>
    <font>
      <sz val="20"/>
      <name val="굴림체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sz val="12"/>
      <name val="굴림체"/>
      <family val="3"/>
      <charset val="129"/>
    </font>
    <font>
      <sz val="9"/>
      <name val="돋움체"/>
      <family val="3"/>
      <charset val="129"/>
    </font>
    <font>
      <sz val="14"/>
      <name val="뼻뮝"/>
      <family val="3"/>
      <charset val="129"/>
    </font>
    <font>
      <sz val="11"/>
      <name val="돋움체"/>
      <family val="3"/>
      <charset val="129"/>
    </font>
    <font>
      <sz val="10"/>
      <name val="굴림체"/>
      <family val="3"/>
      <charset val="129"/>
    </font>
    <font>
      <sz val="10"/>
      <color indexed="8"/>
      <name val="바탕체"/>
      <family val="1"/>
      <charset val="129"/>
    </font>
    <font>
      <sz val="20"/>
      <color indexed="8"/>
      <name val="바탕체"/>
      <family val="1"/>
      <charset val="129"/>
    </font>
    <font>
      <sz val="11"/>
      <name val="바탕체"/>
      <family val="1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¹UAAA¼"/>
      <family val="3"/>
      <charset val="129"/>
    </font>
    <font>
      <sz val="12"/>
      <name val="¹????¼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7"/>
      <name val="바탕체"/>
      <family val="1"/>
      <charset val="129"/>
    </font>
    <font>
      <b/>
      <sz val="1"/>
      <color indexed="8"/>
      <name val="Courier"/>
      <family val="3"/>
    </font>
    <font>
      <sz val="9"/>
      <color indexed="8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¹ÙÅÁÃ¼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8"/>
      <name val="¹UAAA¼"/>
      <family val="1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10"/>
      <name val="바탕체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993">
    <xf numFmtId="0" fontId="0" fillId="0" borderId="0"/>
    <xf numFmtId="187" fontId="25" fillId="0" borderId="0">
      <protection locked="0"/>
    </xf>
    <xf numFmtId="0" fontId="2" fillId="0" borderId="0"/>
    <xf numFmtId="0" fontId="17" fillId="0" borderId="0"/>
    <xf numFmtId="0" fontId="26" fillId="0" borderId="1">
      <alignment horizontal="center"/>
    </xf>
    <xf numFmtId="0" fontId="2" fillId="0" borderId="2">
      <alignment horizontal="centerContinuous" vertical="center"/>
    </xf>
    <xf numFmtId="3" fontId="8" fillId="0" borderId="0">
      <alignment vertical="center"/>
    </xf>
    <xf numFmtId="188" fontId="8" fillId="0" borderId="0">
      <alignment vertical="center"/>
    </xf>
    <xf numFmtId="4" fontId="8" fillId="0" borderId="0">
      <alignment vertical="center"/>
    </xf>
    <xf numFmtId="180" fontId="8" fillId="0" borderId="0">
      <alignment vertical="center"/>
    </xf>
    <xf numFmtId="3" fontId="9" fillId="0" borderId="3"/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24" fontId="26" fillId="0" borderId="0" applyFont="0" applyFill="0" applyBorder="0" applyAlignment="0" applyProtection="0"/>
    <xf numFmtId="24" fontId="26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0" fontId="4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" fillId="0" borderId="0"/>
    <xf numFmtId="0" fontId="15" fillId="0" borderId="4">
      <alignment vertical="center"/>
    </xf>
    <xf numFmtId="0" fontId="15" fillId="0" borderId="4">
      <alignment vertical="center"/>
    </xf>
    <xf numFmtId="0" fontId="14" fillId="0" borderId="4">
      <alignment vertical="center"/>
    </xf>
    <xf numFmtId="0" fontId="21" fillId="0" borderId="0" applyFont="0" applyFill="0" applyBorder="0" applyAlignment="0" applyProtection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8" fillId="0" borderId="0"/>
    <xf numFmtId="0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0"/>
    <xf numFmtId="187" fontId="25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9" fillId="0" borderId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9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6" fillId="0" borderId="0"/>
    <xf numFmtId="0" fontId="4" fillId="0" borderId="0"/>
    <xf numFmtId="0" fontId="2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8" fillId="0" borderId="0"/>
    <xf numFmtId="0" fontId="29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187" fontId="25" fillId="0" borderId="0">
      <protection locked="0"/>
    </xf>
    <xf numFmtId="193" fontId="14" fillId="0" borderId="0">
      <protection locked="0"/>
    </xf>
    <xf numFmtId="0" fontId="25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0" fillId="0" borderId="0"/>
    <xf numFmtId="194" fontId="1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9" fontId="2" fillId="0" borderId="0">
      <alignment vertical="center"/>
    </xf>
    <xf numFmtId="190" fontId="4" fillId="0" borderId="0" applyFont="0" applyFill="0" applyBorder="0" applyAlignment="0" applyProtection="0"/>
    <xf numFmtId="3" fontId="9" fillId="0" borderId="3"/>
    <xf numFmtId="0" fontId="2" fillId="0" borderId="0">
      <alignment vertical="center"/>
    </xf>
    <xf numFmtId="3" fontId="9" fillId="0" borderId="3"/>
    <xf numFmtId="10" fontId="2" fillId="0" borderId="0">
      <alignment vertical="center"/>
    </xf>
    <xf numFmtId="0" fontId="2" fillId="0" borderId="0">
      <alignment vertical="center"/>
    </xf>
    <xf numFmtId="195" fontId="14" fillId="0" borderId="0">
      <alignment vertical="center"/>
    </xf>
    <xf numFmtId="0" fontId="15" fillId="0" borderId="0">
      <alignment horizontal="center" vertical="center"/>
    </xf>
    <xf numFmtId="0" fontId="26" fillId="0" borderId="5"/>
    <xf numFmtId="4" fontId="31" fillId="0" borderId="6">
      <alignment vertical="center"/>
    </xf>
    <xf numFmtId="0" fontId="4" fillId="0" borderId="0" applyNumberFormat="0" applyFill="0" applyBorder="0" applyAlignment="0" applyProtection="0"/>
    <xf numFmtId="0" fontId="8" fillId="0" borderId="0"/>
    <xf numFmtId="193" fontId="14" fillId="0" borderId="0">
      <protection locked="0"/>
    </xf>
    <xf numFmtId="0" fontId="25" fillId="0" borderId="0">
      <protection locked="0"/>
    </xf>
    <xf numFmtId="9" fontId="8" fillId="0" borderId="0">
      <protection locked="0"/>
    </xf>
    <xf numFmtId="0" fontId="8" fillId="0" borderId="0"/>
    <xf numFmtId="196" fontId="8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0" fontId="15" fillId="0" borderId="0"/>
    <xf numFmtId="0" fontId="14" fillId="0" borderId="3">
      <alignment horizontal="right" vertical="center"/>
    </xf>
    <xf numFmtId="0" fontId="33" fillId="0" borderId="0" applyFont="0" applyBorder="0" applyAlignment="0">
      <alignment horizontal="left" vertical="center"/>
    </xf>
    <xf numFmtId="0" fontId="25" fillId="0" borderId="0">
      <protection locked="0"/>
    </xf>
    <xf numFmtId="3" fontId="26" fillId="0" borderId="7">
      <alignment horizontal="center"/>
    </xf>
    <xf numFmtId="0" fontId="8" fillId="2" borderId="0">
      <alignment horizontal="left"/>
    </xf>
    <xf numFmtId="0" fontId="25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5" fillId="0" borderId="3" applyNumberFormat="0" applyFont="0" applyFill="0" applyBorder="0" applyProtection="0">
      <alignment horizontal="distributed"/>
    </xf>
    <xf numFmtId="9" fontId="15" fillId="3" borderId="0" applyFill="0" applyBorder="0" applyProtection="0">
      <alignment horizontal="right"/>
    </xf>
    <xf numFmtId="10" fontId="15" fillId="0" borderId="0" applyFill="0" applyBorder="0" applyProtection="0">
      <alignment horizontal="right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6" fillId="0" borderId="0"/>
    <xf numFmtId="179" fontId="14" fillId="0" borderId="0" applyNumberFormat="0" applyFont="0" applyFill="0" applyBorder="0" applyProtection="0">
      <alignment horizontal="centerContinuous"/>
    </xf>
    <xf numFmtId="179" fontId="37" fillId="0" borderId="8">
      <alignment vertical="center"/>
    </xf>
    <xf numFmtId="3" fontId="35" fillId="0" borderId="3"/>
    <xf numFmtId="0" fontId="35" fillId="0" borderId="3"/>
    <xf numFmtId="3" fontId="35" fillId="0" borderId="9"/>
    <xf numFmtId="3" fontId="35" fillId="0" borderId="10"/>
    <xf numFmtId="0" fontId="38" fillId="0" borderId="3"/>
    <xf numFmtId="0" fontId="39" fillId="0" borderId="0">
      <alignment horizontal="center"/>
    </xf>
    <xf numFmtId="0" fontId="40" fillId="0" borderId="11">
      <alignment horizontal="center"/>
    </xf>
    <xf numFmtId="4" fontId="41" fillId="0" borderId="0" applyNumberFormat="0" applyFill="0" applyBorder="0" applyAlignment="0">
      <alignment horizontal="centerContinuous" vertical="center"/>
    </xf>
    <xf numFmtId="198" fontId="4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3" fillId="0" borderId="12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45" fillId="0" borderId="0">
      <alignment horizontal="center" vertical="center"/>
    </xf>
    <xf numFmtId="0" fontId="21" fillId="0" borderId="0" applyNumberFormat="0" applyAlignment="0">
      <alignment horizontal="left" vertical="center"/>
    </xf>
    <xf numFmtId="4" fontId="25" fillId="0" borderId="0">
      <protection locked="0"/>
    </xf>
    <xf numFmtId="202" fontId="8" fillId="0" borderId="0">
      <protection locked="0"/>
    </xf>
    <xf numFmtId="0" fontId="8" fillId="0" borderId="13" applyNumberFormat="0"/>
    <xf numFmtId="0" fontId="8" fillId="0" borderId="3">
      <alignment horizontal="distributed" vertical="center"/>
    </xf>
    <xf numFmtId="0" fontId="8" fillId="0" borderId="14">
      <alignment horizontal="distributed" vertical="top"/>
    </xf>
    <xf numFmtId="0" fontId="8" fillId="0" borderId="15">
      <alignment horizontal="distributed"/>
    </xf>
    <xf numFmtId="178" fontId="46" fillId="0" borderId="0">
      <alignment vertical="center"/>
    </xf>
    <xf numFmtId="0" fontId="8" fillId="0" borderId="0"/>
    <xf numFmtId="197" fontId="14" fillId="0" borderId="0" applyFont="0" applyFill="0" applyBorder="0" applyProtection="0">
      <alignment vertical="center"/>
    </xf>
    <xf numFmtId="38" fontId="35" fillId="0" borderId="0" applyFont="0" applyFill="0" applyBorder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8" fillId="0" borderId="0" applyNumberFormat="0" applyFont="0" applyFill="0" applyBorder="0" applyProtection="0">
      <alignment vertical="center"/>
    </xf>
    <xf numFmtId="186" fontId="15" fillId="3" borderId="0" applyFill="0" applyBorder="0" applyProtection="0">
      <alignment horizontal="right"/>
    </xf>
    <xf numFmtId="38" fontId="35" fillId="0" borderId="0" applyFont="0" applyFill="0" applyBorder="0" applyAlignment="0" applyProtection="0">
      <alignment vertical="center"/>
    </xf>
    <xf numFmtId="182" fontId="14" fillId="0" borderId="0" applyFont="0" applyFill="0" applyBorder="0" applyAlignment="0" applyProtection="0">
      <alignment vertical="center"/>
    </xf>
    <xf numFmtId="203" fontId="14" fillId="0" borderId="0" applyFont="0" applyFill="0" applyBorder="0" applyAlignment="0" applyProtection="0">
      <alignment vertical="center"/>
    </xf>
    <xf numFmtId="204" fontId="14" fillId="0" borderId="0" applyFont="0" applyFill="0" applyBorder="0" applyAlignment="0" applyProtection="0">
      <alignment textRotation="255"/>
    </xf>
    <xf numFmtId="205" fontId="14" fillId="0" borderId="0" applyFont="0" applyFill="0" applyBorder="0" applyAlignment="0" applyProtection="0">
      <alignment textRotation="255"/>
    </xf>
    <xf numFmtId="206" fontId="14" fillId="0" borderId="0" applyFont="0" applyFill="0" applyBorder="0" applyAlignment="0" applyProtection="0">
      <alignment textRotation="255"/>
    </xf>
    <xf numFmtId="207" fontId="14" fillId="0" borderId="0" applyFont="0" applyFill="0" applyBorder="0" applyAlignment="0" applyProtection="0">
      <alignment textRotation="255"/>
    </xf>
    <xf numFmtId="0" fontId="8" fillId="0" borderId="0" applyFont="0" applyFill="0" applyBorder="0" applyAlignment="0" applyProtection="0"/>
    <xf numFmtId="208" fontId="8" fillId="0" borderId="0">
      <protection locked="0"/>
    </xf>
    <xf numFmtId="0" fontId="4" fillId="0" borderId="0"/>
    <xf numFmtId="0" fontId="14" fillId="0" borderId="0">
      <alignment vertical="center"/>
    </xf>
    <xf numFmtId="0" fontId="8" fillId="0" borderId="0"/>
    <xf numFmtId="0" fontId="24" fillId="0" borderId="0"/>
    <xf numFmtId="0" fontId="14" fillId="0" borderId="0"/>
    <xf numFmtId="0" fontId="9" fillId="0" borderId="0"/>
    <xf numFmtId="0" fontId="10" fillId="0" borderId="0"/>
    <xf numFmtId="0" fontId="17" fillId="0" borderId="0"/>
    <xf numFmtId="0" fontId="10" fillId="0" borderId="0"/>
    <xf numFmtId="0" fontId="8" fillId="0" borderId="0"/>
    <xf numFmtId="0" fontId="14" fillId="0" borderId="0"/>
    <xf numFmtId="0" fontId="8" fillId="0" borderId="8">
      <alignment vertical="center" wrapText="1"/>
    </xf>
    <xf numFmtId="14" fontId="47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5" fillId="0" borderId="16">
      <protection locked="0"/>
    </xf>
    <xf numFmtId="209" fontId="8" fillId="0" borderId="0">
      <protection locked="0"/>
    </xf>
    <xf numFmtId="210" fontId="8" fillId="0" borderId="0">
      <protection locked="0"/>
    </xf>
    <xf numFmtId="3" fontId="2" fillId="0" borderId="0"/>
    <xf numFmtId="211" fontId="17" fillId="4" borderId="17">
      <alignment horizontal="center" vertical="center"/>
    </xf>
    <xf numFmtId="193" fontId="14" fillId="0" borderId="0">
      <protection locked="0"/>
    </xf>
    <xf numFmtId="0" fontId="14" fillId="0" borderId="0">
      <protection locked="0"/>
    </xf>
    <xf numFmtId="193" fontId="14" fillId="0" borderId="0">
      <protection locked="0"/>
    </xf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>
      <protection locked="0"/>
    </xf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14" fillId="0" borderId="0">
      <protection locked="0"/>
    </xf>
    <xf numFmtId="0" fontId="26" fillId="0" borderId="0"/>
    <xf numFmtId="193" fontId="14" fillId="0" borderId="0">
      <protection locked="0"/>
    </xf>
    <xf numFmtId="193" fontId="14" fillId="0" borderId="0">
      <protection locked="0"/>
    </xf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4" fontId="25" fillId="0" borderId="0">
      <protection locked="0"/>
    </xf>
    <xf numFmtId="186" fontId="14" fillId="0" borderId="0">
      <protection locked="0"/>
    </xf>
    <xf numFmtId="0" fontId="49" fillId="0" borderId="0"/>
    <xf numFmtId="0" fontId="4" fillId="0" borderId="0"/>
    <xf numFmtId="0" fontId="4" fillId="0" borderId="0"/>
    <xf numFmtId="0" fontId="49" fillId="0" borderId="0"/>
    <xf numFmtId="0" fontId="50" fillId="0" borderId="0"/>
    <xf numFmtId="0" fontId="51" fillId="0" borderId="0"/>
    <xf numFmtId="193" fontId="14" fillId="0" borderId="0">
      <protection locked="0"/>
    </xf>
    <xf numFmtId="0" fontId="52" fillId="0" borderId="0"/>
    <xf numFmtId="0" fontId="48" fillId="0" borderId="0"/>
    <xf numFmtId="0" fontId="27" fillId="0" borderId="0"/>
    <xf numFmtId="0" fontId="48" fillId="0" borderId="0"/>
    <xf numFmtId="0" fontId="27" fillId="0" borderId="0"/>
    <xf numFmtId="0" fontId="14" fillId="0" borderId="0" applyFill="0" applyBorder="0" applyAlignment="0"/>
    <xf numFmtId="0" fontId="53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25" fillId="0" borderId="16">
      <protection locked="0"/>
    </xf>
    <xf numFmtId="4" fontId="25" fillId="0" borderId="0">
      <protection locked="0"/>
    </xf>
    <xf numFmtId="0" fontId="4" fillId="0" borderId="0" applyFont="0" applyFill="0" applyBorder="0" applyAlignment="0" applyProtection="0"/>
    <xf numFmtId="213" fontId="24" fillId="0" borderId="0"/>
    <xf numFmtId="0" fontId="4" fillId="0" borderId="0" applyFont="0" applyFill="0" applyBorder="0" applyAlignment="0" applyProtection="0"/>
    <xf numFmtId="214" fontId="25" fillId="0" borderId="0">
      <protection locked="0"/>
    </xf>
    <xf numFmtId="0" fontId="55" fillId="0" borderId="0" applyNumberFormat="0" applyAlignment="0">
      <alignment horizontal="left"/>
    </xf>
    <xf numFmtId="0" fontId="21" fillId="0" borderId="0" applyFont="0" applyFill="0" applyBorder="0" applyAlignment="0" applyProtection="0"/>
    <xf numFmtId="0" fontId="8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25" fillId="0" borderId="0">
      <protection locked="0"/>
    </xf>
    <xf numFmtId="216" fontId="24" fillId="0" borderId="0"/>
    <xf numFmtId="217" fontId="56" fillId="0" borderId="0">
      <protection locked="0"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218" fontId="24" fillId="0" borderId="0"/>
    <xf numFmtId="219" fontId="14" fillId="0" borderId="0">
      <protection locked="0"/>
    </xf>
    <xf numFmtId="220" fontId="14" fillId="0" borderId="0">
      <protection locked="0"/>
    </xf>
    <xf numFmtId="0" fontId="57" fillId="0" borderId="0" applyNumberFormat="0" applyAlignment="0">
      <alignment horizontal="left"/>
    </xf>
    <xf numFmtId="221" fontId="15" fillId="0" borderId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222" fontId="4" fillId="0" borderId="0">
      <protection locked="0"/>
    </xf>
    <xf numFmtId="0" fontId="8" fillId="0" borderId="0"/>
    <xf numFmtId="38" fontId="59" fillId="5" borderId="0" applyNumberFormat="0" applyBorder="0" applyAlignment="0" applyProtection="0"/>
    <xf numFmtId="0" fontId="60" fillId="0" borderId="0" applyAlignment="0">
      <alignment horizontal="right"/>
    </xf>
    <xf numFmtId="0" fontId="61" fillId="0" borderId="0"/>
    <xf numFmtId="0" fontId="62" fillId="0" borderId="0"/>
    <xf numFmtId="0" fontId="63" fillId="0" borderId="0" applyNumberFormat="0" applyFill="0" applyBorder="0" applyAlignment="0" applyProtection="0"/>
    <xf numFmtId="0" fontId="64" fillId="0" borderId="18" applyNumberFormat="0" applyAlignment="0" applyProtection="0">
      <alignment horizontal="left" vertical="center"/>
    </xf>
    <xf numFmtId="0" fontId="64" fillId="0" borderId="19">
      <alignment horizontal="left" vertical="center"/>
    </xf>
    <xf numFmtId="0" fontId="32" fillId="0" borderId="0">
      <protection locked="0"/>
    </xf>
    <xf numFmtId="0" fontId="32" fillId="0" borderId="0">
      <protection locked="0"/>
    </xf>
    <xf numFmtId="223" fontId="17" fillId="0" borderId="0">
      <protection locked="0"/>
    </xf>
    <xf numFmtId="223" fontId="17" fillId="0" borderId="0">
      <protection locked="0"/>
    </xf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7" fillId="0" borderId="0" applyNumberFormat="0" applyFill="0" applyBorder="0" applyAlignment="0" applyProtection="0"/>
    <xf numFmtId="10" fontId="59" fillId="6" borderId="3" applyNumberFormat="0" applyBorder="0" applyAlignment="0" applyProtection="0"/>
    <xf numFmtId="178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68" fillId="0" borderId="21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69" fillId="0" borderId="0"/>
    <xf numFmtId="0" fontId="8" fillId="0" borderId="0"/>
    <xf numFmtId="224" fontId="1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8" fillId="0" borderId="0">
      <protection locked="0"/>
    </xf>
    <xf numFmtId="10" fontId="4" fillId="0" borderId="0" applyFont="0" applyFill="0" applyBorder="0" applyAlignment="0" applyProtection="0"/>
    <xf numFmtId="225" fontId="8" fillId="0" borderId="0">
      <protection locked="0"/>
    </xf>
    <xf numFmtId="30" fontId="71" fillId="0" borderId="0" applyNumberFormat="0" applyFill="0" applyBorder="0" applyAlignment="0" applyProtection="0">
      <alignment horizontal="left"/>
    </xf>
    <xf numFmtId="0" fontId="26" fillId="0" borderId="0"/>
    <xf numFmtId="0" fontId="72" fillId="0" borderId="0">
      <alignment horizontal="center" vertical="center"/>
    </xf>
    <xf numFmtId="0" fontId="68" fillId="0" borderId="0"/>
    <xf numFmtId="40" fontId="73" fillId="0" borderId="0" applyBorder="0">
      <alignment horizontal="right"/>
    </xf>
    <xf numFmtId="0" fontId="4" fillId="0" borderId="0"/>
    <xf numFmtId="0" fontId="4" fillId="0" borderId="0"/>
    <xf numFmtId="0" fontId="74" fillId="5" borderId="0">
      <alignment horizontal="centerContinuous"/>
    </xf>
    <xf numFmtId="0" fontId="75" fillId="0" borderId="0" applyFill="0" applyBorder="0" applyProtection="0">
      <alignment horizontal="centerContinuous" vertical="center"/>
    </xf>
    <xf numFmtId="0" fontId="17" fillId="3" borderId="0" applyFill="0" applyBorder="0" applyProtection="0">
      <alignment horizontal="center" vertical="center"/>
    </xf>
    <xf numFmtId="223" fontId="17" fillId="0" borderId="22">
      <protection locked="0"/>
    </xf>
    <xf numFmtId="0" fontId="5" fillId="0" borderId="23">
      <alignment horizontal="left"/>
    </xf>
    <xf numFmtId="37" fontId="59" fillId="7" borderId="0" applyNumberFormat="0" applyBorder="0" applyAlignment="0" applyProtection="0"/>
    <xf numFmtId="37" fontId="59" fillId="0" borderId="0"/>
    <xf numFmtId="3" fontId="76" fillId="0" borderId="20" applyProtection="0"/>
    <xf numFmtId="226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566">
    <xf numFmtId="0" fontId="0" fillId="0" borderId="0" xfId="0" applyAlignment="1">
      <alignment vertical="center"/>
    </xf>
    <xf numFmtId="0" fontId="2" fillId="3" borderId="24" xfId="839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2" fillId="3" borderId="19" xfId="463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24" xfId="463" applyNumberFormat="1" applyFont="1" applyFill="1" applyBorder="1" applyAlignment="1">
      <alignment horizontal="center" vertical="center"/>
    </xf>
    <xf numFmtId="0" fontId="2" fillId="3" borderId="2" xfId="463" applyNumberFormat="1" applyFont="1" applyFill="1" applyBorder="1" applyAlignment="1">
      <alignment horizontal="center" vertical="center"/>
    </xf>
    <xf numFmtId="0" fontId="2" fillId="3" borderId="25" xfId="463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29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distributed" vertical="center"/>
    </xf>
    <xf numFmtId="0" fontId="2" fillId="0" borderId="19" xfId="463" applyNumberFormat="1" applyFont="1" applyBorder="1" applyAlignment="1">
      <alignment horizontal="distributed" vertical="center"/>
    </xf>
    <xf numFmtId="0" fontId="2" fillId="0" borderId="24" xfId="463" applyNumberFormat="1" applyFont="1" applyBorder="1" applyAlignment="1">
      <alignment horizontal="center" vertical="center"/>
    </xf>
    <xf numFmtId="0" fontId="2" fillId="0" borderId="0" xfId="463" applyNumberFormat="1" applyFont="1" applyBorder="1" applyAlignment="1">
      <alignment horizontal="distributed" vertical="center"/>
    </xf>
    <xf numFmtId="0" fontId="2" fillId="0" borderId="0" xfId="463" applyNumberFormat="1" applyFont="1" applyBorder="1" applyAlignment="1">
      <alignment horizontal="center" vertical="center"/>
    </xf>
    <xf numFmtId="0" fontId="3" fillId="3" borderId="0" xfId="463" quotePrefix="1" applyNumberFormat="1" applyFont="1" applyFill="1" applyBorder="1" applyAlignment="1">
      <alignment horizontal="centerContinuous" vertical="center"/>
    </xf>
    <xf numFmtId="0" fontId="3" fillId="3" borderId="0" xfId="463" quotePrefix="1" applyNumberFormat="1" applyFont="1" applyFill="1" applyAlignment="1">
      <alignment horizontal="centerContinuous" vertical="center"/>
    </xf>
    <xf numFmtId="0" fontId="2" fillId="3" borderId="0" xfId="463" quotePrefix="1" applyNumberFormat="1" applyFont="1" applyFill="1" applyBorder="1" applyAlignment="1">
      <alignment horizontal="centerContinuous" vertical="center"/>
    </xf>
    <xf numFmtId="0" fontId="2" fillId="3" borderId="0" xfId="463" quotePrefix="1" applyNumberFormat="1" applyFont="1" applyFill="1" applyAlignment="1">
      <alignment horizontal="centerContinuous" vertical="center"/>
    </xf>
    <xf numFmtId="0" fontId="2" fillId="3" borderId="0" xfId="463" applyNumberFormat="1" applyFont="1" applyFill="1" applyAlignment="1">
      <alignment horizontal="center" vertical="center"/>
    </xf>
    <xf numFmtId="0" fontId="2" fillId="3" borderId="0" xfId="463" applyNumberFormat="1" applyFont="1" applyFill="1" applyBorder="1" applyAlignment="1">
      <alignment horizontal="center" vertical="center"/>
    </xf>
    <xf numFmtId="0" fontId="2" fillId="3" borderId="28" xfId="463" applyNumberFormat="1" applyFont="1" applyFill="1" applyBorder="1" applyAlignment="1">
      <alignment horizontal="center" vertical="center"/>
    </xf>
    <xf numFmtId="0" fontId="2" fillId="3" borderId="14" xfId="463" applyNumberFormat="1" applyFont="1" applyFill="1" applyBorder="1" applyAlignment="1">
      <alignment horizontal="center" vertical="center"/>
    </xf>
    <xf numFmtId="0" fontId="2" fillId="3" borderId="19" xfId="463" applyNumberFormat="1" applyFont="1" applyFill="1" applyBorder="1" applyAlignment="1">
      <alignment horizontal="distributed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0" xfId="463" applyNumberFormat="1" applyFont="1" applyFill="1" applyBorder="1" applyAlignment="1">
      <alignment horizontal="distributed" vertical="center"/>
    </xf>
    <xf numFmtId="0" fontId="2" fillId="3" borderId="30" xfId="463" applyNumberFormat="1" applyFont="1" applyFill="1" applyBorder="1" applyAlignment="1">
      <alignment horizontal="center" vertical="center"/>
    </xf>
    <xf numFmtId="0" fontId="22" fillId="3" borderId="30" xfId="856" applyNumberFormat="1" applyFont="1" applyFill="1" applyBorder="1" applyAlignment="1">
      <alignment vertical="center"/>
    </xf>
    <xf numFmtId="0" fontId="22" fillId="0" borderId="0" xfId="857" applyNumberFormat="1" applyFont="1" applyAlignment="1">
      <alignment horizontal="left" vertical="center"/>
    </xf>
    <xf numFmtId="0" fontId="22" fillId="3" borderId="0" xfId="856" applyNumberFormat="1" applyFont="1" applyFill="1" applyAlignment="1">
      <alignment vertical="center"/>
    </xf>
    <xf numFmtId="0" fontId="23" fillId="0" borderId="0" xfId="857" applyNumberFormat="1" applyFont="1" applyAlignment="1">
      <alignment horizontal="centerContinuous" vertical="center"/>
    </xf>
    <xf numFmtId="0" fontId="23" fillId="3" borderId="0" xfId="856" applyNumberFormat="1" applyFont="1" applyFill="1" applyAlignment="1">
      <alignment horizontal="centerContinuous" vertical="center"/>
    </xf>
    <xf numFmtId="0" fontId="23" fillId="3" borderId="0" xfId="856" applyNumberFormat="1" applyFont="1" applyFill="1" applyAlignment="1">
      <alignment vertical="center"/>
    </xf>
    <xf numFmtId="0" fontId="22" fillId="3" borderId="2" xfId="856" applyNumberFormat="1" applyFont="1" applyFill="1" applyBorder="1" applyAlignment="1">
      <alignment vertical="center"/>
    </xf>
    <xf numFmtId="0" fontId="22" fillId="3" borderId="19" xfId="856" applyNumberFormat="1" applyFont="1" applyFill="1" applyBorder="1" applyAlignment="1">
      <alignment horizontal="center" vertical="center"/>
    </xf>
    <xf numFmtId="0" fontId="22" fillId="3" borderId="19" xfId="856" applyNumberFormat="1" applyFont="1" applyFill="1" applyBorder="1" applyAlignment="1">
      <alignment vertical="center"/>
    </xf>
    <xf numFmtId="0" fontId="22" fillId="3" borderId="3" xfId="856" applyNumberFormat="1" applyFont="1" applyFill="1" applyBorder="1" applyAlignment="1">
      <alignment horizontal="center" vertical="center" wrapText="1"/>
    </xf>
    <xf numFmtId="0" fontId="22" fillId="3" borderId="3" xfId="856" applyNumberFormat="1" applyFont="1" applyFill="1" applyBorder="1" applyAlignment="1">
      <alignment horizontal="center" vertical="center"/>
    </xf>
    <xf numFmtId="0" fontId="22" fillId="3" borderId="26" xfId="856" applyNumberFormat="1" applyFont="1" applyFill="1" applyBorder="1" applyAlignment="1">
      <alignment vertical="center"/>
    </xf>
    <xf numFmtId="0" fontId="22" fillId="3" borderId="27" xfId="856" applyNumberFormat="1" applyFont="1" applyFill="1" applyBorder="1" applyAlignment="1">
      <alignment vertical="center"/>
    </xf>
    <xf numFmtId="0" fontId="22" fillId="3" borderId="25" xfId="856" applyNumberFormat="1" applyFont="1" applyFill="1" applyBorder="1" applyAlignment="1">
      <alignment vertical="center"/>
    </xf>
    <xf numFmtId="0" fontId="22" fillId="3" borderId="4" xfId="856" applyNumberFormat="1" applyFont="1" applyFill="1" applyBorder="1" applyAlignment="1">
      <alignment vertical="center"/>
    </xf>
    <xf numFmtId="0" fontId="22" fillId="3" borderId="0" xfId="856" applyNumberFormat="1" applyFont="1" applyFill="1" applyBorder="1" applyAlignment="1">
      <alignment horizontal="distributed" vertical="center"/>
    </xf>
    <xf numFmtId="0" fontId="22" fillId="3" borderId="30" xfId="856" applyNumberFormat="1" applyFont="1" applyFill="1" applyBorder="1" applyAlignment="1">
      <alignment horizontal="center" vertical="center"/>
    </xf>
    <xf numFmtId="0" fontId="22" fillId="3" borderId="5" xfId="856" applyNumberFormat="1" applyFont="1" applyFill="1" applyBorder="1" applyAlignment="1">
      <alignment vertical="center"/>
    </xf>
    <xf numFmtId="0" fontId="22" fillId="3" borderId="31" xfId="856" applyNumberFormat="1" applyFont="1" applyFill="1" applyBorder="1" applyAlignment="1">
      <alignment horizontal="distributed" vertical="center"/>
    </xf>
    <xf numFmtId="0" fontId="22" fillId="3" borderId="29" xfId="856" applyNumberFormat="1" applyFont="1" applyFill="1" applyBorder="1" applyAlignment="1">
      <alignment vertical="center"/>
    </xf>
    <xf numFmtId="0" fontId="22" fillId="3" borderId="29" xfId="856" applyNumberFormat="1" applyFont="1" applyFill="1" applyBorder="1" applyAlignment="1">
      <alignment horizontal="center" vertical="center"/>
    </xf>
    <xf numFmtId="0" fontId="23" fillId="3" borderId="0" xfId="856" applyNumberFormat="1" applyFont="1" applyFill="1" applyAlignment="1">
      <alignment horizontal="center" vertical="center"/>
    </xf>
    <xf numFmtId="0" fontId="22" fillId="3" borderId="0" xfId="856" applyFont="1" applyFill="1" applyBorder="1" applyAlignment="1">
      <alignment vertical="center"/>
    </xf>
    <xf numFmtId="179" fontId="22" fillId="3" borderId="30" xfId="856" applyNumberFormat="1" applyFont="1" applyFill="1" applyBorder="1" applyAlignment="1">
      <alignment horizontal="center" vertical="center"/>
    </xf>
    <xf numFmtId="0" fontId="2" fillId="0" borderId="0" xfId="857" applyNumberFormat="1" applyFont="1" applyAlignment="1">
      <alignment horizontal="left" vertical="center"/>
    </xf>
    <xf numFmtId="0" fontId="3" fillId="0" borderId="0" xfId="857" applyNumberFormat="1" applyFont="1" applyAlignment="1">
      <alignment horizontal="centerContinuous" vertical="center"/>
    </xf>
    <xf numFmtId="0" fontId="3" fillId="0" borderId="0" xfId="857" applyNumberFormat="1" applyFont="1" applyAlignment="1">
      <alignment vertical="center"/>
    </xf>
    <xf numFmtId="0" fontId="2" fillId="0" borderId="26" xfId="857" applyNumberFormat="1" applyFont="1" applyBorder="1" applyAlignment="1">
      <alignment vertical="center"/>
    </xf>
    <xf numFmtId="0" fontId="2" fillId="0" borderId="27" xfId="857" applyNumberFormat="1" applyFont="1" applyBorder="1" applyAlignment="1">
      <alignment horizontal="center" vertical="center"/>
    </xf>
    <xf numFmtId="0" fontId="2" fillId="0" borderId="25" xfId="857" applyNumberFormat="1" applyFont="1" applyBorder="1" applyAlignment="1">
      <alignment horizontal="center" vertical="center"/>
    </xf>
    <xf numFmtId="0" fontId="2" fillId="0" borderId="15" xfId="857" applyNumberFormat="1" applyFont="1" applyBorder="1" applyAlignment="1">
      <alignment horizontal="centerContinuous" vertical="center"/>
    </xf>
    <xf numFmtId="0" fontId="2" fillId="0" borderId="0" xfId="857" applyNumberFormat="1" applyFont="1" applyBorder="1" applyAlignment="1">
      <alignment vertical="center"/>
    </xf>
    <xf numFmtId="0" fontId="2" fillId="0" borderId="5" xfId="857" applyNumberFormat="1" applyFont="1" applyBorder="1" applyAlignment="1">
      <alignment vertical="center"/>
    </xf>
    <xf numFmtId="0" fontId="2" fillId="0" borderId="31" xfId="857" applyNumberFormat="1" applyFont="1" applyBorder="1" applyAlignment="1">
      <alignment horizontal="center" vertical="center"/>
    </xf>
    <xf numFmtId="0" fontId="2" fillId="0" borderId="29" xfId="857" applyNumberFormat="1" applyFont="1" applyBorder="1" applyAlignment="1">
      <alignment horizontal="center" vertical="center"/>
    </xf>
    <xf numFmtId="0" fontId="2" fillId="0" borderId="3" xfId="857" applyNumberFormat="1" applyFont="1" applyBorder="1" applyAlignment="1">
      <alignment horizontal="centerContinuous" vertical="center"/>
    </xf>
    <xf numFmtId="0" fontId="2" fillId="0" borderId="4" xfId="857" applyNumberFormat="1" applyFont="1" applyBorder="1" applyAlignment="1">
      <alignment vertical="center"/>
    </xf>
    <xf numFmtId="0" fontId="2" fillId="0" borderId="30" xfId="857" applyNumberFormat="1" applyFont="1" applyBorder="1" applyAlignment="1">
      <alignment vertical="center"/>
    </xf>
    <xf numFmtId="0" fontId="2" fillId="0" borderId="28" xfId="857" applyNumberFormat="1" applyFont="1" applyBorder="1" applyAlignment="1">
      <alignment horizontal="center" vertical="center"/>
    </xf>
    <xf numFmtId="0" fontId="2" fillId="0" borderId="28" xfId="857" applyNumberFormat="1" applyFont="1" applyBorder="1" applyAlignment="1">
      <alignment horizontal="centerContinuous" vertical="center"/>
    </xf>
    <xf numFmtId="0" fontId="2" fillId="0" borderId="28" xfId="840" applyNumberFormat="1" applyFont="1" applyBorder="1" applyAlignment="1">
      <alignment horizontal="center" vertical="center"/>
    </xf>
    <xf numFmtId="0" fontId="2" fillId="0" borderId="0" xfId="857" applyNumberFormat="1" applyFont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857" applyNumberFormat="1" applyFont="1" applyBorder="1" applyAlignment="1">
      <alignment horizontal="center" vertical="center"/>
    </xf>
    <xf numFmtId="0" fontId="2" fillId="0" borderId="0" xfId="840" applyNumberFormat="1" applyFont="1" applyAlignment="1">
      <alignment vertical="center"/>
    </xf>
    <xf numFmtId="0" fontId="2" fillId="0" borderId="0" xfId="857" quotePrefix="1" applyNumberFormat="1" applyFont="1" applyAlignment="1">
      <alignment horizontal="left" vertical="center"/>
    </xf>
    <xf numFmtId="179" fontId="2" fillId="0" borderId="0" xfId="857" applyNumberFormat="1" applyFont="1" applyAlignment="1">
      <alignment horizontal="center" vertical="center"/>
    </xf>
    <xf numFmtId="179" fontId="2" fillId="0" borderId="0" xfId="857" applyNumberFormat="1" applyFont="1" applyBorder="1" applyAlignment="1">
      <alignment horizontal="center" vertical="center"/>
    </xf>
    <xf numFmtId="179" fontId="2" fillId="0" borderId="28" xfId="463" applyNumberFormat="1" applyFont="1" applyBorder="1" applyAlignment="1">
      <alignment horizontal="right" vertical="center"/>
    </xf>
    <xf numFmtId="0" fontId="2" fillId="0" borderId="4" xfId="857" applyNumberFormat="1" applyFont="1" applyBorder="1" applyAlignment="1">
      <alignment horizontal="center" vertical="center"/>
    </xf>
    <xf numFmtId="0" fontId="2" fillId="0" borderId="30" xfId="857" applyNumberFormat="1" applyFont="1" applyBorder="1" applyAlignment="1">
      <alignment horizontal="center" vertical="center"/>
    </xf>
    <xf numFmtId="0" fontId="2" fillId="0" borderId="0" xfId="857" applyNumberFormat="1" applyFont="1" applyAlignment="1">
      <alignment horizontal="centerContinuous" vertical="center"/>
    </xf>
    <xf numFmtId="0" fontId="3" fillId="0" borderId="0" xfId="857" applyNumberFormat="1" applyFont="1" applyBorder="1" applyAlignment="1">
      <alignment horizontal="centerContinuous" vertical="center"/>
    </xf>
    <xf numFmtId="0" fontId="2" fillId="3" borderId="0" xfId="0" applyNumberFormat="1" applyFont="1" applyFill="1" applyBorder="1" applyAlignment="1">
      <alignment horizontal="centerContinuous" vertical="center"/>
    </xf>
    <xf numFmtId="0" fontId="2" fillId="3" borderId="0" xfId="0" applyNumberFormat="1" applyFont="1" applyFill="1" applyAlignment="1">
      <alignment horizontal="center" vertical="center"/>
    </xf>
    <xf numFmtId="0" fontId="3" fillId="3" borderId="0" xfId="463" applyNumberFormat="1" applyFont="1" applyFill="1" applyAlignment="1">
      <alignment horizontal="centerContinuous" vertical="center"/>
    </xf>
    <xf numFmtId="0" fontId="2" fillId="3" borderId="0" xfId="463" applyNumberFormat="1" applyFont="1" applyFill="1" applyBorder="1" applyAlignment="1">
      <alignment horizontal="centerContinuous" vertical="center"/>
    </xf>
    <xf numFmtId="0" fontId="2" fillId="3" borderId="0" xfId="464" applyNumberFormat="1" applyFont="1" applyFill="1" applyAlignment="1">
      <alignment horizontal="right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30" xfId="463" applyNumberFormat="1" applyFont="1" applyFill="1" applyBorder="1" applyAlignment="1">
      <alignment horizontal="left" vertical="center"/>
    </xf>
    <xf numFmtId="0" fontId="2" fillId="3" borderId="0" xfId="463" applyNumberFormat="1" applyFont="1" applyFill="1" applyBorder="1" applyAlignment="1">
      <alignment vertical="center"/>
    </xf>
    <xf numFmtId="0" fontId="2" fillId="3" borderId="0" xfId="463" applyNumberFormat="1" applyFont="1" applyFill="1" applyAlignment="1">
      <alignment vertical="center"/>
    </xf>
    <xf numFmtId="179" fontId="2" fillId="3" borderId="28" xfId="463" applyNumberFormat="1" applyFont="1" applyFill="1" applyBorder="1" applyAlignment="1">
      <alignment horizontal="right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Continuous" vertical="center"/>
    </xf>
    <xf numFmtId="0" fontId="3" fillId="3" borderId="0" xfId="0" applyNumberFormat="1" applyFont="1" applyFill="1" applyBorder="1" applyAlignment="1">
      <alignment horizontal="centerContinuous" vertical="center"/>
    </xf>
    <xf numFmtId="0" fontId="3" fillId="3" borderId="0" xfId="463" applyNumberFormat="1" applyFont="1" applyFill="1" applyBorder="1" applyAlignment="1">
      <alignment horizontal="centerContinuous" vertical="center"/>
    </xf>
    <xf numFmtId="0" fontId="3" fillId="3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463" applyNumberFormat="1" applyFont="1" applyFill="1" applyAlignment="1">
      <alignment horizontal="left" vertical="center"/>
    </xf>
    <xf numFmtId="0" fontId="2" fillId="3" borderId="0" xfId="463" applyNumberFormat="1" applyFont="1" applyFill="1" applyBorder="1" applyAlignment="1">
      <alignment horizontal="right" vertical="center"/>
    </xf>
    <xf numFmtId="0" fontId="2" fillId="3" borderId="4" xfId="463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centerContinuous" vertical="center"/>
    </xf>
    <xf numFmtId="0" fontId="2" fillId="3" borderId="24" xfId="463" applyNumberFormat="1" applyFont="1" applyFill="1" applyBorder="1" applyAlignment="1">
      <alignment horizontal="left" vertical="center"/>
    </xf>
    <xf numFmtId="0" fontId="2" fillId="3" borderId="0" xfId="861" applyNumberFormat="1" applyFont="1" applyFill="1" applyBorder="1" applyAlignment="1">
      <alignment vertical="center"/>
    </xf>
    <xf numFmtId="0" fontId="2" fillId="3" borderId="0" xfId="463" quotePrefix="1" applyNumberFormat="1" applyFont="1" applyFill="1" applyBorder="1" applyAlignment="1">
      <alignment horizontal="left" vertical="center"/>
    </xf>
    <xf numFmtId="0" fontId="2" fillId="3" borderId="0" xfId="463" applyNumberFormat="1" applyFont="1" applyFill="1" applyBorder="1" applyAlignment="1">
      <alignment horizontal="left" vertical="center"/>
    </xf>
    <xf numFmtId="0" fontId="2" fillId="3" borderId="0" xfId="861" applyNumberFormat="1" applyFont="1" applyFill="1" applyAlignment="1">
      <alignment vertical="center"/>
    </xf>
    <xf numFmtId="0" fontId="2" fillId="3" borderId="0" xfId="0" applyNumberFormat="1" applyFont="1" applyFill="1" applyAlignment="1">
      <alignment horizontal="centerContinuous" vertical="center"/>
    </xf>
    <xf numFmtId="179" fontId="2" fillId="3" borderId="2" xfId="463" applyNumberFormat="1" applyFont="1" applyFill="1" applyBorder="1" applyAlignment="1">
      <alignment horizontal="right" vertical="center"/>
    </xf>
    <xf numFmtId="0" fontId="2" fillId="3" borderId="15" xfId="463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vertical="center"/>
    </xf>
    <xf numFmtId="0" fontId="3" fillId="3" borderId="0" xfId="0" applyNumberFormat="1" applyFont="1" applyFill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distributed" vertical="center"/>
    </xf>
    <xf numFmtId="0" fontId="2" fillId="3" borderId="0" xfId="859" applyNumberFormat="1" applyFont="1" applyFill="1" applyAlignment="1">
      <alignment vertical="center"/>
    </xf>
    <xf numFmtId="0" fontId="2" fillId="3" borderId="0" xfId="839" applyNumberFormat="1" applyFont="1" applyFill="1" applyAlignment="1">
      <alignment vertical="center"/>
    </xf>
    <xf numFmtId="0" fontId="3" fillId="3" borderId="0" xfId="859" applyNumberFormat="1" applyFont="1" applyFill="1" applyAlignment="1">
      <alignment horizontal="centerContinuous" vertical="center"/>
    </xf>
    <xf numFmtId="0" fontId="3" fillId="3" borderId="0" xfId="839" applyNumberFormat="1" applyFont="1" applyFill="1" applyAlignment="1">
      <alignment horizontal="centerContinuous" vertical="center"/>
    </xf>
    <xf numFmtId="0" fontId="3" fillId="3" borderId="0" xfId="859" applyNumberFormat="1" applyFont="1" applyFill="1" applyAlignment="1">
      <alignment vertical="center"/>
    </xf>
    <xf numFmtId="0" fontId="2" fillId="3" borderId="0" xfId="859" applyNumberFormat="1" applyFont="1" applyFill="1" applyAlignment="1">
      <alignment horizontal="centerContinuous" vertical="center"/>
    </xf>
    <xf numFmtId="0" fontId="2" fillId="3" borderId="0" xfId="839" applyNumberFormat="1" applyFont="1" applyFill="1" applyAlignment="1">
      <alignment horizontal="centerContinuous" vertical="center"/>
    </xf>
    <xf numFmtId="0" fontId="2" fillId="3" borderId="0" xfId="859" applyNumberFormat="1" applyFont="1" applyFill="1" applyAlignment="1">
      <alignment horizontal="left" vertical="center"/>
    </xf>
    <xf numFmtId="0" fontId="2" fillId="3" borderId="2" xfId="859" applyNumberFormat="1" applyFont="1" applyFill="1" applyBorder="1" applyAlignment="1">
      <alignment horizontal="centerContinuous" vertical="center"/>
    </xf>
    <xf numFmtId="0" fontId="2" fillId="3" borderId="19" xfId="858" applyNumberFormat="1" applyFont="1" applyFill="1" applyBorder="1" applyAlignment="1">
      <alignment horizontal="distributed" vertical="center"/>
    </xf>
    <xf numFmtId="0" fontId="2" fillId="3" borderId="24" xfId="859" applyNumberFormat="1" applyFont="1" applyFill="1" applyBorder="1" applyAlignment="1">
      <alignment horizontal="centerContinuous" vertical="center"/>
    </xf>
    <xf numFmtId="0" fontId="2" fillId="3" borderId="0" xfId="859" applyNumberFormat="1" applyFont="1" applyFill="1" applyBorder="1" applyAlignment="1">
      <alignment horizontal="left" vertical="center"/>
    </xf>
    <xf numFmtId="0" fontId="2" fillId="3" borderId="26" xfId="859" applyNumberFormat="1" applyFont="1" applyFill="1" applyBorder="1" applyAlignment="1">
      <alignment horizontal="centerContinuous" vertical="center"/>
    </xf>
    <xf numFmtId="0" fontId="2" fillId="3" borderId="27" xfId="859" applyNumberFormat="1" applyFont="1" applyFill="1" applyBorder="1" applyAlignment="1">
      <alignment horizontal="centerContinuous" vertical="center"/>
    </xf>
    <xf numFmtId="0" fontId="2" fillId="3" borderId="25" xfId="859" applyNumberFormat="1" applyFont="1" applyFill="1" applyBorder="1" applyAlignment="1">
      <alignment horizontal="centerContinuous" vertical="center"/>
    </xf>
    <xf numFmtId="0" fontId="2" fillId="3" borderId="26" xfId="854" applyNumberFormat="1" applyFont="1" applyFill="1" applyBorder="1" applyAlignment="1">
      <alignment horizontal="centerContinuous" vertical="center"/>
    </xf>
    <xf numFmtId="0" fontId="2" fillId="3" borderId="25" xfId="854" applyNumberFormat="1" applyFont="1" applyFill="1" applyBorder="1" applyAlignment="1">
      <alignment horizontal="centerContinuous" vertical="center"/>
    </xf>
    <xf numFmtId="0" fontId="2" fillId="3" borderId="4" xfId="859" applyNumberFormat="1" applyFont="1" applyFill="1" applyBorder="1" applyAlignment="1">
      <alignment horizontal="centerContinuous" vertical="center"/>
    </xf>
    <xf numFmtId="0" fontId="2" fillId="3" borderId="0" xfId="858" applyNumberFormat="1" applyFont="1" applyFill="1" applyBorder="1" applyAlignment="1">
      <alignment horizontal="distributed" vertical="center"/>
    </xf>
    <xf numFmtId="0" fontId="2" fillId="3" borderId="30" xfId="859" applyNumberFormat="1" applyFont="1" applyFill="1" applyBorder="1" applyAlignment="1">
      <alignment horizontal="centerContinuous" vertical="center"/>
    </xf>
    <xf numFmtId="179" fontId="2" fillId="3" borderId="4" xfId="839" applyNumberFormat="1" applyFont="1" applyFill="1" applyBorder="1" applyAlignment="1">
      <alignment horizontal="right" vertical="center"/>
    </xf>
    <xf numFmtId="179" fontId="2" fillId="3" borderId="30" xfId="839" applyNumberFormat="1" applyFont="1" applyFill="1" applyBorder="1" applyAlignment="1">
      <alignment horizontal="right" vertical="center"/>
    </xf>
    <xf numFmtId="0" fontId="2" fillId="3" borderId="30" xfId="839" applyNumberFormat="1" applyFont="1" applyFill="1" applyBorder="1" applyAlignment="1">
      <alignment vertical="center"/>
    </xf>
    <xf numFmtId="0" fontId="2" fillId="3" borderId="0" xfId="857" applyNumberFormat="1" applyFont="1" applyFill="1" applyAlignment="1">
      <alignment horizontal="left" vertical="center"/>
    </xf>
    <xf numFmtId="0" fontId="2" fillId="3" borderId="0" xfId="857" applyNumberFormat="1" applyFont="1" applyFill="1" applyBorder="1" applyAlignment="1">
      <alignment horizontal="left" vertical="center"/>
    </xf>
    <xf numFmtId="0" fontId="3" fillId="3" borderId="0" xfId="0" quotePrefix="1" applyNumberFormat="1" applyFont="1" applyFill="1" applyAlignment="1">
      <alignment horizontal="centerContinuous" vertical="center"/>
    </xf>
    <xf numFmtId="0" fontId="3" fillId="3" borderId="0" xfId="0" quotePrefix="1" applyNumberFormat="1" applyFont="1" applyFill="1" applyBorder="1" applyAlignment="1">
      <alignment horizontal="centerContinuous" vertical="center"/>
    </xf>
    <xf numFmtId="0" fontId="2" fillId="3" borderId="0" xfId="463" applyNumberFormat="1" applyFont="1" applyFill="1" applyAlignment="1">
      <alignment horizontal="right" vertical="center"/>
    </xf>
    <xf numFmtId="0" fontId="2" fillId="3" borderId="3" xfId="0" applyNumberFormat="1" applyFont="1" applyFill="1" applyBorder="1" applyAlignment="1">
      <alignment horizontal="left" vertical="center"/>
    </xf>
    <xf numFmtId="0" fontId="2" fillId="3" borderId="0" xfId="861" quotePrefix="1" applyNumberFormat="1" applyFont="1" applyFill="1" applyBorder="1" applyAlignment="1">
      <alignment horizontal="left" vertical="center"/>
    </xf>
    <xf numFmtId="0" fontId="2" fillId="3" borderId="0" xfId="861" quotePrefix="1" applyNumberFormat="1" applyFont="1" applyFill="1" applyAlignment="1">
      <alignment horizontal="left" vertical="center"/>
    </xf>
    <xf numFmtId="0" fontId="2" fillId="3" borderId="0" xfId="861" applyNumberFormat="1" applyFont="1" applyFill="1" applyAlignment="1">
      <alignment horizontal="left" vertical="center"/>
    </xf>
    <xf numFmtId="179" fontId="2" fillId="3" borderId="24" xfId="463" applyNumberFormat="1" applyFont="1" applyFill="1" applyBorder="1" applyAlignment="1">
      <alignment horizontal="right" vertical="center"/>
    </xf>
    <xf numFmtId="179" fontId="2" fillId="3" borderId="3" xfId="839" applyNumberFormat="1" applyFont="1" applyFill="1" applyBorder="1" applyAlignment="1">
      <alignment horizontal="right" vertical="center"/>
    </xf>
    <xf numFmtId="0" fontId="2" fillId="3" borderId="2" xfId="839" applyNumberFormat="1" applyFont="1" applyFill="1" applyBorder="1" applyAlignment="1">
      <alignment horizontal="centerContinuous" vertical="center"/>
    </xf>
    <xf numFmtId="0" fontId="2" fillId="3" borderId="19" xfId="859" applyNumberFormat="1" applyFont="1" applyFill="1" applyBorder="1" applyAlignment="1">
      <alignment horizontal="centerContinuous" vertical="center"/>
    </xf>
    <xf numFmtId="0" fontId="2" fillId="3" borderId="25" xfId="839" applyNumberFormat="1" applyFont="1" applyFill="1" applyBorder="1" applyAlignment="1">
      <alignment horizontal="center" vertical="center"/>
    </xf>
    <xf numFmtId="0" fontId="2" fillId="3" borderId="30" xfId="839" applyNumberFormat="1" applyFont="1" applyFill="1" applyBorder="1" applyAlignment="1">
      <alignment horizontal="center" vertical="center"/>
    </xf>
    <xf numFmtId="0" fontId="2" fillId="3" borderId="29" xfId="839" applyNumberFormat="1" applyFont="1" applyFill="1" applyBorder="1" applyAlignment="1">
      <alignment horizontal="center" vertical="center"/>
    </xf>
    <xf numFmtId="0" fontId="2" fillId="3" borderId="2" xfId="463" applyNumberFormat="1" applyFont="1" applyFill="1" applyBorder="1" applyAlignment="1">
      <alignment horizontal="left" vertical="center"/>
    </xf>
    <xf numFmtId="0" fontId="2" fillId="3" borderId="19" xfId="463" applyNumberFormat="1" applyFont="1" applyFill="1" applyBorder="1" applyAlignment="1">
      <alignment horizontal="left" vertical="center"/>
    </xf>
    <xf numFmtId="0" fontId="2" fillId="3" borderId="4" xfId="463" applyNumberFormat="1" applyFont="1" applyFill="1" applyBorder="1" applyAlignment="1">
      <alignment horizontal="left" vertical="center"/>
    </xf>
    <xf numFmtId="0" fontId="2" fillId="3" borderId="24" xfId="463" applyNumberFormat="1" applyFont="1" applyFill="1" applyBorder="1" applyAlignment="1">
      <alignment horizontal="centerContinuous" vertical="center"/>
    </xf>
    <xf numFmtId="0" fontId="2" fillId="3" borderId="2" xfId="463" applyNumberFormat="1" applyFont="1" applyFill="1" applyBorder="1" applyAlignment="1">
      <alignment horizontal="centerContinuous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3" borderId="4" xfId="0" applyNumberFormat="1" applyFont="1" applyFill="1" applyBorder="1" applyAlignment="1">
      <alignment vertical="center"/>
    </xf>
    <xf numFmtId="0" fontId="2" fillId="3" borderId="30" xfId="0" applyNumberFormat="1" applyFont="1" applyFill="1" applyBorder="1" applyAlignment="1">
      <alignment vertical="center"/>
    </xf>
    <xf numFmtId="0" fontId="2" fillId="3" borderId="28" xfId="0" applyNumberFormat="1" applyFont="1" applyFill="1" applyBorder="1" applyAlignment="1">
      <alignment vertical="center"/>
    </xf>
    <xf numFmtId="0" fontId="3" fillId="3" borderId="0" xfId="463" applyNumberFormat="1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left" vertical="center"/>
    </xf>
    <xf numFmtId="0" fontId="2" fillId="3" borderId="2" xfId="463" applyNumberFormat="1" applyFont="1" applyFill="1" applyBorder="1" applyAlignment="1">
      <alignment vertical="center"/>
    </xf>
    <xf numFmtId="0" fontId="2" fillId="3" borderId="2" xfId="463" applyNumberFormat="1" applyFont="1" applyFill="1" applyBorder="1" applyAlignment="1">
      <alignment vertical="center" wrapText="1"/>
    </xf>
    <xf numFmtId="0" fontId="2" fillId="3" borderId="0" xfId="861" applyNumberFormat="1" applyFont="1" applyFill="1" applyBorder="1" applyAlignment="1">
      <alignment horizontal="left" vertical="center"/>
    </xf>
    <xf numFmtId="183" fontId="2" fillId="3" borderId="2" xfId="463" applyNumberFormat="1" applyFont="1" applyFill="1" applyBorder="1" applyAlignment="1">
      <alignment horizontal="right" vertical="center"/>
    </xf>
    <xf numFmtId="183" fontId="2" fillId="3" borderId="24" xfId="463" applyNumberFormat="1" applyFont="1" applyFill="1" applyBorder="1" applyAlignment="1">
      <alignment horizontal="right" vertical="center"/>
    </xf>
    <xf numFmtId="179" fontId="2" fillId="3" borderId="19" xfId="463" applyNumberFormat="1" applyFont="1" applyFill="1" applyBorder="1" applyAlignment="1">
      <alignment horizontal="right" vertical="center"/>
    </xf>
    <xf numFmtId="183" fontId="2" fillId="3" borderId="19" xfId="463" applyNumberFormat="1" applyFont="1" applyFill="1" applyBorder="1" applyAlignment="1">
      <alignment horizontal="right" vertical="center"/>
    </xf>
    <xf numFmtId="0" fontId="2" fillId="3" borderId="19" xfId="463" applyNumberFormat="1" applyFont="1" applyFill="1" applyBorder="1" applyAlignment="1">
      <alignment vertical="center"/>
    </xf>
    <xf numFmtId="0" fontId="2" fillId="3" borderId="19" xfId="463" applyNumberFormat="1" applyFont="1" applyFill="1" applyBorder="1" applyAlignment="1">
      <alignment vertical="center" wrapText="1"/>
    </xf>
    <xf numFmtId="0" fontId="2" fillId="3" borderId="0" xfId="0" quotePrefix="1" applyNumberFormat="1" applyFont="1" applyFill="1" applyAlignment="1">
      <alignment horizontal="centerContinuous" vertical="center"/>
    </xf>
    <xf numFmtId="0" fontId="2" fillId="3" borderId="0" xfId="0" quotePrefix="1" applyNumberFormat="1" applyFont="1" applyFill="1" applyBorder="1" applyAlignment="1">
      <alignment horizontal="centerContinuous" vertical="center"/>
    </xf>
    <xf numFmtId="0" fontId="2" fillId="3" borderId="0" xfId="463" applyNumberFormat="1" applyFont="1" applyFill="1" applyAlignment="1">
      <alignment horizontal="centerContinuous" vertical="center"/>
    </xf>
    <xf numFmtId="0" fontId="2" fillId="3" borderId="0" xfId="0" applyNumberFormat="1" applyFont="1" applyFill="1" applyAlignment="1">
      <alignment horizontal="right" vertical="center"/>
    </xf>
    <xf numFmtId="0" fontId="2" fillId="3" borderId="26" xfId="860" applyNumberFormat="1" applyFont="1" applyFill="1" applyBorder="1" applyAlignment="1">
      <alignment horizontal="center" vertical="center"/>
    </xf>
    <xf numFmtId="0" fontId="2" fillId="3" borderId="27" xfId="860" applyNumberFormat="1" applyFont="1" applyFill="1" applyBorder="1" applyAlignment="1">
      <alignment horizontal="center" vertical="center"/>
    </xf>
    <xf numFmtId="0" fontId="2" fillId="3" borderId="27" xfId="860" applyNumberFormat="1" applyFont="1" applyFill="1" applyBorder="1" applyAlignment="1">
      <alignment horizontal="right" vertical="center"/>
    </xf>
    <xf numFmtId="0" fontId="2" fillId="3" borderId="5" xfId="860" applyNumberFormat="1" applyFont="1" applyFill="1" applyBorder="1" applyAlignment="1">
      <alignment horizontal="left" vertical="center"/>
    </xf>
    <xf numFmtId="0" fontId="2" fillId="3" borderId="31" xfId="860" applyNumberFormat="1" applyFont="1" applyFill="1" applyBorder="1" applyAlignment="1">
      <alignment vertical="center"/>
    </xf>
    <xf numFmtId="0" fontId="2" fillId="3" borderId="19" xfId="0" quotePrefix="1" applyNumberFormat="1" applyFont="1" applyFill="1" applyBorder="1" applyAlignment="1">
      <alignment horizontal="distributed" vertical="center"/>
    </xf>
    <xf numFmtId="0" fontId="2" fillId="3" borderId="19" xfId="0" quotePrefix="1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Continuous" vertical="center"/>
    </xf>
    <xf numFmtId="185" fontId="2" fillId="3" borderId="2" xfId="0" applyNumberFormat="1" applyFont="1" applyFill="1" applyBorder="1" applyAlignment="1">
      <alignment horizontal="right" vertical="center"/>
    </xf>
    <xf numFmtId="0" fontId="2" fillId="3" borderId="31" xfId="860" applyNumberFormat="1" applyFont="1" applyFill="1" applyBorder="1" applyAlignment="1">
      <alignment horizontal="left" vertical="center"/>
    </xf>
    <xf numFmtId="0" fontId="2" fillId="3" borderId="31" xfId="0" quotePrefix="1" applyNumberFormat="1" applyFont="1" applyFill="1" applyBorder="1" applyAlignment="1">
      <alignment vertical="center"/>
    </xf>
    <xf numFmtId="0" fontId="2" fillId="3" borderId="19" xfId="0" quotePrefix="1" applyNumberFormat="1" applyFont="1" applyFill="1" applyBorder="1" applyAlignment="1">
      <alignment vertical="center"/>
    </xf>
    <xf numFmtId="0" fontId="2" fillId="3" borderId="19" xfId="463" applyNumberFormat="1" applyFont="1" applyFill="1" applyBorder="1" applyAlignment="1">
      <alignment horizontal="right" vertical="center"/>
    </xf>
    <xf numFmtId="0" fontId="2" fillId="3" borderId="27" xfId="463" applyNumberFormat="1" applyFont="1" applyFill="1" applyBorder="1" applyAlignment="1">
      <alignment horizontal="center" vertical="center"/>
    </xf>
    <xf numFmtId="0" fontId="2" fillId="3" borderId="31" xfId="463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463" applyNumberFormat="1" applyFont="1" applyAlignment="1">
      <alignment vertical="center"/>
    </xf>
    <xf numFmtId="0" fontId="3" fillId="3" borderId="0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Continuous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0" xfId="463" applyNumberFormat="1" applyFont="1" applyBorder="1" applyAlignment="1">
      <alignment vertical="center"/>
    </xf>
    <xf numFmtId="0" fontId="2" fillId="0" borderId="19" xfId="463" applyNumberFormat="1" applyFont="1" applyBorder="1" applyAlignment="1">
      <alignment horizontal="centerContinuous" vertical="center"/>
    </xf>
    <xf numFmtId="0" fontId="2" fillId="0" borderId="2" xfId="463" applyNumberFormat="1" applyFont="1" applyBorder="1" applyAlignment="1">
      <alignment horizontal="center" vertical="center"/>
    </xf>
    <xf numFmtId="0" fontId="2" fillId="0" borderId="0" xfId="463" applyNumberFormat="1" applyFont="1" applyBorder="1" applyAlignment="1">
      <alignment vertical="center"/>
    </xf>
    <xf numFmtId="179" fontId="2" fillId="0" borderId="30" xfId="463" applyNumberFormat="1" applyFont="1" applyBorder="1" applyAlignment="1">
      <alignment horizontal="right" vertical="center"/>
    </xf>
    <xf numFmtId="179" fontId="2" fillId="0" borderId="24" xfId="463" applyNumberFormat="1" applyFont="1" applyBorder="1" applyAlignment="1">
      <alignment horizontal="right" vertical="center"/>
    </xf>
    <xf numFmtId="179" fontId="2" fillId="0" borderId="3" xfId="463" applyNumberFormat="1" applyFont="1" applyBorder="1" applyAlignment="1">
      <alignment horizontal="right" vertical="center"/>
    </xf>
    <xf numFmtId="0" fontId="2" fillId="0" borderId="24" xfId="463" applyNumberFormat="1" applyFont="1" applyBorder="1" applyAlignment="1">
      <alignment horizontal="centerContinuous" vertical="center" wrapText="1"/>
    </xf>
    <xf numFmtId="0" fontId="2" fillId="0" borderId="3" xfId="463" applyNumberFormat="1" applyFont="1" applyBorder="1" applyAlignment="1">
      <alignment horizontal="centerContinuous" vertical="center" wrapText="1"/>
    </xf>
    <xf numFmtId="0" fontId="2" fillId="0" borderId="3" xfId="463" applyNumberFormat="1" applyFont="1" applyBorder="1" applyAlignment="1">
      <alignment horizontal="centerContinuous" vertical="center"/>
    </xf>
    <xf numFmtId="0" fontId="2" fillId="0" borderId="19" xfId="463" applyNumberFormat="1" applyFont="1" applyBorder="1" applyAlignment="1">
      <alignment horizontal="centerContinuous" vertical="center" wrapText="1"/>
    </xf>
    <xf numFmtId="179" fontId="2" fillId="0" borderId="19" xfId="463" applyNumberFormat="1" applyFont="1" applyBorder="1" applyAlignment="1">
      <alignment horizontal="right" vertical="center"/>
    </xf>
    <xf numFmtId="0" fontId="2" fillId="0" borderId="2" xfId="463" applyNumberFormat="1" applyFont="1" applyBorder="1" applyAlignment="1">
      <alignment horizontal="centerContinuous" vertical="center" wrapText="1"/>
    </xf>
    <xf numFmtId="179" fontId="2" fillId="0" borderId="4" xfId="463" applyNumberFormat="1" applyFont="1" applyBorder="1" applyAlignment="1">
      <alignment horizontal="right" vertical="center"/>
    </xf>
    <xf numFmtId="179" fontId="2" fillId="0" borderId="2" xfId="463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centerContinuous" vertical="center"/>
    </xf>
    <xf numFmtId="41" fontId="2" fillId="3" borderId="24" xfId="463" applyFont="1" applyFill="1" applyBorder="1" applyAlignment="1">
      <alignment horizontal="left" vertical="center"/>
    </xf>
    <xf numFmtId="41" fontId="2" fillId="3" borderId="3" xfId="463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41" fontId="2" fillId="3" borderId="0" xfId="463" applyFont="1" applyFill="1" applyAlignment="1">
      <alignment horizontal="left" vertical="center"/>
    </xf>
    <xf numFmtId="0" fontId="2" fillId="3" borderId="0" xfId="857" applyFont="1" applyFill="1" applyAlignment="1">
      <alignment horizontal="left" vertical="center"/>
    </xf>
    <xf numFmtId="0" fontId="2" fillId="3" borderId="0" xfId="857" applyFont="1" applyFill="1" applyBorder="1" applyAlignment="1">
      <alignment horizontal="left" vertical="center"/>
    </xf>
    <xf numFmtId="0" fontId="2" fillId="3" borderId="0" xfId="0" applyFont="1" applyFill="1" applyAlignment="1">
      <alignment horizontal="centerContinuous" vertic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463" applyNumberFormat="1" applyFont="1" applyFill="1" applyBorder="1" applyAlignment="1">
      <alignment horizontal="center" vertical="center" wrapText="1"/>
    </xf>
    <xf numFmtId="41" fontId="2" fillId="3" borderId="3" xfId="463" applyFont="1" applyFill="1" applyBorder="1" applyAlignment="1">
      <alignment horizontal="left" vertical="center"/>
    </xf>
    <xf numFmtId="0" fontId="2" fillId="0" borderId="0" xfId="857" quotePrefix="1" applyNumberFormat="1" applyFont="1" applyBorder="1" applyAlignment="1">
      <alignment horizontal="left" vertical="center"/>
    </xf>
    <xf numFmtId="0" fontId="2" fillId="0" borderId="0" xfId="857" quotePrefix="1" applyNumberFormat="1" applyFont="1" applyBorder="1" applyAlignment="1">
      <alignment horizontal="center" vertical="center"/>
    </xf>
    <xf numFmtId="0" fontId="2" fillId="0" borderId="0" xfId="857" applyNumberFormat="1" applyFont="1" applyBorder="1" applyAlignment="1">
      <alignment horizontal="left" vertical="center"/>
    </xf>
    <xf numFmtId="0" fontId="2" fillId="3" borderId="25" xfId="857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left" vertical="center"/>
    </xf>
    <xf numFmtId="0" fontId="2" fillId="3" borderId="31" xfId="0" applyNumberFormat="1" applyFont="1" applyFill="1" applyBorder="1" applyAlignment="1">
      <alignment horizontal="distributed" vertical="center" wrapText="1"/>
    </xf>
    <xf numFmtId="0" fontId="2" fillId="3" borderId="30" xfId="857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distributed" vertical="center" wrapText="1"/>
    </xf>
    <xf numFmtId="0" fontId="2" fillId="3" borderId="19" xfId="858" applyNumberFormat="1" applyFont="1" applyFill="1" applyBorder="1" applyAlignment="1">
      <alignment horizontal="center" vertical="center"/>
    </xf>
    <xf numFmtId="179" fontId="2" fillId="3" borderId="28" xfId="0" applyNumberFormat="1" applyFont="1" applyFill="1" applyBorder="1" applyAlignment="1">
      <alignment horizontal="right" vertical="center" shrinkToFit="1"/>
    </xf>
    <xf numFmtId="179" fontId="2" fillId="3" borderId="30" xfId="463" applyNumberFormat="1" applyFont="1" applyFill="1" applyBorder="1" applyAlignment="1">
      <alignment horizontal="right" vertical="center" shrinkToFit="1"/>
    </xf>
    <xf numFmtId="179" fontId="2" fillId="3" borderId="28" xfId="463" applyNumberFormat="1" applyFont="1" applyFill="1" applyBorder="1" applyAlignment="1">
      <alignment horizontal="right" vertical="center" shrinkToFit="1"/>
    </xf>
    <xf numFmtId="179" fontId="2" fillId="3" borderId="14" xfId="0" applyNumberFormat="1" applyFont="1" applyFill="1" applyBorder="1" applyAlignment="1">
      <alignment horizontal="right" vertical="center" shrinkToFit="1"/>
    </xf>
    <xf numFmtId="179" fontId="2" fillId="3" borderId="29" xfId="0" applyNumberFormat="1" applyFont="1" applyFill="1" applyBorder="1" applyAlignment="1">
      <alignment horizontal="right" vertical="center" shrinkToFit="1"/>
    </xf>
    <xf numFmtId="179" fontId="2" fillId="3" borderId="14" xfId="463" applyNumberFormat="1" applyFont="1" applyFill="1" applyBorder="1" applyAlignment="1">
      <alignment horizontal="right" vertical="center" shrinkToFit="1"/>
    </xf>
    <xf numFmtId="179" fontId="2" fillId="3" borderId="3" xfId="0" applyNumberFormat="1" applyFont="1" applyFill="1" applyBorder="1" applyAlignment="1">
      <alignment horizontal="right" vertical="center" shrinkToFit="1"/>
    </xf>
    <xf numFmtId="179" fontId="2" fillId="3" borderId="3" xfId="463" applyNumberFormat="1" applyFont="1" applyFill="1" applyBorder="1" applyAlignment="1">
      <alignment horizontal="right" vertical="center" shrinkToFit="1"/>
    </xf>
    <xf numFmtId="179" fontId="2" fillId="3" borderId="24" xfId="463" applyNumberFormat="1" applyFont="1" applyFill="1" applyBorder="1" applyAlignment="1">
      <alignment horizontal="right" vertical="center" shrinkToFit="1"/>
    </xf>
    <xf numFmtId="186" fontId="2" fillId="3" borderId="30" xfId="463" applyNumberFormat="1" applyFont="1" applyFill="1" applyBorder="1" applyAlignment="1">
      <alignment horizontal="right" vertical="center" shrinkToFit="1"/>
    </xf>
    <xf numFmtId="41" fontId="2" fillId="0" borderId="0" xfId="463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1" fillId="3" borderId="2" xfId="463" applyNumberFormat="1" applyFont="1" applyFill="1" applyBorder="1" applyAlignment="1">
      <alignment horizontal="left" vertical="center"/>
    </xf>
    <xf numFmtId="0" fontId="1" fillId="3" borderId="19" xfId="463" applyNumberFormat="1" applyFont="1" applyFill="1" applyBorder="1" applyAlignment="1">
      <alignment horizontal="distributed" vertical="center"/>
    </xf>
    <xf numFmtId="41" fontId="1" fillId="3" borderId="24" xfId="463" applyFont="1" applyFill="1" applyBorder="1" applyAlignment="1">
      <alignment horizontal="left" vertical="center"/>
    </xf>
    <xf numFmtId="41" fontId="1" fillId="3" borderId="3" xfId="463" applyFont="1" applyFill="1" applyBorder="1" applyAlignment="1">
      <alignment horizontal="left" vertical="center" wrapText="1"/>
    </xf>
    <xf numFmtId="41" fontId="1" fillId="3" borderId="3" xfId="463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3" fillId="3" borderId="0" xfId="857" applyFont="1" applyFill="1" applyBorder="1" applyAlignment="1">
      <alignment horizontal="centerContinuous" vertical="center"/>
    </xf>
    <xf numFmtId="186" fontId="2" fillId="3" borderId="29" xfId="463" applyNumberFormat="1" applyFont="1" applyFill="1" applyBorder="1" applyAlignment="1">
      <alignment horizontal="right" vertical="center" shrinkToFit="1"/>
    </xf>
    <xf numFmtId="0" fontId="1" fillId="0" borderId="0" xfId="857" applyNumberFormat="1" applyFont="1" applyAlignment="1">
      <alignment horizontal="left" vertical="center"/>
    </xf>
    <xf numFmtId="0" fontId="1" fillId="0" borderId="0" xfId="857" quotePrefix="1" applyNumberFormat="1" applyFont="1" applyAlignment="1">
      <alignment horizontal="left" vertical="center"/>
    </xf>
    <xf numFmtId="0" fontId="1" fillId="0" borderId="0" xfId="857" applyNumberFormat="1" applyFont="1" applyAlignment="1">
      <alignment vertical="center"/>
    </xf>
    <xf numFmtId="0" fontId="1" fillId="0" borderId="0" xfId="857" applyNumberFormat="1" applyFont="1" applyBorder="1" applyAlignment="1">
      <alignment vertical="center"/>
    </xf>
    <xf numFmtId="0" fontId="1" fillId="0" borderId="0" xfId="840" applyNumberFormat="1" applyFont="1" applyAlignment="1">
      <alignment vertical="center"/>
    </xf>
    <xf numFmtId="0" fontId="1" fillId="0" borderId="0" xfId="857" quotePrefix="1" applyNumberFormat="1" applyFont="1" applyBorder="1" applyAlignment="1">
      <alignment horizontal="left" vertical="center"/>
    </xf>
    <xf numFmtId="0" fontId="1" fillId="0" borderId="0" xfId="857" quotePrefix="1" applyNumberFormat="1" applyFont="1" applyBorder="1" applyAlignment="1">
      <alignment horizontal="center" vertical="center"/>
    </xf>
    <xf numFmtId="0" fontId="1" fillId="0" borderId="0" xfId="857" applyNumberFormat="1" applyFont="1" applyBorder="1" applyAlignment="1">
      <alignment horizontal="left" vertical="center"/>
    </xf>
    <xf numFmtId="0" fontId="1" fillId="0" borderId="0" xfId="840" quotePrefix="1" applyNumberFormat="1" applyFont="1" applyBorder="1" applyAlignment="1">
      <alignment horizontal="center" vertical="center"/>
    </xf>
    <xf numFmtId="0" fontId="1" fillId="0" borderId="4" xfId="857" applyNumberFormat="1" applyFont="1" applyBorder="1" applyAlignment="1">
      <alignment vertical="center"/>
    </xf>
    <xf numFmtId="0" fontId="1" fillId="0" borderId="0" xfId="857" applyNumberFormat="1" applyFont="1" applyBorder="1" applyAlignment="1">
      <alignment horizontal="center" vertical="center"/>
    </xf>
    <xf numFmtId="0" fontId="1" fillId="0" borderId="4" xfId="857" applyNumberFormat="1" applyFont="1" applyBorder="1" applyAlignment="1">
      <alignment horizontal="center" vertical="center"/>
    </xf>
    <xf numFmtId="0" fontId="1" fillId="0" borderId="30" xfId="857" applyNumberFormat="1" applyFont="1" applyBorder="1" applyAlignment="1">
      <alignment horizontal="center" vertical="center"/>
    </xf>
    <xf numFmtId="0" fontId="1" fillId="0" borderId="28" xfId="840" applyNumberFormat="1" applyFont="1" applyBorder="1" applyAlignment="1">
      <alignment horizontal="center" vertical="center"/>
    </xf>
    <xf numFmtId="0" fontId="1" fillId="0" borderId="30" xfId="857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distributed" vertical="center"/>
    </xf>
    <xf numFmtId="179" fontId="1" fillId="0" borderId="28" xfId="463" applyNumberFormat="1" applyFont="1" applyBorder="1" applyAlignment="1">
      <alignment horizontal="right" vertical="center"/>
    </xf>
    <xf numFmtId="0" fontId="1" fillId="0" borderId="2" xfId="857" applyNumberFormat="1" applyFont="1" applyBorder="1" applyAlignment="1">
      <alignment vertical="center"/>
    </xf>
    <xf numFmtId="0" fontId="1" fillId="0" borderId="19" xfId="857" applyNumberFormat="1" applyFont="1" applyBorder="1" applyAlignment="1">
      <alignment horizontal="center" vertical="center"/>
    </xf>
    <xf numFmtId="0" fontId="1" fillId="0" borderId="2" xfId="857" applyNumberFormat="1" applyFont="1" applyBorder="1" applyAlignment="1">
      <alignment horizontal="center" vertical="center"/>
    </xf>
    <xf numFmtId="0" fontId="1" fillId="0" borderId="24" xfId="857" applyNumberFormat="1" applyFont="1" applyBorder="1" applyAlignment="1">
      <alignment horizontal="center" vertical="center"/>
    </xf>
    <xf numFmtId="0" fontId="1" fillId="0" borderId="3" xfId="840" applyNumberFormat="1" applyFont="1" applyBorder="1" applyAlignment="1">
      <alignment horizontal="center" vertical="center"/>
    </xf>
    <xf numFmtId="0" fontId="1" fillId="0" borderId="2" xfId="857" applyNumberFormat="1" applyFont="1" applyBorder="1" applyAlignment="1">
      <alignment horizontal="centerContinuous" vertical="center" wrapText="1"/>
    </xf>
    <xf numFmtId="0" fontId="1" fillId="0" borderId="4" xfId="857" applyNumberFormat="1" applyFont="1" applyBorder="1" applyAlignment="1">
      <alignment horizontal="centerContinuous" vertical="center"/>
    </xf>
    <xf numFmtId="179" fontId="1" fillId="0" borderId="4" xfId="463" applyNumberFormat="1" applyFont="1" applyBorder="1" applyAlignment="1">
      <alignment horizontal="right" vertical="center"/>
    </xf>
    <xf numFmtId="0" fontId="1" fillId="0" borderId="30" xfId="857" applyNumberFormat="1" applyFont="1" applyBorder="1" applyAlignment="1">
      <alignment horizontal="centerContinuous" vertical="center"/>
    </xf>
    <xf numFmtId="0" fontId="1" fillId="0" borderId="24" xfId="857" applyNumberFormat="1" applyFont="1" applyBorder="1" applyAlignment="1">
      <alignment horizontal="centerContinuous" vertical="center" wrapText="1"/>
    </xf>
    <xf numFmtId="179" fontId="1" fillId="0" borderId="30" xfId="463" applyNumberFormat="1" applyFont="1" applyBorder="1" applyAlignment="1">
      <alignment horizontal="right" vertical="center"/>
    </xf>
    <xf numFmtId="0" fontId="1" fillId="0" borderId="24" xfId="857" applyNumberFormat="1" applyFont="1" applyBorder="1" applyAlignment="1">
      <alignment horizontal="center" vertical="center" wrapText="1"/>
    </xf>
    <xf numFmtId="0" fontId="1" fillId="0" borderId="2" xfId="840" applyNumberFormat="1" applyFont="1" applyBorder="1" applyAlignment="1">
      <alignment horizontal="centerContinuous" vertical="center"/>
    </xf>
    <xf numFmtId="0" fontId="1" fillId="0" borderId="4" xfId="840" applyNumberFormat="1" applyFont="1" applyBorder="1" applyAlignment="1">
      <alignment horizontal="center" vertical="center"/>
    </xf>
    <xf numFmtId="0" fontId="1" fillId="0" borderId="0" xfId="840" applyNumberFormat="1" applyFont="1" applyBorder="1" applyAlignment="1">
      <alignment vertical="center"/>
    </xf>
    <xf numFmtId="0" fontId="1" fillId="0" borderId="24" xfId="840" applyNumberFormat="1" applyFont="1" applyBorder="1" applyAlignment="1">
      <alignment horizontal="centerContinuous" vertical="center"/>
    </xf>
    <xf numFmtId="0" fontId="1" fillId="0" borderId="30" xfId="840" applyNumberFormat="1" applyFont="1" applyBorder="1" applyAlignment="1">
      <alignment horizontal="center" vertical="center"/>
    </xf>
    <xf numFmtId="185" fontId="1" fillId="0" borderId="0" xfId="857" applyNumberFormat="1" applyFont="1" applyAlignment="1">
      <alignment horizontal="center" vertical="center"/>
    </xf>
    <xf numFmtId="0" fontId="2" fillId="3" borderId="15" xfId="854" applyNumberFormat="1" applyFont="1" applyFill="1" applyBorder="1" applyAlignment="1">
      <alignment horizontal="center" shrinkToFit="1"/>
    </xf>
    <xf numFmtId="0" fontId="2" fillId="3" borderId="0" xfId="859" applyNumberFormat="1" applyFont="1" applyFill="1" applyBorder="1" applyAlignment="1">
      <alignment horizontal="centerContinuous" vertical="center"/>
    </xf>
    <xf numFmtId="0" fontId="2" fillId="3" borderId="27" xfId="859" applyNumberFormat="1" applyFont="1" applyFill="1" applyBorder="1" applyAlignment="1">
      <alignment horizontal="distributed" vertical="center"/>
    </xf>
    <xf numFmtId="0" fontId="2" fillId="0" borderId="4" xfId="463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centerContinuous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vertical="center"/>
    </xf>
    <xf numFmtId="0" fontId="2" fillId="0" borderId="27" xfId="463" applyNumberFormat="1" applyFont="1" applyBorder="1" applyAlignment="1">
      <alignment horizontal="distributed" vertical="center"/>
    </xf>
    <xf numFmtId="0" fontId="2" fillId="0" borderId="26" xfId="463" applyNumberFormat="1" applyFont="1" applyBorder="1" applyAlignment="1">
      <alignment horizontal="distributed" vertical="center"/>
    </xf>
    <xf numFmtId="0" fontId="2" fillId="0" borderId="25" xfId="463" applyNumberFormat="1" applyFont="1" applyBorder="1" applyAlignment="1">
      <alignment vertical="center"/>
    </xf>
    <xf numFmtId="179" fontId="2" fillId="0" borderId="25" xfId="463" applyNumberFormat="1" applyFont="1" applyBorder="1" applyAlignment="1">
      <alignment horizontal="right" vertical="center"/>
    </xf>
    <xf numFmtId="179" fontId="2" fillId="0" borderId="15" xfId="463" applyNumberFormat="1" applyFont="1" applyBorder="1" applyAlignment="1">
      <alignment horizontal="right" vertical="center"/>
    </xf>
    <xf numFmtId="179" fontId="2" fillId="0" borderId="26" xfId="463" applyNumberFormat="1" applyFont="1" applyBorder="1" applyAlignment="1">
      <alignment horizontal="right" vertical="center"/>
    </xf>
    <xf numFmtId="0" fontId="2" fillId="3" borderId="15" xfId="463" applyNumberFormat="1" applyFont="1" applyFill="1" applyBorder="1" applyAlignment="1">
      <alignment horizontal="center" shrinkToFit="1"/>
    </xf>
    <xf numFmtId="0" fontId="2" fillId="3" borderId="14" xfId="463" applyNumberFormat="1" applyFont="1" applyFill="1" applyBorder="1" applyAlignment="1">
      <alignment horizontal="center" vertical="top" shrinkToFit="1"/>
    </xf>
    <xf numFmtId="179" fontId="1" fillId="0" borderId="0" xfId="857" applyNumberFormat="1" applyFont="1" applyAlignment="1">
      <alignment horizontal="center" vertical="center"/>
    </xf>
    <xf numFmtId="0" fontId="1" fillId="3" borderId="0" xfId="861" applyNumberFormat="1" applyFont="1" applyFill="1" applyBorder="1" applyAlignment="1">
      <alignment horizontal="left" vertical="center"/>
    </xf>
    <xf numFmtId="0" fontId="1" fillId="3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left" vertical="center"/>
    </xf>
    <xf numFmtId="0" fontId="1" fillId="3" borderId="0" xfId="861" quotePrefix="1" applyNumberFormat="1" applyFont="1" applyFill="1" applyBorder="1" applyAlignment="1">
      <alignment horizontal="left" vertical="center"/>
    </xf>
    <xf numFmtId="0" fontId="1" fillId="3" borderId="0" xfId="463" quotePrefix="1" applyNumberFormat="1" applyFont="1" applyFill="1" applyBorder="1" applyAlignment="1">
      <alignment horizontal="left" vertical="center"/>
    </xf>
    <xf numFmtId="0" fontId="1" fillId="3" borderId="0" xfId="861" applyNumberFormat="1" applyFont="1" applyFill="1" applyAlignment="1">
      <alignment vertical="center"/>
    </xf>
    <xf numFmtId="0" fontId="1" fillId="3" borderId="0" xfId="861" applyNumberFormat="1" applyFont="1" applyFill="1" applyAlignment="1">
      <alignment horizontal="left" vertical="center"/>
    </xf>
    <xf numFmtId="0" fontId="1" fillId="3" borderId="28" xfId="463" applyNumberFormat="1" applyFont="1" applyFill="1" applyBorder="1" applyAlignment="1">
      <alignment horizontal="center" vertical="center"/>
    </xf>
    <xf numFmtId="41" fontId="2" fillId="3" borderId="0" xfId="463" applyNumberFormat="1" applyFont="1" applyFill="1" applyAlignment="1">
      <alignment horizontal="center" vertical="center"/>
    </xf>
    <xf numFmtId="41" fontId="3" fillId="3" borderId="0" xfId="0" applyNumberFormat="1" applyFont="1" applyFill="1" applyAlignment="1">
      <alignment horizontal="center" vertical="center"/>
    </xf>
    <xf numFmtId="41" fontId="2" fillId="3" borderId="0" xfId="0" applyNumberFormat="1" applyFont="1" applyFill="1" applyAlignment="1">
      <alignment horizontal="center" vertical="center"/>
    </xf>
    <xf numFmtId="0" fontId="1" fillId="3" borderId="0" xfId="853" applyNumberFormat="1" applyFont="1" applyFill="1" applyAlignment="1">
      <alignment vertical="center"/>
    </xf>
    <xf numFmtId="0" fontId="1" fillId="3" borderId="0" xfId="853" applyNumberFormat="1" applyFont="1" applyFill="1" applyBorder="1" applyAlignment="1">
      <alignment vertical="center"/>
    </xf>
    <xf numFmtId="0" fontId="3" fillId="3" borderId="0" xfId="852" applyNumberFormat="1" applyFont="1" applyFill="1" applyAlignment="1">
      <alignment horizontal="centerContinuous" vertical="center"/>
    </xf>
    <xf numFmtId="0" fontId="1" fillId="3" borderId="0" xfId="852" applyNumberFormat="1" applyFont="1" applyFill="1" applyBorder="1" applyAlignment="1">
      <alignment horizontal="centerContinuous" vertical="center"/>
    </xf>
    <xf numFmtId="0" fontId="1" fillId="3" borderId="0" xfId="852" applyNumberFormat="1" applyFont="1" applyFill="1" applyAlignment="1">
      <alignment horizontal="centerContinuous" vertical="center"/>
    </xf>
    <xf numFmtId="0" fontId="1" fillId="3" borderId="0" xfId="463" applyNumberFormat="1" applyFont="1" applyFill="1" applyBorder="1" applyAlignment="1">
      <alignment horizontal="center" vertical="center"/>
    </xf>
    <xf numFmtId="0" fontId="1" fillId="3" borderId="0" xfId="463" quotePrefix="1" applyNumberFormat="1" applyFont="1" applyFill="1" applyAlignment="1">
      <alignment horizontal="centerContinuous" vertical="center"/>
    </xf>
    <xf numFmtId="0" fontId="1" fillId="3" borderId="0" xfId="463" applyNumberFormat="1" applyFont="1" applyFill="1" applyBorder="1" applyAlignment="1">
      <alignment horizontal="centerContinuous" vertical="center"/>
    </xf>
    <xf numFmtId="0" fontId="1" fillId="3" borderId="0" xfId="852" applyNumberFormat="1" applyFont="1" applyFill="1" applyAlignment="1">
      <alignment horizontal="left" vertical="center"/>
    </xf>
    <xf numFmtId="0" fontId="1" fillId="3" borderId="0" xfId="852" applyNumberFormat="1" applyFont="1" applyFill="1" applyBorder="1" applyAlignment="1">
      <alignment horizontal="left" vertical="center"/>
    </xf>
    <xf numFmtId="0" fontId="1" fillId="3" borderId="0" xfId="463" applyNumberFormat="1" applyFont="1" applyFill="1" applyBorder="1" applyAlignment="1">
      <alignment horizontal="left" vertical="center"/>
    </xf>
    <xf numFmtId="0" fontId="1" fillId="3" borderId="0" xfId="463" applyNumberFormat="1" applyFont="1" applyFill="1" applyAlignment="1">
      <alignment horizontal="right" vertical="center"/>
    </xf>
    <xf numFmtId="0" fontId="1" fillId="3" borderId="2" xfId="852" applyNumberFormat="1" applyFont="1" applyFill="1" applyBorder="1" applyAlignment="1">
      <alignment vertical="center"/>
    </xf>
    <xf numFmtId="0" fontId="1" fillId="3" borderId="19" xfId="852" applyNumberFormat="1" applyFont="1" applyFill="1" applyBorder="1" applyAlignment="1">
      <alignment horizontal="centerContinuous" vertical="center"/>
    </xf>
    <xf numFmtId="0" fontId="1" fillId="3" borderId="19" xfId="852" applyNumberFormat="1" applyFont="1" applyFill="1" applyBorder="1" applyAlignment="1">
      <alignment horizontal="center" vertical="center"/>
    </xf>
    <xf numFmtId="0" fontId="1" fillId="3" borderId="19" xfId="463" applyNumberFormat="1" applyFont="1" applyFill="1" applyBorder="1" applyAlignment="1">
      <alignment horizontal="centerContinuous" vertical="center"/>
    </xf>
    <xf numFmtId="0" fontId="1" fillId="3" borderId="3" xfId="463" applyNumberFormat="1" applyFont="1" applyFill="1" applyBorder="1" applyAlignment="1">
      <alignment horizontal="centerContinuous" vertical="center"/>
    </xf>
    <xf numFmtId="0" fontId="1" fillId="3" borderId="19" xfId="852" applyNumberFormat="1" applyFont="1" applyFill="1" applyBorder="1" applyAlignment="1">
      <alignment horizontal="distributed" vertical="center"/>
    </xf>
    <xf numFmtId="179" fontId="1" fillId="3" borderId="19" xfId="463" applyNumberFormat="1" applyFont="1" applyFill="1" applyBorder="1" applyAlignment="1">
      <alignment horizontal="right" vertical="center"/>
    </xf>
    <xf numFmtId="179" fontId="1" fillId="3" borderId="2" xfId="463" applyNumberFormat="1" applyFont="1" applyFill="1" applyBorder="1" applyAlignment="1">
      <alignment horizontal="right" vertical="center"/>
    </xf>
    <xf numFmtId="179" fontId="1" fillId="3" borderId="3" xfId="463" applyNumberFormat="1" applyFont="1" applyFill="1" applyBorder="1" applyAlignment="1">
      <alignment horizontal="center" vertical="center"/>
    </xf>
    <xf numFmtId="0" fontId="1" fillId="3" borderId="3" xfId="463" applyNumberFormat="1" applyFont="1" applyFill="1" applyBorder="1" applyAlignment="1">
      <alignment horizontal="center" vertical="center"/>
    </xf>
    <xf numFmtId="41" fontId="1" fillId="3" borderId="0" xfId="463" applyFont="1" applyFill="1" applyAlignment="1">
      <alignment horizontal="center" vertical="center"/>
    </xf>
    <xf numFmtId="41" fontId="1" fillId="3" borderId="0" xfId="0" applyNumberFormat="1" applyFont="1" applyFill="1" applyAlignment="1">
      <alignment horizontal="center" vertical="center"/>
    </xf>
    <xf numFmtId="183" fontId="1" fillId="3" borderId="2" xfId="463" applyNumberFormat="1" applyFont="1" applyFill="1" applyBorder="1" applyAlignment="1">
      <alignment horizontal="right" vertical="center"/>
    </xf>
    <xf numFmtId="0" fontId="1" fillId="3" borderId="24" xfId="463" applyNumberFormat="1" applyFont="1" applyFill="1" applyBorder="1" applyAlignment="1">
      <alignment horizontal="left" vertical="center"/>
    </xf>
    <xf numFmtId="0" fontId="1" fillId="3" borderId="29" xfId="839" applyNumberFormat="1" applyFont="1" applyFill="1" applyBorder="1" applyAlignment="1">
      <alignment horizontal="center" vertical="center"/>
    </xf>
    <xf numFmtId="0" fontId="1" fillId="0" borderId="0" xfId="840" applyNumberFormat="1" applyFont="1" applyBorder="1" applyAlignment="1">
      <alignment horizontal="right" vertical="center"/>
    </xf>
    <xf numFmtId="186" fontId="1" fillId="3" borderId="19" xfId="463" applyNumberFormat="1" applyFont="1" applyFill="1" applyBorder="1" applyAlignment="1">
      <alignment horizontal="right" vertical="center"/>
    </xf>
    <xf numFmtId="186" fontId="1" fillId="3" borderId="28" xfId="463" applyNumberFormat="1" applyFont="1" applyFill="1" applyBorder="1" applyAlignment="1">
      <alignment horizontal="center" vertical="center"/>
    </xf>
    <xf numFmtId="0" fontId="2" fillId="3" borderId="3" xfId="463" applyNumberFormat="1" applyFont="1" applyFill="1" applyBorder="1" applyAlignment="1">
      <alignment horizontal="centerContinuous" vertical="center"/>
    </xf>
    <xf numFmtId="0" fontId="1" fillId="3" borderId="30" xfId="463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right" vertical="center"/>
    </xf>
    <xf numFmtId="228" fontId="1" fillId="3" borderId="0" xfId="0" applyNumberFormat="1" applyFont="1" applyFill="1" applyAlignment="1">
      <alignment vertical="center"/>
    </xf>
    <xf numFmtId="0" fontId="1" fillId="3" borderId="2" xfId="463" applyNumberFormat="1" applyFont="1" applyFill="1" applyBorder="1" applyAlignment="1">
      <alignment horizontal="centerContinuous" vertical="center" wrapText="1"/>
    </xf>
    <xf numFmtId="0" fontId="1" fillId="3" borderId="19" xfId="463" applyNumberFormat="1" applyFont="1" applyFill="1" applyBorder="1" applyAlignment="1">
      <alignment horizontal="centerContinuous" vertical="center" wrapText="1"/>
    </xf>
    <xf numFmtId="0" fontId="1" fillId="3" borderId="26" xfId="852" applyNumberFormat="1" applyFont="1" applyFill="1" applyBorder="1" applyAlignment="1">
      <alignment vertical="center"/>
    </xf>
    <xf numFmtId="0" fontId="1" fillId="3" borderId="27" xfId="852" applyNumberFormat="1" applyFont="1" applyFill="1" applyBorder="1" applyAlignment="1">
      <alignment horizontal="centerContinuous" vertical="center"/>
    </xf>
    <xf numFmtId="0" fontId="1" fillId="3" borderId="27" xfId="852" applyNumberFormat="1" applyFont="1" applyFill="1" applyBorder="1" applyAlignment="1">
      <alignment horizontal="center" vertical="center"/>
    </xf>
    <xf numFmtId="0" fontId="1" fillId="3" borderId="26" xfId="463" applyNumberFormat="1" applyFont="1" applyFill="1" applyBorder="1" applyAlignment="1">
      <alignment horizontal="centerContinuous" vertical="center" wrapText="1"/>
    </xf>
    <xf numFmtId="0" fontId="1" fillId="3" borderId="27" xfId="463" applyNumberFormat="1" applyFont="1" applyFill="1" applyBorder="1" applyAlignment="1">
      <alignment horizontal="centerContinuous" vertical="center"/>
    </xf>
    <xf numFmtId="0" fontId="1" fillId="3" borderId="15" xfId="463" applyNumberFormat="1" applyFont="1" applyFill="1" applyBorder="1" applyAlignment="1">
      <alignment horizontal="centerContinuous" vertical="center"/>
    </xf>
    <xf numFmtId="0" fontId="1" fillId="3" borderId="27" xfId="463" applyNumberFormat="1" applyFont="1" applyFill="1" applyBorder="1" applyAlignment="1">
      <alignment horizontal="centerContinuous" vertical="center" wrapText="1"/>
    </xf>
    <xf numFmtId="0" fontId="1" fillId="3" borderId="4" xfId="852" applyNumberFormat="1" applyFont="1" applyFill="1" applyBorder="1" applyAlignment="1">
      <alignment vertical="center"/>
    </xf>
    <xf numFmtId="0" fontId="1" fillId="3" borderId="0" xfId="852" applyNumberFormat="1" applyFont="1" applyFill="1" applyBorder="1" applyAlignment="1">
      <alignment horizontal="center" vertical="center"/>
    </xf>
    <xf numFmtId="0" fontId="1" fillId="3" borderId="28" xfId="463" applyNumberFormat="1" applyFont="1" applyFill="1" applyBorder="1" applyAlignment="1">
      <alignment horizontal="centerContinuous" vertical="center"/>
    </xf>
    <xf numFmtId="0" fontId="1" fillId="3" borderId="4" xfId="852" applyNumberFormat="1" applyFont="1" applyFill="1" applyBorder="1" applyAlignment="1">
      <alignment vertical="center" wrapText="1"/>
    </xf>
    <xf numFmtId="0" fontId="1" fillId="3" borderId="0" xfId="852" applyNumberFormat="1" applyFont="1" applyFill="1" applyBorder="1" applyAlignment="1">
      <alignment horizontal="distributed" vertical="center" wrapText="1"/>
    </xf>
    <xf numFmtId="186" fontId="1" fillId="3" borderId="4" xfId="463" applyNumberFormat="1" applyFont="1" applyFill="1" applyBorder="1" applyAlignment="1">
      <alignment horizontal="right" vertical="center"/>
    </xf>
    <xf numFmtId="179" fontId="1" fillId="3" borderId="0" xfId="463" applyNumberFormat="1" applyFont="1" applyFill="1" applyBorder="1" applyAlignment="1">
      <alignment horizontal="right" vertical="center"/>
    </xf>
    <xf numFmtId="186" fontId="1" fillId="3" borderId="0" xfId="463" applyNumberFormat="1" applyFont="1" applyFill="1" applyBorder="1" applyAlignment="1">
      <alignment horizontal="right" vertical="center"/>
    </xf>
    <xf numFmtId="0" fontId="1" fillId="3" borderId="5" xfId="852" applyNumberFormat="1" applyFont="1" applyFill="1" applyBorder="1" applyAlignment="1">
      <alignment vertical="center" wrapText="1"/>
    </xf>
    <xf numFmtId="0" fontId="1" fillId="3" borderId="31" xfId="852" applyNumberFormat="1" applyFont="1" applyFill="1" applyBorder="1" applyAlignment="1">
      <alignment horizontal="distributed" vertical="center" wrapText="1"/>
    </xf>
    <xf numFmtId="186" fontId="1" fillId="3" borderId="5" xfId="463" applyNumberFormat="1" applyFont="1" applyFill="1" applyBorder="1" applyAlignment="1">
      <alignment horizontal="right" vertical="center"/>
    </xf>
    <xf numFmtId="179" fontId="1" fillId="3" borderId="31" xfId="463" applyNumberFormat="1" applyFont="1" applyFill="1" applyBorder="1" applyAlignment="1">
      <alignment horizontal="right" vertical="center"/>
    </xf>
    <xf numFmtId="186" fontId="1" fillId="3" borderId="14" xfId="463" applyNumberFormat="1" applyFont="1" applyFill="1" applyBorder="1" applyAlignment="1">
      <alignment horizontal="center" vertical="center"/>
    </xf>
    <xf numFmtId="186" fontId="1" fillId="3" borderId="31" xfId="463" applyNumberFormat="1" applyFont="1" applyFill="1" applyBorder="1" applyAlignment="1">
      <alignment horizontal="right" vertical="center"/>
    </xf>
    <xf numFmtId="0" fontId="1" fillId="3" borderId="14" xfId="463" applyNumberFormat="1" applyFont="1" applyFill="1" applyBorder="1" applyAlignment="1">
      <alignment horizontal="center" vertical="center"/>
    </xf>
    <xf numFmtId="186" fontId="1" fillId="3" borderId="0" xfId="0" applyNumberFormat="1" applyFont="1" applyFill="1" applyAlignment="1">
      <alignment horizontal="right" vertical="center"/>
    </xf>
    <xf numFmtId="41" fontId="2" fillId="0" borderId="0" xfId="463" applyFont="1" applyBorder="1" applyAlignment="1">
      <alignment vertical="center"/>
    </xf>
    <xf numFmtId="179" fontId="1" fillId="3" borderId="24" xfId="463" applyNumberFormat="1" applyFont="1" applyFill="1" applyBorder="1" applyAlignment="1">
      <alignment horizontal="right" vertical="center"/>
    </xf>
    <xf numFmtId="0" fontId="1" fillId="3" borderId="19" xfId="463" applyNumberFormat="1" applyFont="1" applyFill="1" applyBorder="1" applyAlignment="1">
      <alignment horizontal="right" vertical="center"/>
    </xf>
    <xf numFmtId="185" fontId="1" fillId="3" borderId="2" xfId="0" applyNumberFormat="1" applyFont="1" applyFill="1" applyBorder="1" applyAlignment="1">
      <alignment horizontal="right" vertical="center"/>
    </xf>
    <xf numFmtId="0" fontId="1" fillId="3" borderId="19" xfId="0" quotePrefix="1" applyNumberFormat="1" applyFont="1" applyFill="1" applyBorder="1" applyAlignment="1">
      <alignment vertical="center"/>
    </xf>
    <xf numFmtId="0" fontId="2" fillId="0" borderId="0" xfId="857" applyNumberFormat="1" applyFont="1" applyBorder="1" applyAlignment="1">
      <alignment horizontal="distributed" vertical="center" shrinkToFit="1"/>
    </xf>
    <xf numFmtId="0" fontId="1" fillId="0" borderId="0" xfId="857" applyNumberFormat="1" applyFont="1" applyBorder="1" applyAlignment="1">
      <alignment horizontal="distributed" vertical="center" shrinkToFit="1"/>
    </xf>
    <xf numFmtId="0" fontId="2" fillId="3" borderId="0" xfId="859" applyNumberFormat="1" applyFont="1" applyFill="1" applyBorder="1" applyAlignment="1">
      <alignment horizontal="distributed" vertical="center" shrinkToFit="1"/>
    </xf>
    <xf numFmtId="0" fontId="2" fillId="3" borderId="0" xfId="0" applyNumberFormat="1" applyFont="1" applyFill="1" applyBorder="1" applyAlignment="1">
      <alignment horizontal="distributed" vertical="center" shrinkToFit="1"/>
    </xf>
    <xf numFmtId="0" fontId="2" fillId="0" borderId="27" xfId="463" applyNumberFormat="1" applyFont="1" applyBorder="1" applyAlignment="1">
      <alignment horizontal="distributed" vertical="center" shrinkToFit="1"/>
    </xf>
    <xf numFmtId="0" fontId="2" fillId="0" borderId="0" xfId="463" applyNumberFormat="1" applyFont="1" applyBorder="1" applyAlignment="1">
      <alignment horizontal="distributed" vertical="center" shrinkToFit="1"/>
    </xf>
    <xf numFmtId="0" fontId="1" fillId="3" borderId="4" xfId="463" applyNumberFormat="1" applyFont="1" applyFill="1" applyBorder="1" applyAlignment="1">
      <alignment horizontal="centerContinuous" vertical="center"/>
    </xf>
    <xf numFmtId="0" fontId="2" fillId="3" borderId="28" xfId="854" applyNumberFormat="1" applyFont="1" applyFill="1" applyBorder="1" applyAlignment="1">
      <alignment horizontal="center" vertical="top" shrinkToFit="1"/>
    </xf>
    <xf numFmtId="0" fontId="1" fillId="3" borderId="3" xfId="463" applyNumberFormat="1" applyFont="1" applyFill="1" applyBorder="1" applyAlignment="1">
      <alignment horizontal="left" vertical="center" wrapText="1"/>
    </xf>
    <xf numFmtId="41" fontId="1" fillId="3" borderId="28" xfId="463" applyFont="1" applyFill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78" fillId="3" borderId="19" xfId="0" quotePrefix="1" applyNumberFormat="1" applyFont="1" applyFill="1" applyBorder="1" applyAlignment="1">
      <alignment horizontal="distributed" vertical="center"/>
    </xf>
    <xf numFmtId="179" fontId="78" fillId="3" borderId="3" xfId="463" applyNumberFormat="1" applyFont="1" applyFill="1" applyBorder="1" applyAlignment="1">
      <alignment horizontal="right" vertical="center" shrinkToFit="1"/>
    </xf>
    <xf numFmtId="179" fontId="38" fillId="0" borderId="3" xfId="463" applyNumberFormat="1" applyFont="1" applyBorder="1" applyAlignment="1">
      <alignment horizontal="right" vertical="center"/>
    </xf>
    <xf numFmtId="3" fontId="1" fillId="0" borderId="0" xfId="857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3" borderId="0" xfId="861" applyNumberFormat="1" applyFont="1" applyFill="1" applyBorder="1" applyAlignment="1">
      <alignment horizontal="left" vertical="center"/>
    </xf>
    <xf numFmtId="0" fontId="2" fillId="3" borderId="0" xfId="855" applyFont="1" applyFill="1" applyBorder="1" applyAlignment="1">
      <alignment vertical="center"/>
    </xf>
    <xf numFmtId="180" fontId="2" fillId="3" borderId="0" xfId="857" applyNumberFormat="1" applyFont="1" applyFill="1" applyAlignment="1">
      <alignment vertical="center"/>
    </xf>
    <xf numFmtId="41" fontId="2" fillId="3" borderId="0" xfId="840" applyFont="1" applyFill="1" applyAlignment="1">
      <alignment horizontal="center" vertical="center"/>
    </xf>
    <xf numFmtId="0" fontId="2" fillId="3" borderId="0" xfId="857" applyFont="1" applyFill="1" applyAlignment="1">
      <alignment horizontal="distributed" vertical="center"/>
    </xf>
    <xf numFmtId="41" fontId="2" fillId="3" borderId="0" xfId="840" applyNumberFormat="1" applyFont="1" applyFill="1" applyAlignment="1">
      <alignment horizontal="center" vertical="center"/>
    </xf>
    <xf numFmtId="0" fontId="2" fillId="3" borderId="0" xfId="857" applyFont="1" applyFill="1" applyBorder="1" applyAlignment="1">
      <alignment horizontal="centerContinuous" vertical="center"/>
    </xf>
    <xf numFmtId="0" fontId="2" fillId="3" borderId="0" xfId="857" applyFont="1" applyFill="1" applyAlignment="1">
      <alignment horizontal="centerContinuous" vertical="center"/>
    </xf>
    <xf numFmtId="41" fontId="2" fillId="3" borderId="0" xfId="840" applyFont="1" applyFill="1" applyBorder="1" applyAlignment="1">
      <alignment horizontal="centerContinuous" vertical="center"/>
    </xf>
    <xf numFmtId="0" fontId="2" fillId="3" borderId="0" xfId="857" applyFont="1" applyFill="1" applyBorder="1" applyAlignment="1">
      <alignment horizontal="distributed" vertical="center"/>
    </xf>
    <xf numFmtId="41" fontId="2" fillId="3" borderId="0" xfId="840" applyFont="1" applyFill="1" applyBorder="1" applyAlignment="1">
      <alignment horizontal="center" vertical="center"/>
    </xf>
    <xf numFmtId="179" fontId="0" fillId="3" borderId="0" xfId="840" applyNumberFormat="1" applyFont="1" applyFill="1" applyAlignment="1">
      <alignment horizontal="right" vertical="center"/>
    </xf>
    <xf numFmtId="41" fontId="2" fillId="3" borderId="2" xfId="840" applyFont="1" applyFill="1" applyBorder="1" applyAlignment="1">
      <alignment horizontal="center" vertical="center"/>
    </xf>
    <xf numFmtId="0" fontId="2" fillId="3" borderId="19" xfId="857" applyFont="1" applyFill="1" applyBorder="1" applyAlignment="1">
      <alignment horizontal="center" vertical="center"/>
    </xf>
    <xf numFmtId="41" fontId="2" fillId="3" borderId="24" xfId="840" applyFont="1" applyFill="1" applyBorder="1" applyAlignment="1">
      <alignment horizontal="center" vertical="center"/>
    </xf>
    <xf numFmtId="41" fontId="2" fillId="3" borderId="24" xfId="840" quotePrefix="1" applyFont="1" applyFill="1" applyBorder="1" applyAlignment="1">
      <alignment horizontal="centerContinuous" vertical="center" shrinkToFit="1"/>
    </xf>
    <xf numFmtId="41" fontId="2" fillId="3" borderId="19" xfId="840" applyFont="1" applyFill="1" applyBorder="1" applyAlignment="1">
      <alignment horizontal="center" vertical="center"/>
    </xf>
    <xf numFmtId="41" fontId="2" fillId="3" borderId="4" xfId="840" applyFont="1" applyFill="1" applyBorder="1" applyAlignment="1">
      <alignment horizontal="center" vertical="center"/>
    </xf>
    <xf numFmtId="0" fontId="2" fillId="3" borderId="0" xfId="857" applyFont="1" applyFill="1" applyAlignment="1">
      <alignment horizontal="left" vertical="center" shrinkToFit="1"/>
    </xf>
    <xf numFmtId="41" fontId="2" fillId="3" borderId="32" xfId="840" applyFont="1" applyFill="1" applyBorder="1" applyAlignment="1">
      <alignment horizontal="center" vertical="center"/>
    </xf>
    <xf numFmtId="41" fontId="2" fillId="3" borderId="30" xfId="840" applyFont="1" applyFill="1" applyBorder="1" applyAlignment="1">
      <alignment horizontal="center" vertical="center"/>
    </xf>
    <xf numFmtId="49" fontId="2" fillId="3" borderId="0" xfId="840" applyNumberFormat="1" applyFont="1" applyFill="1" applyAlignment="1">
      <alignment horizontal="center" vertical="center"/>
    </xf>
    <xf numFmtId="49" fontId="0" fillId="3" borderId="30" xfId="840" applyNumberFormat="1" applyFont="1" applyFill="1" applyBorder="1" applyAlignment="1">
      <alignment horizontal="center" vertical="center"/>
    </xf>
    <xf numFmtId="49" fontId="0" fillId="3" borderId="0" xfId="840" applyNumberFormat="1" applyFont="1" applyFill="1" applyAlignment="1">
      <alignment horizontal="center" vertical="center"/>
    </xf>
    <xf numFmtId="49" fontId="2" fillId="3" borderId="30" xfId="840" applyNumberFormat="1" applyFont="1" applyFill="1" applyBorder="1" applyAlignment="1">
      <alignment horizontal="center" vertical="center"/>
    </xf>
    <xf numFmtId="0" fontId="2" fillId="3" borderId="0" xfId="857" applyFont="1" applyFill="1" applyAlignment="1">
      <alignment horizontal="left" vertical="center" wrapText="1" shrinkToFit="1"/>
    </xf>
    <xf numFmtId="0" fontId="2" fillId="3" borderId="19" xfId="857" applyFont="1" applyFill="1" applyBorder="1" applyAlignment="1">
      <alignment horizontal="left" vertical="center" shrinkToFit="1"/>
    </xf>
    <xf numFmtId="49" fontId="2" fillId="3" borderId="24" xfId="840" applyNumberFormat="1" applyFont="1" applyFill="1" applyBorder="1" applyAlignment="1">
      <alignment horizontal="center" vertical="center"/>
    </xf>
    <xf numFmtId="49" fontId="2" fillId="3" borderId="28" xfId="840" applyNumberFormat="1" applyFont="1" applyFill="1" applyBorder="1" applyAlignment="1">
      <alignment horizontal="center" vertical="center"/>
    </xf>
    <xf numFmtId="41" fontId="2" fillId="3" borderId="5" xfId="840" applyFont="1" applyFill="1" applyBorder="1" applyAlignment="1">
      <alignment horizontal="center" vertical="center"/>
    </xf>
    <xf numFmtId="0" fontId="2" fillId="3" borderId="31" xfId="857" applyFont="1" applyFill="1" applyBorder="1" applyAlignment="1">
      <alignment horizontal="distributed" vertical="center"/>
    </xf>
    <xf numFmtId="41" fontId="2" fillId="3" borderId="31" xfId="840" applyFont="1" applyFill="1" applyBorder="1" applyAlignment="1">
      <alignment horizontal="center" vertical="center"/>
    </xf>
    <xf numFmtId="49" fontId="2" fillId="3" borderId="14" xfId="840" applyNumberFormat="1" applyFont="1" applyFill="1" applyBorder="1" applyAlignment="1">
      <alignment horizontal="right" vertical="center"/>
    </xf>
    <xf numFmtId="41" fontId="2" fillId="3" borderId="29" xfId="840" applyFont="1" applyFill="1" applyBorder="1" applyAlignment="1">
      <alignment horizontal="center" vertical="center"/>
    </xf>
    <xf numFmtId="49" fontId="2" fillId="3" borderId="29" xfId="840" applyNumberFormat="1" applyFont="1" applyFill="1" applyBorder="1" applyAlignment="1">
      <alignment horizontal="right" vertical="center"/>
    </xf>
    <xf numFmtId="0" fontId="0" fillId="3" borderId="0" xfId="857" applyFont="1" applyFill="1" applyBorder="1" applyAlignment="1">
      <alignment horizontal="left" vertical="center"/>
    </xf>
    <xf numFmtId="41" fontId="0" fillId="3" borderId="3" xfId="463" applyFont="1" applyFill="1" applyBorder="1" applyAlignment="1">
      <alignment horizontal="left" vertical="center" wrapText="1"/>
    </xf>
    <xf numFmtId="0" fontId="0" fillId="3" borderId="0" xfId="0" applyNumberFormat="1" applyFill="1" applyBorder="1" applyAlignment="1">
      <alignment horizontal="right" vertical="center"/>
    </xf>
    <xf numFmtId="0" fontId="0" fillId="3" borderId="19" xfId="0" applyNumberFormat="1" applyFill="1" applyBorder="1" applyAlignment="1">
      <alignment horizontal="distributed" vertical="center"/>
    </xf>
    <xf numFmtId="0" fontId="0" fillId="3" borderId="19" xfId="0" applyNumberFormat="1" applyFont="1" applyFill="1" applyBorder="1" applyAlignment="1">
      <alignment horizontal="distributed" vertical="center"/>
    </xf>
    <xf numFmtId="0" fontId="0" fillId="3" borderId="14" xfId="463" applyNumberFormat="1" applyFont="1" applyFill="1" applyBorder="1" applyAlignment="1">
      <alignment horizontal="center" vertical="top" shrinkToFit="1"/>
    </xf>
    <xf numFmtId="229" fontId="2" fillId="0" borderId="26" xfId="463" applyNumberFormat="1" applyFont="1" applyBorder="1" applyAlignment="1">
      <alignment horizontal="right" vertical="center"/>
    </xf>
    <xf numFmtId="229" fontId="2" fillId="0" borderId="25" xfId="463" applyNumberFormat="1" applyFont="1" applyBorder="1" applyAlignment="1">
      <alignment horizontal="right" vertical="center"/>
    </xf>
    <xf numFmtId="229" fontId="2" fillId="0" borderId="4" xfId="463" applyNumberFormat="1" applyFont="1" applyBorder="1" applyAlignment="1">
      <alignment horizontal="right" vertical="center"/>
    </xf>
    <xf numFmtId="229" fontId="2" fillId="0" borderId="30" xfId="463" applyNumberFormat="1" applyFont="1" applyBorder="1" applyAlignment="1">
      <alignment horizontal="right" vertical="center"/>
    </xf>
    <xf numFmtId="0" fontId="1" fillId="8" borderId="30" xfId="463" applyNumberFormat="1" applyFont="1" applyFill="1" applyBorder="1" applyAlignment="1">
      <alignment horizontal="left" vertical="center"/>
    </xf>
    <xf numFmtId="0" fontId="2" fillId="8" borderId="28" xfId="463" applyNumberFormat="1" applyFont="1" applyFill="1" applyBorder="1" applyAlignment="1">
      <alignment horizontal="center" vertical="center"/>
    </xf>
    <xf numFmtId="0" fontId="1" fillId="8" borderId="4" xfId="0" applyNumberFormat="1" applyFon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distributed" vertical="center" shrinkToFit="1"/>
    </xf>
    <xf numFmtId="0" fontId="1" fillId="8" borderId="30" xfId="0" applyNumberFormat="1" applyFont="1" applyFill="1" applyBorder="1" applyAlignment="1">
      <alignment horizontal="center" vertical="center"/>
    </xf>
    <xf numFmtId="179" fontId="1" fillId="8" borderId="28" xfId="463" applyNumberFormat="1" applyFont="1" applyFill="1" applyBorder="1" applyAlignment="1">
      <alignment horizontal="right" vertical="center"/>
    </xf>
    <xf numFmtId="179" fontId="1" fillId="8" borderId="28" xfId="463" applyNumberFormat="1" applyFont="1" applyFill="1" applyBorder="1" applyAlignment="1">
      <alignment horizontal="center" vertical="center"/>
    </xf>
    <xf numFmtId="179" fontId="2" fillId="8" borderId="28" xfId="463" applyNumberFormat="1" applyFont="1" applyFill="1" applyBorder="1" applyAlignment="1">
      <alignment horizontal="right" vertical="center"/>
    </xf>
    <xf numFmtId="0" fontId="0" fillId="3" borderId="0" xfId="853" applyNumberFormat="1" applyFont="1" applyFill="1" applyAlignment="1">
      <alignment vertical="center"/>
    </xf>
    <xf numFmtId="0" fontId="2" fillId="8" borderId="0" xfId="463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vertical="center"/>
    </xf>
    <xf numFmtId="179" fontId="2" fillId="8" borderId="2" xfId="463" applyNumberFormat="1" applyFont="1" applyFill="1" applyBorder="1" applyAlignment="1">
      <alignment horizontal="right" vertical="center"/>
    </xf>
    <xf numFmtId="179" fontId="2" fillId="8" borderId="24" xfId="463" applyNumberFormat="1" applyFont="1" applyFill="1" applyBorder="1" applyAlignment="1">
      <alignment horizontal="right" vertical="center"/>
    </xf>
    <xf numFmtId="185" fontId="2" fillId="8" borderId="2" xfId="0" applyNumberFormat="1" applyFont="1" applyFill="1" applyBorder="1" applyAlignment="1">
      <alignment horizontal="right" vertical="center"/>
    </xf>
    <xf numFmtId="0" fontId="2" fillId="8" borderId="19" xfId="463" applyNumberFormat="1" applyFont="1" applyFill="1" applyBorder="1" applyAlignment="1">
      <alignment horizontal="right" vertical="center"/>
    </xf>
    <xf numFmtId="0" fontId="2" fillId="8" borderId="24" xfId="463" applyNumberFormat="1" applyFont="1" applyFill="1" applyBorder="1" applyAlignment="1">
      <alignment horizontal="left" vertical="center"/>
    </xf>
    <xf numFmtId="0" fontId="1" fillId="8" borderId="0" xfId="0" applyNumberFormat="1" applyFont="1" applyFill="1" applyBorder="1" applyAlignment="1">
      <alignment horizontal="distributed" vertical="center"/>
    </xf>
    <xf numFmtId="0" fontId="1" fillId="8" borderId="0" xfId="857" applyNumberFormat="1" applyFont="1" applyFill="1" applyBorder="1" applyAlignment="1">
      <alignment vertical="center"/>
    </xf>
    <xf numFmtId="0" fontId="1" fillId="8" borderId="4" xfId="857" applyNumberFormat="1" applyFont="1" applyFill="1" applyBorder="1" applyAlignment="1">
      <alignment vertical="center"/>
    </xf>
    <xf numFmtId="0" fontId="1" fillId="8" borderId="0" xfId="857" applyNumberFormat="1" applyFont="1" applyFill="1" applyBorder="1" applyAlignment="1">
      <alignment horizontal="distributed" vertical="center" shrinkToFit="1"/>
    </xf>
    <xf numFmtId="0" fontId="2" fillId="8" borderId="30" xfId="463" applyNumberFormat="1" applyFont="1" applyFill="1" applyBorder="1" applyAlignment="1">
      <alignment horizontal="center" vertical="center"/>
    </xf>
    <xf numFmtId="186" fontId="2" fillId="8" borderId="28" xfId="463" applyNumberFormat="1" applyFont="1" applyFill="1" applyBorder="1" applyAlignment="1">
      <alignment horizontal="center" vertical="center"/>
    </xf>
    <xf numFmtId="179" fontId="2" fillId="8" borderId="4" xfId="463" applyNumberFormat="1" applyFont="1" applyFill="1" applyBorder="1" applyAlignment="1">
      <alignment horizontal="right" vertical="center"/>
    </xf>
    <xf numFmtId="0" fontId="2" fillId="8" borderId="5" xfId="0" applyNumberFormat="1" applyFont="1" applyFill="1" applyBorder="1" applyAlignment="1">
      <alignment horizontal="centerContinuous" vertical="center"/>
    </xf>
    <xf numFmtId="0" fontId="0" fillId="3" borderId="19" xfId="858" applyNumberFormat="1" applyFont="1" applyFill="1" applyBorder="1" applyAlignment="1">
      <alignment horizontal="distributed" vertical="center"/>
    </xf>
    <xf numFmtId="183" fontId="0" fillId="3" borderId="2" xfId="463" applyNumberFormat="1" applyFont="1" applyFill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29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28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distributed" vertical="center"/>
    </xf>
    <xf numFmtId="0" fontId="0" fillId="3" borderId="19" xfId="0" applyNumberFormat="1" applyFill="1" applyBorder="1" applyAlignment="1">
      <alignment horizontal="distributed" vertical="center"/>
    </xf>
    <xf numFmtId="0" fontId="2" fillId="3" borderId="19" xfId="0" applyNumberFormat="1" applyFont="1" applyFill="1" applyBorder="1" applyAlignment="1">
      <alignment horizontal="distributed" vertical="center"/>
    </xf>
    <xf numFmtId="0" fontId="0" fillId="8" borderId="19" xfId="0" applyNumberFormat="1" applyFill="1" applyBorder="1" applyAlignment="1">
      <alignment horizontal="distributed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3" borderId="26" xfId="463" applyNumberFormat="1" applyFont="1" applyFill="1" applyBorder="1" applyAlignment="1">
      <alignment horizontal="center" vertical="center"/>
    </xf>
    <xf numFmtId="0" fontId="2" fillId="3" borderId="25" xfId="463" applyNumberFormat="1" applyFont="1" applyFill="1" applyBorder="1" applyAlignment="1">
      <alignment horizontal="center" vertical="center"/>
    </xf>
    <xf numFmtId="0" fontId="2" fillId="3" borderId="5" xfId="463" applyNumberFormat="1" applyFont="1" applyFill="1" applyBorder="1" applyAlignment="1">
      <alignment horizontal="center" vertical="center"/>
    </xf>
    <xf numFmtId="0" fontId="2" fillId="3" borderId="29" xfId="463" applyNumberFormat="1" applyFont="1" applyFill="1" applyBorder="1" applyAlignment="1">
      <alignment horizontal="center" vertical="center"/>
    </xf>
    <xf numFmtId="0" fontId="2" fillId="3" borderId="2" xfId="463" applyNumberFormat="1" applyFont="1" applyFill="1" applyBorder="1" applyAlignment="1">
      <alignment horizontal="center" vertical="center"/>
    </xf>
    <xf numFmtId="0" fontId="2" fillId="3" borderId="24" xfId="463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28" xfId="0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0" fillId="3" borderId="2" xfId="839" applyNumberFormat="1" applyFont="1" applyFill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2" fillId="3" borderId="25" xfId="854" applyNumberFormat="1" applyFont="1" applyFill="1" applyBorder="1" applyAlignment="1">
      <alignment horizontal="center" vertical="center"/>
    </xf>
    <xf numFmtId="0" fontId="2" fillId="3" borderId="29" xfId="854" applyNumberFormat="1" applyFont="1" applyFill="1" applyBorder="1" applyAlignment="1">
      <alignment horizontal="center" vertical="center"/>
    </xf>
    <xf numFmtId="0" fontId="2" fillId="3" borderId="15" xfId="839" applyNumberFormat="1" applyFont="1" applyFill="1" applyBorder="1" applyAlignment="1">
      <alignment horizontal="center" vertical="center" textRotation="255"/>
    </xf>
    <xf numFmtId="0" fontId="2" fillId="3" borderId="28" xfId="839" applyNumberFormat="1" applyFont="1" applyFill="1" applyBorder="1" applyAlignment="1">
      <alignment horizontal="center" vertical="center" textRotation="255"/>
    </xf>
    <xf numFmtId="0" fontId="2" fillId="3" borderId="14" xfId="839" applyNumberFormat="1" applyFont="1" applyFill="1" applyBorder="1" applyAlignment="1">
      <alignment horizontal="center" vertical="center" textRotation="255"/>
    </xf>
    <xf numFmtId="0" fontId="2" fillId="3" borderId="26" xfId="859" applyNumberFormat="1" applyFont="1" applyFill="1" applyBorder="1" applyAlignment="1">
      <alignment horizontal="center" vertical="center"/>
    </xf>
    <xf numFmtId="0" fontId="2" fillId="3" borderId="27" xfId="859" applyNumberFormat="1" applyFont="1" applyFill="1" applyBorder="1" applyAlignment="1">
      <alignment horizontal="center" vertical="center"/>
    </xf>
    <xf numFmtId="0" fontId="2" fillId="3" borderId="25" xfId="859" applyNumberFormat="1" applyFont="1" applyFill="1" applyBorder="1" applyAlignment="1">
      <alignment horizontal="center" vertical="center"/>
    </xf>
    <xf numFmtId="0" fontId="2" fillId="3" borderId="5" xfId="859" applyNumberFormat="1" applyFont="1" applyFill="1" applyBorder="1" applyAlignment="1">
      <alignment horizontal="center" vertical="center"/>
    </xf>
    <xf numFmtId="0" fontId="2" fillId="3" borderId="31" xfId="859" applyNumberFormat="1" applyFont="1" applyFill="1" applyBorder="1" applyAlignment="1">
      <alignment horizontal="center" vertical="center"/>
    </xf>
    <xf numFmtId="0" fontId="2" fillId="3" borderId="29" xfId="859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31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/>
    </xf>
    <xf numFmtId="0" fontId="2" fillId="3" borderId="19" xfId="463" applyNumberFormat="1" applyFont="1" applyFill="1" applyBorder="1" applyAlignment="1">
      <alignment horizontal="center" vertical="center"/>
    </xf>
    <xf numFmtId="0" fontId="2" fillId="3" borderId="15" xfId="857" applyNumberFormat="1" applyFont="1" applyFill="1" applyBorder="1" applyAlignment="1">
      <alignment horizontal="center" vertical="center" wrapText="1"/>
    </xf>
    <xf numFmtId="0" fontId="2" fillId="3" borderId="14" xfId="857" applyNumberFormat="1" applyFont="1" applyFill="1" applyBorder="1" applyAlignment="1">
      <alignment horizontal="center" vertical="center" wrapText="1"/>
    </xf>
    <xf numFmtId="0" fontId="2" fillId="3" borderId="15" xfId="463" applyNumberFormat="1" applyFont="1" applyFill="1" applyBorder="1" applyAlignment="1">
      <alignment horizontal="center" vertical="center"/>
    </xf>
    <xf numFmtId="0" fontId="2" fillId="3" borderId="14" xfId="463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463" applyNumberFormat="1" applyFont="1" applyFill="1" applyBorder="1" applyAlignment="1">
      <alignment horizontal="center" vertical="center" wrapText="1"/>
    </xf>
    <xf numFmtId="0" fontId="2" fillId="3" borderId="28" xfId="463" applyNumberFormat="1" applyFont="1" applyFill="1" applyBorder="1" applyAlignment="1">
      <alignment horizontal="center" vertical="center" wrapText="1"/>
    </xf>
    <xf numFmtId="0" fontId="2" fillId="3" borderId="14" xfId="463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0" xfId="857" applyNumberFormat="1" applyFont="1" applyAlignment="1">
      <alignment horizontal="left" vertical="center" wrapText="1"/>
    </xf>
    <xf numFmtId="0" fontId="1" fillId="0" borderId="0" xfId="857" applyNumberFormat="1" applyFont="1" applyAlignment="1">
      <alignment horizontal="left" vertical="center" wrapText="1"/>
    </xf>
    <xf numFmtId="0" fontId="2" fillId="0" borderId="15" xfId="857" applyNumberFormat="1" applyFont="1" applyBorder="1" applyAlignment="1">
      <alignment horizontal="center" vertical="center" wrapText="1"/>
    </xf>
    <xf numFmtId="0" fontId="2" fillId="0" borderId="14" xfId="857" applyNumberFormat="1" applyFont="1" applyBorder="1" applyAlignment="1">
      <alignment horizontal="center" vertical="center"/>
    </xf>
    <xf numFmtId="0" fontId="2" fillId="0" borderId="15" xfId="840" applyNumberFormat="1" applyFont="1" applyBorder="1" applyAlignment="1">
      <alignment horizontal="center" vertical="center"/>
    </xf>
    <xf numFmtId="0" fontId="2" fillId="0" borderId="14" xfId="840" applyNumberFormat="1" applyFont="1" applyBorder="1" applyAlignment="1">
      <alignment horizontal="center" vertical="center"/>
    </xf>
    <xf numFmtId="0" fontId="2" fillId="0" borderId="27" xfId="857" applyNumberFormat="1" applyFont="1" applyBorder="1" applyAlignment="1">
      <alignment horizontal="center" vertical="center"/>
    </xf>
    <xf numFmtId="0" fontId="2" fillId="0" borderId="31" xfId="857" applyNumberFormat="1" applyFont="1" applyBorder="1" applyAlignment="1">
      <alignment horizontal="center" vertical="center"/>
    </xf>
    <xf numFmtId="0" fontId="2" fillId="0" borderId="26" xfId="857" applyNumberFormat="1" applyFont="1" applyBorder="1" applyAlignment="1">
      <alignment horizontal="center" vertical="center"/>
    </xf>
    <xf numFmtId="0" fontId="2" fillId="0" borderId="5" xfId="857" applyNumberFormat="1" applyFont="1" applyBorder="1" applyAlignment="1">
      <alignment horizontal="center" vertical="center"/>
    </xf>
    <xf numFmtId="0" fontId="2" fillId="0" borderId="25" xfId="857" applyNumberFormat="1" applyFont="1" applyBorder="1" applyAlignment="1">
      <alignment horizontal="center" vertical="center"/>
    </xf>
    <xf numFmtId="0" fontId="2" fillId="0" borderId="29" xfId="857" applyNumberFormat="1" applyFont="1" applyBorder="1" applyAlignment="1">
      <alignment horizontal="center" vertical="center"/>
    </xf>
  </cellXfs>
  <cellStyles count="993">
    <cellStyle name="" xfId="1"/>
    <cellStyle name="          _x000d_&#10;386grabber=vga.3gr_x000d_&#10;" xfId="2"/>
    <cellStyle name="Ი_x000b_" xfId="3"/>
    <cellStyle name="&quot;" xfId="4"/>
    <cellStyle name="#" xfId="5"/>
    <cellStyle name="#,##0" xfId="6"/>
    <cellStyle name="#,##0.0" xfId="7"/>
    <cellStyle name="#,##0.00" xfId="8"/>
    <cellStyle name="#,##0.000" xfId="9"/>
    <cellStyle name="#,##0_목차" xfId="10"/>
    <cellStyle name="#_1. 경기문화재단" xfId="11"/>
    <cellStyle name="#_1-1. 경기문화재단" xfId="12"/>
    <cellStyle name="#_1-1. 경기문화재단-1" xfId="13"/>
    <cellStyle name="#_2. 경기도박물관" xfId="14"/>
    <cellStyle name="#_3. 경기도미술관" xfId="15"/>
    <cellStyle name="#_4. 경기도자박물관" xfId="16"/>
    <cellStyle name="#_5. 백남준아트센터" xfId="17"/>
    <cellStyle name="#_6. 남한산성" xfId="18"/>
    <cellStyle name="#_경기문화재단종합관리" xfId="19"/>
    <cellStyle name="#_심사내역서 (경기도자박물관)" xfId="20"/>
    <cellStyle name="#_청소업무용역(수정-최종)" xfId="21"/>
    <cellStyle name="$" xfId="22"/>
    <cellStyle name="$_0008금감원통합감독검사정보시스템" xfId="23"/>
    <cellStyle name="$_0009김포공항LED교체공사(광일)" xfId="24"/>
    <cellStyle name="$_0011긴급전화기정산(99년형광일)" xfId="25"/>
    <cellStyle name="$_0011부산종합경기장전광판" xfId="26"/>
    <cellStyle name="$_0011부산종합경기장전광판_강원지역본부(2006년_060109)" xfId="27"/>
    <cellStyle name="$_0011부산종합경기장전광판_경남지역본부-" xfId="28"/>
    <cellStyle name="$_0011부산종합경기장전광판_경북지역본부-" xfId="29"/>
    <cellStyle name="$_0011부산종합경기장전광판_중부지역본부-" xfId="30"/>
    <cellStyle name="$_0011부산종합경기장전광판_충청지역본부-" xfId="31"/>
    <cellStyle name="$_0011부산종합경기장전광판_통행료면탈방지시스템(최종)" xfId="32"/>
    <cellStyle name="$_0011부산종합경기장전광판_호남지역본부-" xfId="33"/>
    <cellStyle name="$_0011KIST소각설비제작설치" xfId="34"/>
    <cellStyle name="$_0012문화유적지표석제작설치" xfId="35"/>
    <cellStyle name="$_0102국제조명신공항분수조명" xfId="36"/>
    <cellStyle name="$_0102국제조명신공항분수조명_강원지역본부(2006년_060109)" xfId="37"/>
    <cellStyle name="$_0102국제조명신공항분수조명_경남지역본부-" xfId="38"/>
    <cellStyle name="$_0102국제조명신공항분수조명_경북지역본부-" xfId="39"/>
    <cellStyle name="$_0102국제조명신공항분수조명_중부지역본부-" xfId="40"/>
    <cellStyle name="$_0102국제조명신공항분수조명_충청지역본부-" xfId="41"/>
    <cellStyle name="$_0102국제조명신공항분수조명_통행료면탈방지시스템(최종)" xfId="42"/>
    <cellStyle name="$_0102국제조명신공항분수조명_호남지역본부-" xfId="43"/>
    <cellStyle name="$_0103회전식현수막게시대제작설치" xfId="44"/>
    <cellStyle name="$_0104포항시침출수처리시스템" xfId="45"/>
    <cellStyle name="$_0105담배자판기개조원가" xfId="46"/>
    <cellStyle name="$_0105담배자판기개조원가_강원지역본부(2006년_060109)" xfId="47"/>
    <cellStyle name="$_0105담배자판기개조원가_경남지역본부-" xfId="48"/>
    <cellStyle name="$_0105담배자판기개조원가_경북지역본부-" xfId="49"/>
    <cellStyle name="$_0105담배자판기개조원가_중부지역본부-" xfId="50"/>
    <cellStyle name="$_0105담배자판기개조원가_충청지역본부-" xfId="51"/>
    <cellStyle name="$_0105담배자판기개조원가_통행료면탈방지시스템(최종)" xfId="52"/>
    <cellStyle name="$_0105담배자판기개조원가_호남지역본부-" xfId="53"/>
    <cellStyle name="$_0106LG인버터냉난방기제작-1" xfId="54"/>
    <cellStyle name="$_0106LG인버터냉난방기제작-1_강원지역본부(2006년_060109)" xfId="55"/>
    <cellStyle name="$_0106LG인버터냉난방기제작-1_경남지역본부-" xfId="56"/>
    <cellStyle name="$_0106LG인버터냉난방기제작-1_경북지역본부-" xfId="57"/>
    <cellStyle name="$_0106LG인버터냉난방기제작-1_중부지역본부-" xfId="58"/>
    <cellStyle name="$_0106LG인버터냉난방기제작-1_충청지역본부-" xfId="59"/>
    <cellStyle name="$_0106LG인버터냉난방기제작-1_통행료면탈방지시스템(최종)" xfId="60"/>
    <cellStyle name="$_0106LG인버터냉난방기제작-1_호남지역본부-" xfId="61"/>
    <cellStyle name="$_0107광전송장비구매설치" xfId="62"/>
    <cellStyle name="$_0107도공IBS설비SW부문(참조)" xfId="63"/>
    <cellStyle name="$_0107문화재복원용목재-8월6일" xfId="64"/>
    <cellStyle name="$_0107문화재복원용목재-8월6일_강원지역본부(2006년_060109)" xfId="65"/>
    <cellStyle name="$_0107문화재복원용목재-8월6일_경남지역본부-" xfId="66"/>
    <cellStyle name="$_0107문화재복원용목재-8월6일_경북지역본부-" xfId="67"/>
    <cellStyle name="$_0107문화재복원용목재-8월6일_중부지역본부-" xfId="68"/>
    <cellStyle name="$_0107문화재복원용목재-8월6일_충청지역본부-" xfId="69"/>
    <cellStyle name="$_0107문화재복원용목재-8월6일_통행료면탈방지시스템(최종)" xfId="70"/>
    <cellStyle name="$_0107문화재복원용목재-8월6일_호남지역본부-" xfId="71"/>
    <cellStyle name="$_0107포천영중수배전반(제조,설치)" xfId="72"/>
    <cellStyle name="$_0108농기반미곡건조기제작설치" xfId="73"/>
    <cellStyle name="$_0108담배인삼공사영업춘추복" xfId="74"/>
    <cellStyle name="$_0108한국전기교통-LED교통신호등((원본))" xfId="75"/>
    <cellStyle name="$_0108한국전기교통-LED교통신호등((원본))_강원지역본부(2006년_060109)" xfId="76"/>
    <cellStyle name="$_0108한국전기교통-LED교통신호등((원본))_경남지역본부-" xfId="77"/>
    <cellStyle name="$_0108한국전기교통-LED교통신호등((원본))_경북지역본부-" xfId="78"/>
    <cellStyle name="$_0108한국전기교통-LED교통신호등((원본))_중부지역본부-" xfId="79"/>
    <cellStyle name="$_0108한국전기교통-LED교통신호등((원본))_충청지역본부-" xfId="80"/>
    <cellStyle name="$_0108한국전기교통-LED교통신호등((원본))_통행료면탈방지시스템(최종)" xfId="81"/>
    <cellStyle name="$_0108한국전기교통-LED교통신호등((원본))_호남지역본부-" xfId="82"/>
    <cellStyle name="$_0111해양수산부등명기제작" xfId="83"/>
    <cellStyle name="$_0111핸디소프트-전자표준문서시스템" xfId="84"/>
    <cellStyle name="$_0112금감원사무자동화시스템" xfId="85"/>
    <cellStyle name="$_0112수도권매립지SW원가" xfId="86"/>
    <cellStyle name="$_0112중고원-HRD종합정보망구축(完)" xfId="87"/>
    <cellStyle name="$_0201종합예술회관의자제작설치" xfId="88"/>
    <cellStyle name="$_0201종합예술회관의자제작설치-1" xfId="89"/>
    <cellStyle name="$_0202마사회근무복" xfId="90"/>
    <cellStyle name="$_0202마사회근무복_강원지역본부(2006년_060109)" xfId="91"/>
    <cellStyle name="$_0202마사회근무복_경남지역본부-" xfId="92"/>
    <cellStyle name="$_0202마사회근무복_경북지역본부-" xfId="93"/>
    <cellStyle name="$_0202마사회근무복_중부지역본부-" xfId="94"/>
    <cellStyle name="$_0202마사회근무복_충청지역본부-" xfId="95"/>
    <cellStyle name="$_0202마사회근무복_통행료면탈방지시스템(최종)" xfId="96"/>
    <cellStyle name="$_0202마사회근무복_호남지역본부-" xfId="97"/>
    <cellStyle name="$_0202부경교재-승강칠판" xfId="98"/>
    <cellStyle name="$_0202부경교재-승강칠판_강원지역본부(2006년_060109)" xfId="99"/>
    <cellStyle name="$_0202부경교재-승강칠판_경남지역본부-" xfId="100"/>
    <cellStyle name="$_0202부경교재-승강칠판_경북지역본부-" xfId="101"/>
    <cellStyle name="$_0202부경교재-승강칠판_중부지역본부-" xfId="102"/>
    <cellStyle name="$_0202부경교재-승강칠판_충청지역본부-" xfId="103"/>
    <cellStyle name="$_0202부경교재-승강칠판_통행료면탈방지시스템(최종)" xfId="104"/>
    <cellStyle name="$_0202부경교재-승강칠판_호남지역본부-" xfId="105"/>
    <cellStyle name="$_0204한국석묘납골함-1규격" xfId="106"/>
    <cellStyle name="$_0205TTMS-긴급전화기&amp;전체총괄" xfId="107"/>
    <cellStyle name="$_0206금감원금융정보교환망재구축" xfId="108"/>
    <cellStyle name="$_0206정통부수납장표기기제작설치" xfId="109"/>
    <cellStyle name="$_0207담배인삼공사-담요" xfId="110"/>
    <cellStyle name="$_0208레비텍-다층여과기설계변경" xfId="111"/>
    <cellStyle name="$_0209이산화염소발생기-설치(50K)" xfId="112"/>
    <cellStyle name="$_0210현대정보기술-TD이중계" xfId="113"/>
    <cellStyle name="$_0211조달청-#1대북지원사업정산(1월7일)" xfId="114"/>
    <cellStyle name="$_0212금감원-법규정보시스템(完)" xfId="115"/>
    <cellStyle name="$_0301교통방송-CCTV유지보수" xfId="116"/>
    <cellStyle name="$_0302인천경찰청-무인단속기위탁관리" xfId="117"/>
    <cellStyle name="$_0302조달청-대북지원2차(안성연)" xfId="118"/>
    <cellStyle name="$_0302조달청-대북지원2차(최수현)" xfId="119"/>
    <cellStyle name="$_0302표준문서-쌍용정보통신(신)" xfId="120"/>
    <cellStyle name="$_0304소프트파워-정부표준전자문서시스템" xfId="121"/>
    <cellStyle name="$_0304소프트파워-정부표준전자문서시스템(完)" xfId="122"/>
    <cellStyle name="$_0304철도청-주변환장치-1" xfId="123"/>
    <cellStyle name="$_0305금감원-금융통계정보시스템구축(完)" xfId="124"/>
    <cellStyle name="$_0305제낭조합-면범포지" xfId="125"/>
    <cellStyle name="$_0306제낭공업협동조합-면범포지원단(경비까지)" xfId="126"/>
    <cellStyle name="$_0307경찰청-무인교통단속표준SW개발용역(完)" xfId="127"/>
    <cellStyle name="$_0308조달청-#8대북지원사업정산" xfId="128"/>
    <cellStyle name="$_0309두합크린텍-설치원가" xfId="129"/>
    <cellStyle name="$_0309조달청-#9대북지원사업정산" xfId="130"/>
    <cellStyle name="$_0310여주상수도-탈수기(유천ENG)" xfId="131"/>
    <cellStyle name="$_0311대기해양작업시간" xfId="132"/>
    <cellStyle name="$_0311대기해양중형등명기" xfId="133"/>
    <cellStyle name="$_0312국민체육진흥공단-전기부문" xfId="134"/>
    <cellStyle name="$_0312대기해양-중형등명기제작설치" xfId="135"/>
    <cellStyle name="$_0312라이준-칼라아스콘4규격" xfId="136"/>
    <cellStyle name="$_0401집진기프로그램SW개발비산정" xfId="137"/>
    <cellStyle name="$_13. 관리동" xfId="138"/>
    <cellStyle name="$_2001-06조달청신성-한냉지형" xfId="139"/>
    <cellStyle name="$_2002-03경찰대학-졸업식" xfId="140"/>
    <cellStyle name="$_2002-03경찰청-경찰표지장" xfId="141"/>
    <cellStyle name="$_2002-03반디-가로등(열주형)" xfId="142"/>
    <cellStyle name="$_2002-03신화전자-감지기" xfId="143"/>
    <cellStyle name="$_2002-04강원랜드-슬러트머신" xfId="144"/>
    <cellStyle name="$_2002-04메가컴-외주무대" xfId="145"/>
    <cellStyle name="$_2002-04엘지애드-무대" xfId="146"/>
    <cellStyle name="$_2002-05강원랜드-슬러트머신(넥스터)" xfId="147"/>
    <cellStyle name="$_2002-05경기경찰청-냉온수기공사" xfId="148"/>
    <cellStyle name="$_2002-05대통령비서실-카페트" xfId="149"/>
    <cellStyle name="$_2002결과표" xfId="150"/>
    <cellStyle name="$_2002결과표_강원지역본부(2006년_060109)" xfId="151"/>
    <cellStyle name="$_2002결과표_경남지역본부-" xfId="152"/>
    <cellStyle name="$_2002결과표_경북지역본부-" xfId="153"/>
    <cellStyle name="$_2002결과표_중부지역본부-" xfId="154"/>
    <cellStyle name="$_2002결과표_충청지역본부-" xfId="155"/>
    <cellStyle name="$_2002결과표_통행료면탈방지시스템(최종)" xfId="156"/>
    <cellStyle name="$_2002결과표_호남지역본부-" xfId="157"/>
    <cellStyle name="$_2002결과표1" xfId="158"/>
    <cellStyle name="$_2003-01정일사-표창5종" xfId="159"/>
    <cellStyle name="$_간지,목차,페이지,표지" xfId="160"/>
    <cellStyle name="$_강원지역본부(2006년_060109)" xfId="161"/>
    <cellStyle name="$_견적2" xfId="162"/>
    <cellStyle name="$_경남지역본부-" xfId="163"/>
    <cellStyle name="$_경북지역본부-" xfId="164"/>
    <cellStyle name="$_경찰청-근무,기동복" xfId="165"/>
    <cellStyle name="$_공사일반관리비양식" xfId="166"/>
    <cellStyle name="$_관리동sw" xfId="167"/>
    <cellStyle name="$_기아" xfId="168"/>
    <cellStyle name="$_기초공사" xfId="169"/>
    <cellStyle name="$_네인텍정보기술-회로카드(수현)" xfId="170"/>
    <cellStyle name="$_대기해양노무비" xfId="171"/>
    <cellStyle name="$_대북자재8월분" xfId="172"/>
    <cellStyle name="$_대북자재8월분-1" xfId="173"/>
    <cellStyle name="$_동산용사촌수현(원본)" xfId="174"/>
    <cellStyle name="$_목차" xfId="175"/>
    <cellStyle name="$_백제군사전시1" xfId="176"/>
    <cellStyle name="$_수초제거기(대양기계)" xfId="177"/>
    <cellStyle name="$_수초제거기(대양기계)_강원지역본부(2006년_060109)" xfId="178"/>
    <cellStyle name="$_수초제거기(대양기계)_경남지역본부-" xfId="179"/>
    <cellStyle name="$_수초제거기(대양기계)_경북지역본부-" xfId="180"/>
    <cellStyle name="$_수초제거기(대양기계)_중부지역본부-" xfId="181"/>
    <cellStyle name="$_수초제거기(대양기계)_충청지역본부-" xfId="182"/>
    <cellStyle name="$_수초제거기(대양기계)_통행료면탈방지시스템(최종)" xfId="183"/>
    <cellStyle name="$_수초제거기(대양기계)_호남지역본부-" xfId="184"/>
    <cellStyle name="$_시설용역" xfId="185"/>
    <cellStyle name="$_암전정밀실체현미경(수현)" xfId="186"/>
    <cellStyle name="$_오리엔탈" xfId="187"/>
    <cellStyle name="$_원본 - 한국전기교통-개선형신호등 4종" xfId="188"/>
    <cellStyle name="$_원본 - 한국전기교통-개선형신호등 4종_강원지역본부(2006년_060109)" xfId="189"/>
    <cellStyle name="$_원본 - 한국전기교통-개선형신호등 4종_경남지역본부-" xfId="190"/>
    <cellStyle name="$_원본 - 한국전기교통-개선형신호등 4종_경북지역본부-" xfId="191"/>
    <cellStyle name="$_원본 - 한국전기교통-개선형신호등 4종_중부지역본부-" xfId="192"/>
    <cellStyle name="$_원본 - 한국전기교통-개선형신호등 4종_충청지역본부-" xfId="193"/>
    <cellStyle name="$_원본 - 한국전기교통-개선형신호등 4종_통행료면탈방지시스템(최종)" xfId="194"/>
    <cellStyle name="$_원본 - 한국전기교통-개선형신호등 4종_호남지역본부-" xfId="195"/>
    <cellStyle name="$_제경비율모음" xfId="196"/>
    <cellStyle name="$_제조원가" xfId="197"/>
    <cellStyle name="$_조달청-대북지원3차(최수현)" xfId="198"/>
    <cellStyle name="$_조달청-대북지원4차(최수현)" xfId="199"/>
    <cellStyle name="$_조달청-대북지원5차(최수현)" xfId="200"/>
    <cellStyle name="$_조달청-대북지원6차(번호)" xfId="201"/>
    <cellStyle name="$_조달청-대북지원6차(최수현)" xfId="202"/>
    <cellStyle name="$_조달청-대북지원7차(최수현)" xfId="203"/>
    <cellStyle name="$_조달청-대북지원8차(최수현)" xfId="204"/>
    <cellStyle name="$_조달청-대북지원9차(최수현)" xfId="205"/>
    <cellStyle name="$_조달청-B판사천강교제작(최종본)" xfId="206"/>
    <cellStyle name="$_중부지역본부-" xfId="207"/>
    <cellStyle name="$_중앙선관위(투표,개표)" xfId="208"/>
    <cellStyle name="$_중앙선관위(투표,개표)-사본" xfId="209"/>
    <cellStyle name="$_철공가공조립" xfId="210"/>
    <cellStyle name="$_최종-한국전기교통-개선형신호등 4종(공수조정)" xfId="211"/>
    <cellStyle name="$_최종-한국전기교통-개선형신호등 4종(공수조정)_강원지역본부(2006년_060109)" xfId="212"/>
    <cellStyle name="$_최종-한국전기교통-개선형신호등 4종(공수조정)_경남지역본부-" xfId="213"/>
    <cellStyle name="$_최종-한국전기교통-개선형신호등 4종(공수조정)_경북지역본부-" xfId="214"/>
    <cellStyle name="$_최종-한국전기교통-개선형신호등 4종(공수조정)_중부지역본부-" xfId="215"/>
    <cellStyle name="$_최종-한국전기교통-개선형신호등 4종(공수조정)_충청지역본부-" xfId="216"/>
    <cellStyle name="$_최종-한국전기교통-개선형신호등 4종(공수조정)_통행료면탈방지시스템(최종)" xfId="217"/>
    <cellStyle name="$_최종-한국전기교통-개선형신호등 4종(공수조정)_호남지역본부-" xfId="218"/>
    <cellStyle name="$_충청지역본부-" xfId="219"/>
    <cellStyle name="$_코솔라-제조원가" xfId="220"/>
    <cellStyle name="$_토지공사-간접비" xfId="221"/>
    <cellStyle name="$_통행료면탈방지시스템(최종)" xfId="222"/>
    <cellStyle name="$_한국도로공사" xfId="223"/>
    <cellStyle name="$_한전내역서-최종" xfId="224"/>
    <cellStyle name="$_호남지역본부-" xfId="225"/>
    <cellStyle name="$_db진흥" xfId="226"/>
    <cellStyle name="$_Pilot플랜트-계변경" xfId="227"/>
    <cellStyle name="$_Pilot플랜트이전설치-변경최종" xfId="228"/>
    <cellStyle name="$_SE40" xfId="229"/>
    <cellStyle name="$_SW(케이비)" xfId="230"/>
    <cellStyle name="??&amp;쏗?뷐9_x0008__x0011__x0007_?_x0007__x0001__x0001_" xfId="231"/>
    <cellStyle name="??&amp;O?&amp;H?_x0008__x000f__x0007_?_x0007__x0001__x0001_" xfId="232"/>
    <cellStyle name="??&amp;O?&amp;H?_x0008_??_x0007__x0001__x0001_" xfId="233"/>
    <cellStyle name="???­ [0]_¸ð??¸·" xfId="234"/>
    <cellStyle name="???­_¸ð??¸·" xfId="235"/>
    <cellStyle name="???Ø_¸ð??¸·" xfId="236"/>
    <cellStyle name="?曹%U?&amp;H?_x0008_?s&#10;_x0007__x0001__x0001_" xfId="237"/>
    <cellStyle name="?Þ¸¶ [0]_¸ð??¸·" xfId="238"/>
    <cellStyle name="?Þ¸¶_¸ð??¸·" xfId="239"/>
    <cellStyle name="?W?_laroux" xfId="240"/>
    <cellStyle name="@_laroux" xfId="241"/>
    <cellStyle name="@_laroux_제트베인" xfId="242"/>
    <cellStyle name="@_laroux_제트베인_1" xfId="243"/>
    <cellStyle name="_06년)하이패스_점검내역" xfId="244"/>
    <cellStyle name="_1_터널교통관리시설구축_공사설계서(달성12터널외2개소)" xfId="245"/>
    <cellStyle name="_11.통합보안관리서버" xfId="246"/>
    <cellStyle name="_1220-원가조사-전자지불" xfId="247"/>
    <cellStyle name="_2001 장애조치" xfId="248"/>
    <cellStyle name="_2002결과표1" xfId="249"/>
    <cellStyle name="_간지" xfId="250"/>
    <cellStyle name="_간지,목차,페이지,표지" xfId="251"/>
    <cellStyle name="_감가상각(01년도) (2)" xfId="252"/>
    <cellStyle name="_감가상각(01년도) (3)" xfId="253"/>
    <cellStyle name="_강산FRP" xfId="254"/>
    <cellStyle name="_강원지역본부" xfId="255"/>
    <cellStyle name="_강원지역본부(2006년)" xfId="256"/>
    <cellStyle name="_강원지역본부(2006년_060109)" xfId="257"/>
    <cellStyle name="_강원지역본부(2006년_060109)" xfId="258"/>
    <cellStyle name="_강원지역본부(2006년-051228)" xfId="259"/>
    <cellStyle name="_강원지역본부(2006년-060102)" xfId="260"/>
    <cellStyle name="_개요" xfId="261"/>
    <cellStyle name="_개요(봉림)-참고용" xfId="262"/>
    <cellStyle name="_개요(봉림)-최종" xfId="263"/>
    <cellStyle name="_개요(주안-인천)" xfId="264"/>
    <cellStyle name="_견적서_모바일경기-정현창" xfId="265"/>
    <cellStyle name="_경남본부_2006년도_유지관리대상수량" xfId="266"/>
    <cellStyle name="_경남본부_2006년도_유지관리대상수량_경남지역본부(2006년)" xfId="267"/>
    <cellStyle name="_경남본부_2006년도_유지관리대상수량_경남지역본부(2006년도)" xfId="268"/>
    <cellStyle name="_경남지역본부-" xfId="269"/>
    <cellStyle name="_경남지역본부-" xfId="270"/>
    <cellStyle name="_경남지역본부_20041220_상반기" xfId="271"/>
    <cellStyle name="_경남지역본부_20041220_상반기_2005년도급내역서" xfId="272"/>
    <cellStyle name="_경남지역본부_20041220_상반기_2005년도급내역서_강원지역본부(2006년)" xfId="273"/>
    <cellStyle name="_경남지역본부_20041220_상반기_2005년도급내역서_강원지역본부(2006년-051228)" xfId="274"/>
    <cellStyle name="_경남지역본부_20041220_상반기_2005년도급내역서_강원지역본부(2006년-060102)" xfId="275"/>
    <cellStyle name="_경남지역본부_20041220_상반기_2005년도급내역서_경남본부_2006년도_유지관리대상수량" xfId="276"/>
    <cellStyle name="_경남지역본부_20041220_상반기_2005년도급내역서_경남본부_2006년도_유지관리대상수량_경남지역본부(2006년)" xfId="277"/>
    <cellStyle name="_경남지역본부_20041220_상반기_2005년도급내역서_경남본부_2006년도_유지관리대상수량_경남지역본부(2006년도)" xfId="278"/>
    <cellStyle name="_경남지역본부_20041220_상반기_2005년도급내역서_중부지역본부(2006년)_기준" xfId="279"/>
    <cellStyle name="_경남지역본부_20041220_상반기_2005년도급내역서_중부지역본부(2006년)_기준_경남지역본부(2006년)" xfId="280"/>
    <cellStyle name="_경남지역본부_20041220_상반기_2005년도급내역서_중부지역본부(2006년)_기준_경남지역본부(2006년도)" xfId="281"/>
    <cellStyle name="_경남지역본부_20041220_상반기_2005년도급내역서_중부지역본부(2006년)_기준_경북지역본부(2006년)" xfId="282"/>
    <cellStyle name="_경남지역본부_20041220_상반기_2005년도급내역서_중부지역본부(2006년)_기준_경북지역본부(2006년도)" xfId="283"/>
    <cellStyle name="_경남지역본부_20041220_상반기_2005년도급내역서_중부지역본부(2006년-051220)" xfId="284"/>
    <cellStyle name="_경남지역본부_20041220_상반기_2005년도급내역서_중부지역본부(2006년-051228)" xfId="285"/>
    <cellStyle name="_경남지역본부_20041220_상반기_2005년도급내역서_중부지역본부(2006년-060102)" xfId="286"/>
    <cellStyle name="_경남지역본부_20041220_상반기_2005년도급내역서_TTMS위탁수량(KHC)" xfId="287"/>
    <cellStyle name="_경남지역본부_20041220_상반기_강원지역본부(2006년)" xfId="288"/>
    <cellStyle name="_경남지역본부_20041220_상반기_강원지역본부(2006년-051228)" xfId="289"/>
    <cellStyle name="_경남지역본부_20041220_상반기_강원지역본부(2006년-060102)" xfId="290"/>
    <cellStyle name="_경남지역본부_20041220_상반기_경남본부_2006년도_유지관리대상수량" xfId="291"/>
    <cellStyle name="_경남지역본부_20041220_상반기_경남본부_2006년도_유지관리대상수량_경남지역본부(2006년)" xfId="292"/>
    <cellStyle name="_경남지역본부_20041220_상반기_경남본부_2006년도_유지관리대상수량_경남지역본부(2006년도)" xfId="293"/>
    <cellStyle name="_경남지역본부_20041220_상반기_중부지역본부(2006년)_기준" xfId="294"/>
    <cellStyle name="_경남지역본부_20041220_상반기_중부지역본부(2006년)_기준_경남지역본부(2006년)" xfId="295"/>
    <cellStyle name="_경남지역본부_20041220_상반기_중부지역본부(2006년)_기준_경남지역본부(2006년도)" xfId="296"/>
    <cellStyle name="_경남지역본부_20041220_상반기_중부지역본부(2006년)_기준_경북지역본부(2006년)" xfId="297"/>
    <cellStyle name="_경남지역본부_20041220_상반기_중부지역본부(2006년)_기준_경북지역본부(2006년도)" xfId="298"/>
    <cellStyle name="_경남지역본부_20041220_상반기_중부지역본부(2006년-051220)" xfId="299"/>
    <cellStyle name="_경남지역본부_20041220_상반기_중부지역본부(2006년-051228)" xfId="300"/>
    <cellStyle name="_경남지역본부_20041220_상반기_중부지역본부(2006년-060102)" xfId="301"/>
    <cellStyle name="_경남지역본부_20041220_상반기_TTMS위탁수량(KHC)" xfId="302"/>
    <cellStyle name="_경북031002" xfId="303"/>
    <cellStyle name="_경북지역본부-" xfId="304"/>
    <cellStyle name="_경북지역본부-" xfId="305"/>
    <cellStyle name="_계중기(051216)" xfId="306"/>
    <cellStyle name="_고객서비스모니터링" xfId="307"/>
    <cellStyle name="_과학의 날 행사용 영상물제작" xfId="308"/>
    <cellStyle name="_광가입자전송장비(FLC)삼성" xfId="309"/>
    <cellStyle name="_광안리내역서(구도)" xfId="310"/>
    <cellStyle name="_광케이블_SNI_LGCNS_1" xfId="311"/>
    <cellStyle name="_구로지사 증축 및 보수공사 2차(최종)-12.16(신규)" xfId="312"/>
    <cellStyle name="_구로지사 증축 및 보수공사(최종)+개요" xfId="313"/>
    <cellStyle name="_기초공사" xfId="314"/>
    <cellStyle name="_나노엔텍(임금)" xfId="315"/>
    <cellStyle name="_내역(991895-7)" xfId="316"/>
    <cellStyle name="_내역(991895-7)-01" xfId="317"/>
    <cellStyle name="_내역(991895-7)-12-3일작업" xfId="318"/>
    <cellStyle name="_내역서" xfId="319"/>
    <cellStyle name="_내역서(서남권)" xfId="320"/>
    <cellStyle name="_내역서+개요(월배통신)" xfId="321"/>
    <cellStyle name="_내역서+개요(전기)-6.7(최종)" xfId="322"/>
    <cellStyle name="_내역서+개요(통신)" xfId="323"/>
    <cellStyle name="_농수로3종외-최종" xfId="324"/>
    <cellStyle name="_단가비교" xfId="325"/>
    <cellStyle name="_대전망운용국 대수선 전기공사+개요" xfId="326"/>
    <cellStyle name="_동목포전화국제4회기성청구서" xfId="327"/>
    <cellStyle name="_동학농민(전기)(02.09.05)" xfId="328"/>
    <cellStyle name="_모바일 경기넷 구축 사업(최종)" xfId="329"/>
    <cellStyle name="_목차" xfId="330"/>
    <cellStyle name="_목차_1. 경기문화재단" xfId="331"/>
    <cellStyle name="_목차_1-1. 경기문화재단" xfId="332"/>
    <cellStyle name="_목차_1-1. 경기문화재단-1" xfId="333"/>
    <cellStyle name="_목차_2. 경기도박물관" xfId="334"/>
    <cellStyle name="_목차_3. 경기도미술관" xfId="335"/>
    <cellStyle name="_목차_4. 경기도자박물관" xfId="336"/>
    <cellStyle name="_목차_5. 백남준아트센터" xfId="337"/>
    <cellStyle name="_목차_6. 남한산성" xfId="338"/>
    <cellStyle name="_목차_경기문화재단종합관리" xfId="339"/>
    <cellStyle name="_목차_심사내역서 (경기도자박물관)" xfId="340"/>
    <cellStyle name="_목차_청소업무용역(수정-최종)" xfId="341"/>
    <cellStyle name="_무역 전시회 지원성과" xfId="342"/>
    <cellStyle name="_봉림고교 교사신축(최종)" xfId="343"/>
    <cellStyle name="_봉림고교 교사신축(최종)-참고용" xfId="344"/>
    <cellStyle name="_브랜드개발" xfId="345"/>
    <cellStyle name="_샤워식분무기(최종)" xfId="346"/>
    <cellStyle name="_서울과학관의장" xfId="347"/>
    <cellStyle name="_신흥기업사-최종" xfId="348"/>
    <cellStyle name="_안양지식산업진흥원" xfId="349"/>
    <cellStyle name="_연구원실험대(24종)-최종" xfId="350"/>
    <cellStyle name="_원격유지관리시스템(2004)" xfId="351"/>
    <cellStyle name="_유선설비(051216)" xfId="352"/>
    <cellStyle name="_일위대가" xfId="353"/>
    <cellStyle name="_자재비교표" xfId="354"/>
    <cellStyle name="_장현중(내역서+개요)" xfId="355"/>
    <cellStyle name="_재료비" xfId="356"/>
    <cellStyle name="_전자지불(삼성SDS)" xfId="357"/>
    <cellStyle name="_전자지불-(케이비)" xfId="358"/>
    <cellStyle name="_정보통신-광통신망관리(050214)" xfId="359"/>
    <cellStyle name="_제일은행하계근무복" xfId="360"/>
    <cellStyle name="_중부지역본부-" xfId="361"/>
    <cellStyle name="_중부지역본부-" xfId="362"/>
    <cellStyle name="_중부지역본부(2006년)_기준" xfId="363"/>
    <cellStyle name="_중부지역본부(2006년)_기준_경남지역본부(2006년)" xfId="364"/>
    <cellStyle name="_중부지역본부(2006년)_기준_경남지역본부(2006년도)" xfId="365"/>
    <cellStyle name="_중부지역본부(2006년)_기준_경북지역본부(2006년)" xfId="366"/>
    <cellStyle name="_중부지역본부(2006년)_기준_경북지역본부(2006년도)" xfId="367"/>
    <cellStyle name="_중부지역본부(2006년-051220)" xfId="368"/>
    <cellStyle name="_중부지역본부(2006년-051228)" xfId="369"/>
    <cellStyle name="_중부지역본부(2006년-060102)" xfId="370"/>
    <cellStyle name="_증권예탁원_퇴직연금시스템_구축_요약_Ver2" xfId="371"/>
    <cellStyle name="_직접경비" xfId="372"/>
    <cellStyle name="_창(에리트(설치제외)" xfId="373"/>
    <cellStyle name="_총괄(최종)" xfId="374"/>
    <cellStyle name="_춘천전화국증축통신+개요" xfId="375"/>
    <cellStyle name="_춘천합동내역+개요(수정한최종)" xfId="376"/>
    <cellStyle name="_충청지역본부-" xfId="377"/>
    <cellStyle name="_테마공사새로03" xfId="378"/>
    <cellStyle name="_통행료 전자지불 SW" xfId="379"/>
    <cellStyle name="_통행료면탈방지시스템(최종)" xfId="380"/>
    <cellStyle name="_통행료면탈방지시스템(최종)" xfId="381"/>
    <cellStyle name="_퇴직연금 기록관리 시스템" xfId="382"/>
    <cellStyle name="_표지" xfId="383"/>
    <cellStyle name="_하이패스 전자지불(050214)" xfId="384"/>
    <cellStyle name="_하이패스(최종)" xfId="385"/>
    <cellStyle name="_호남지역본부-" xfId="386"/>
    <cellStyle name="_호남지역본부-20041220" xfId="387"/>
    <cellStyle name="_흙막이공사(일위)" xfId="388"/>
    <cellStyle name="_C앤C" xfId="389"/>
    <cellStyle name="_C앤C(네트웍)" xfId="390"/>
    <cellStyle name="_C앤C원가계산" xfId="391"/>
    <cellStyle name="_GN_극동건설(주)_덕정병원_토목(작업)-1" xfId="392"/>
    <cellStyle name="_TCS 영업소(050214)" xfId="393"/>
    <cellStyle name="_TCS_축중기" xfId="394"/>
    <cellStyle name="_TTMS위탁수량(KHC)" xfId="395"/>
    <cellStyle name="´þ·?" xfId="396"/>
    <cellStyle name="’E‰Y [0.00]_laroux" xfId="397"/>
    <cellStyle name="’E‰Y_laroux" xfId="398"/>
    <cellStyle name="¤@?e_TEST-1 " xfId="399"/>
    <cellStyle name="°ia¤¼o¼ya¡" xfId="400"/>
    <cellStyle name="°ia¤aa·a1" xfId="401"/>
    <cellStyle name="°ia¤aa·a2" xfId="402"/>
    <cellStyle name="0%" xfId="403"/>
    <cellStyle name="0,0_x000d_&#10;NA_x000d_&#10;" xfId="404"/>
    <cellStyle name="0.0" xfId="405"/>
    <cellStyle name="0.0%" xfId="406"/>
    <cellStyle name="0.00" xfId="407"/>
    <cellStyle name="0.00%" xfId="408"/>
    <cellStyle name="0.000%" xfId="409"/>
    <cellStyle name="0.0000%" xfId="410"/>
    <cellStyle name="1" xfId="411"/>
    <cellStyle name="10" xfId="412"/>
    <cellStyle name="120" xfId="413"/>
    <cellStyle name="19990216" xfId="414"/>
    <cellStyle name="1월" xfId="415"/>
    <cellStyle name="¹éº" xfId="416"/>
    <cellStyle name="³?a￥" xfId="417"/>
    <cellStyle name="60" xfId="418"/>
    <cellStyle name="_x0014_7." xfId="419"/>
    <cellStyle name="고정소숫점" xfId="420"/>
    <cellStyle name="고정출력1" xfId="421"/>
    <cellStyle name="고정출력2" xfId="422"/>
    <cellStyle name="咬訌裝?INCOM1" xfId="423"/>
    <cellStyle name="咬訌裝?INCOM10" xfId="424"/>
    <cellStyle name="咬訌裝?INCOM2" xfId="425"/>
    <cellStyle name="咬訌裝?INCOM3" xfId="426"/>
    <cellStyle name="咬訌裝?INCOM4" xfId="427"/>
    <cellStyle name="咬訌裝?INCOM5" xfId="428"/>
    <cellStyle name="咬訌裝?INCOM6" xfId="429"/>
    <cellStyle name="咬訌裝?INCOM7" xfId="430"/>
    <cellStyle name="咬訌裝?INCOM8" xfId="431"/>
    <cellStyle name="咬訌裝?INCOM9" xfId="432"/>
    <cellStyle name="咬訌裝?PRIB11" xfId="433"/>
    <cellStyle name="구        분" xfId="434"/>
    <cellStyle name="금액" xfId="435"/>
    <cellStyle name="김해전기" xfId="436"/>
    <cellStyle name="날짜" xfId="437"/>
    <cellStyle name="내역서" xfId="438"/>
    <cellStyle name="단위(원)" xfId="439"/>
    <cellStyle name="달러" xfId="440"/>
    <cellStyle name="뒤에 오는 하이퍼링크" xfId="441"/>
    <cellStyle name="똿뗦먛귟 [0.00]_laroux" xfId="442"/>
    <cellStyle name="똿뗦먛귟_laroux" xfId="443"/>
    <cellStyle name="믅됞 [0.00]_laroux" xfId="444"/>
    <cellStyle name="믅됞_laroux" xfId="445"/>
    <cellStyle name="배분" xfId="446"/>
    <cellStyle name="백분율 [0]" xfId="447"/>
    <cellStyle name="백분율 [2]" xfId="448"/>
    <cellStyle name="백분율［△1］" xfId="449"/>
    <cellStyle name="백분율［△2］" xfId="450"/>
    <cellStyle name="뷭?_?긚??_1" xfId="451"/>
    <cellStyle name="선택영역의 가운데로" xfId="452"/>
    <cellStyle name="설계서" xfId="453"/>
    <cellStyle name="설계서-내용" xfId="454"/>
    <cellStyle name="설계서-내용-소수점" xfId="455"/>
    <cellStyle name="설계서-내용-우" xfId="456"/>
    <cellStyle name="설계서-내용-좌" xfId="457"/>
    <cellStyle name="설계서-소제목" xfId="458"/>
    <cellStyle name="설계서-타이틀" xfId="459"/>
    <cellStyle name="설계서-항목" xfId="460"/>
    <cellStyle name="수산" xfId="461"/>
    <cellStyle name="숫자(R)" xfId="462"/>
    <cellStyle name="쉼표 [0]" xfId="463" builtinId="6"/>
    <cellStyle name="쉼표 [0]_2. 냉온수" xfId="464"/>
    <cellStyle name="스타일 1" xfId="465"/>
    <cellStyle name="스타일 10" xfId="466"/>
    <cellStyle name="스타일 11" xfId="467"/>
    <cellStyle name="스타일 12" xfId="468"/>
    <cellStyle name="스타일 13" xfId="469"/>
    <cellStyle name="스타일 14" xfId="470"/>
    <cellStyle name="스타일 15" xfId="471"/>
    <cellStyle name="스타일 16" xfId="472"/>
    <cellStyle name="스타일 17" xfId="473"/>
    <cellStyle name="스타일 18" xfId="474"/>
    <cellStyle name="스타일 19" xfId="475"/>
    <cellStyle name="스타일 2" xfId="476"/>
    <cellStyle name="스타일 20" xfId="477"/>
    <cellStyle name="스타일 21" xfId="478"/>
    <cellStyle name="스타일 22" xfId="479"/>
    <cellStyle name="스타일 23" xfId="480"/>
    <cellStyle name="스타일 24" xfId="481"/>
    <cellStyle name="스타일 25" xfId="482"/>
    <cellStyle name="스타일 26" xfId="483"/>
    <cellStyle name="스타일 27" xfId="484"/>
    <cellStyle name="스타일 28" xfId="485"/>
    <cellStyle name="스타일 29" xfId="486"/>
    <cellStyle name="스타일 3" xfId="487"/>
    <cellStyle name="스타일 30" xfId="488"/>
    <cellStyle name="스타일 31" xfId="489"/>
    <cellStyle name="스타일 32" xfId="490"/>
    <cellStyle name="스타일 33" xfId="491"/>
    <cellStyle name="스타일 34" xfId="492"/>
    <cellStyle name="스타일 35" xfId="493"/>
    <cellStyle name="스타일 36" xfId="494"/>
    <cellStyle name="스타일 37" xfId="495"/>
    <cellStyle name="스타일 38" xfId="496"/>
    <cellStyle name="스타일 39" xfId="497"/>
    <cellStyle name="스타일 4" xfId="498"/>
    <cellStyle name="스타일 40" xfId="499"/>
    <cellStyle name="스타일 41" xfId="500"/>
    <cellStyle name="스타일 42" xfId="501"/>
    <cellStyle name="스타일 43" xfId="502"/>
    <cellStyle name="스타일 44" xfId="503"/>
    <cellStyle name="스타일 45" xfId="504"/>
    <cellStyle name="스타일 46" xfId="505"/>
    <cellStyle name="스타일 47" xfId="506"/>
    <cellStyle name="스타일 48" xfId="507"/>
    <cellStyle name="스타일 49" xfId="508"/>
    <cellStyle name="스타일 5" xfId="509"/>
    <cellStyle name="스타일 50" xfId="510"/>
    <cellStyle name="스타일 51" xfId="511"/>
    <cellStyle name="스타일 52" xfId="512"/>
    <cellStyle name="스타일 53" xfId="513"/>
    <cellStyle name="스타일 54" xfId="514"/>
    <cellStyle name="스타일 55" xfId="515"/>
    <cellStyle name="스타일 56" xfId="516"/>
    <cellStyle name="스타일 57" xfId="517"/>
    <cellStyle name="스타일 58" xfId="518"/>
    <cellStyle name="스타일 59" xfId="519"/>
    <cellStyle name="스타일 6" xfId="520"/>
    <cellStyle name="스타일 60" xfId="521"/>
    <cellStyle name="스타일 61" xfId="522"/>
    <cellStyle name="스타일 62" xfId="523"/>
    <cellStyle name="스타일 63" xfId="524"/>
    <cellStyle name="스타일 64" xfId="525"/>
    <cellStyle name="스타일 7" xfId="526"/>
    <cellStyle name="스타일 8" xfId="527"/>
    <cellStyle name="스타일 9" xfId="528"/>
    <cellStyle name="안건회계법인" xfId="529"/>
    <cellStyle name="원" xfId="530"/>
    <cellStyle name="원_0008금감원통합감독검사정보시스템" xfId="531"/>
    <cellStyle name="원_0009김포공항LED교체공사(광일)" xfId="532"/>
    <cellStyle name="원_0009김포공항LED교체공사(광일)_강원지역본부(2006년_060109)" xfId="533"/>
    <cellStyle name="원_0009김포공항LED교체공사(광일)_경남지역본부-" xfId="534"/>
    <cellStyle name="원_0009김포공항LED교체공사(광일)_경북지역본부-" xfId="535"/>
    <cellStyle name="원_0009김포공항LED교체공사(광일)_중부지역본부-" xfId="536"/>
    <cellStyle name="원_0009김포공항LED교체공사(광일)_충청지역본부-" xfId="537"/>
    <cellStyle name="원_0009김포공항LED교체공사(광일)_통행료면탈방지시스템(최종)" xfId="538"/>
    <cellStyle name="원_0009김포공항LED교체공사(광일)_호남지역본부-" xfId="539"/>
    <cellStyle name="원_0011긴급전화기정산(99년형광일)" xfId="540"/>
    <cellStyle name="원_0011긴급전화기정산(99년형광일)_강원지역본부(2006년_060109)" xfId="541"/>
    <cellStyle name="원_0011긴급전화기정산(99년형광일)_경남지역본부-" xfId="542"/>
    <cellStyle name="원_0011긴급전화기정산(99년형광일)_경북지역본부-" xfId="543"/>
    <cellStyle name="원_0011긴급전화기정산(99년형광일)_중부지역본부-" xfId="544"/>
    <cellStyle name="원_0011긴급전화기정산(99년형광일)_충청지역본부-" xfId="545"/>
    <cellStyle name="원_0011긴급전화기정산(99년형광일)_통행료면탈방지시스템(최종)" xfId="546"/>
    <cellStyle name="원_0011긴급전화기정산(99년형광일)_호남지역본부-" xfId="547"/>
    <cellStyle name="원_0011부산종합경기장전광판" xfId="548"/>
    <cellStyle name="원_0011부산종합경기장전광판_강원지역본부(2006년_060109)" xfId="549"/>
    <cellStyle name="원_0011부산종합경기장전광판_경남지역본부-" xfId="550"/>
    <cellStyle name="원_0011부산종합경기장전광판_경북지역본부-" xfId="551"/>
    <cellStyle name="원_0011부산종합경기장전광판_중부지역본부-" xfId="552"/>
    <cellStyle name="원_0011부산종합경기장전광판_충청지역본부-" xfId="553"/>
    <cellStyle name="원_0011부산종합경기장전광판_통행료면탈방지시스템(최종)" xfId="554"/>
    <cellStyle name="원_0011부산종합경기장전광판_호남지역본부-" xfId="555"/>
    <cellStyle name="원_0011KIST소각설비제작설치" xfId="556"/>
    <cellStyle name="원_0011KIST소각설비제작설치_강원지역본부(2006년_060109)" xfId="557"/>
    <cellStyle name="원_0011KIST소각설비제작설치_경남지역본부-" xfId="558"/>
    <cellStyle name="원_0011KIST소각설비제작설치_경북지역본부-" xfId="559"/>
    <cellStyle name="원_0011KIST소각설비제작설치_중부지역본부-" xfId="560"/>
    <cellStyle name="원_0011KIST소각설비제작설치_충청지역본부-" xfId="561"/>
    <cellStyle name="원_0011KIST소각설비제작설치_통행료면탈방지시스템(최종)" xfId="562"/>
    <cellStyle name="원_0011KIST소각설비제작설치_호남지역본부-" xfId="563"/>
    <cellStyle name="원_0012문화유적지표석제작설치" xfId="564"/>
    <cellStyle name="원_0012문화유적지표석제작설치_강원지역본부(2006년_060109)" xfId="565"/>
    <cellStyle name="원_0012문화유적지표석제작설치_경남지역본부-" xfId="566"/>
    <cellStyle name="원_0012문화유적지표석제작설치_경북지역본부-" xfId="567"/>
    <cellStyle name="원_0012문화유적지표석제작설치_중부지역본부-" xfId="568"/>
    <cellStyle name="원_0012문화유적지표석제작설치_충청지역본부-" xfId="569"/>
    <cellStyle name="원_0012문화유적지표석제작설치_통행료면탈방지시스템(최종)" xfId="570"/>
    <cellStyle name="원_0012문화유적지표석제작설치_호남지역본부-" xfId="571"/>
    <cellStyle name="원_0102국제조명신공항분수조명" xfId="572"/>
    <cellStyle name="원_0102국제조명신공항분수조명_강원지역본부(2006년_060109)" xfId="573"/>
    <cellStyle name="원_0102국제조명신공항분수조명_경남지역본부-" xfId="574"/>
    <cellStyle name="원_0102국제조명신공항분수조명_경북지역본부-" xfId="575"/>
    <cellStyle name="원_0102국제조명신공항분수조명_중부지역본부-" xfId="576"/>
    <cellStyle name="원_0102국제조명신공항분수조명_충청지역본부-" xfId="577"/>
    <cellStyle name="원_0102국제조명신공항분수조명_통행료면탈방지시스템(최종)" xfId="578"/>
    <cellStyle name="원_0102국제조명신공항분수조명_호남지역본부-" xfId="579"/>
    <cellStyle name="원_0103회전식현수막게시대제작설치" xfId="580"/>
    <cellStyle name="원_0104포항시침출수처리시스템" xfId="581"/>
    <cellStyle name="원_0105담배자판기개조원가" xfId="582"/>
    <cellStyle name="원_0105담배자판기개조원가_강원지역본부(2006년_060109)" xfId="583"/>
    <cellStyle name="원_0105담배자판기개조원가_경남지역본부-" xfId="584"/>
    <cellStyle name="원_0105담배자판기개조원가_경북지역본부-" xfId="585"/>
    <cellStyle name="원_0105담배자판기개조원가_중부지역본부-" xfId="586"/>
    <cellStyle name="원_0105담배자판기개조원가_충청지역본부-" xfId="587"/>
    <cellStyle name="원_0105담배자판기개조원가_통행료면탈방지시스템(최종)" xfId="588"/>
    <cellStyle name="원_0105담배자판기개조원가_호남지역본부-" xfId="589"/>
    <cellStyle name="원_0106LG인버터냉난방기제작-1" xfId="590"/>
    <cellStyle name="원_0106LG인버터냉난방기제작-1_강원지역본부(2006년_060109)" xfId="591"/>
    <cellStyle name="원_0106LG인버터냉난방기제작-1_경남지역본부-" xfId="592"/>
    <cellStyle name="원_0106LG인버터냉난방기제작-1_경북지역본부-" xfId="593"/>
    <cellStyle name="원_0106LG인버터냉난방기제작-1_중부지역본부-" xfId="594"/>
    <cellStyle name="원_0106LG인버터냉난방기제작-1_충청지역본부-" xfId="595"/>
    <cellStyle name="원_0106LG인버터냉난방기제작-1_통행료면탈방지시스템(최종)" xfId="596"/>
    <cellStyle name="원_0106LG인버터냉난방기제작-1_호남지역본부-" xfId="597"/>
    <cellStyle name="원_0107광전송장비구매설치" xfId="598"/>
    <cellStyle name="원_0107광전송장비구매설치_강원지역본부(2006년_060109)" xfId="599"/>
    <cellStyle name="원_0107광전송장비구매설치_경남지역본부-" xfId="600"/>
    <cellStyle name="원_0107광전송장비구매설치_경북지역본부-" xfId="601"/>
    <cellStyle name="원_0107광전송장비구매설치_중부지역본부-" xfId="602"/>
    <cellStyle name="원_0107광전송장비구매설치_충청지역본부-" xfId="603"/>
    <cellStyle name="원_0107광전송장비구매설치_통행료면탈방지시스템(최종)" xfId="604"/>
    <cellStyle name="원_0107광전송장비구매설치_호남지역본부-" xfId="605"/>
    <cellStyle name="원_0107도공IBS설비SW부문(참조)" xfId="606"/>
    <cellStyle name="원_0107도공IBS설비SW부문(참조)_강원지역본부(2006년_060109)" xfId="607"/>
    <cellStyle name="원_0107도공IBS설비SW부문(참조)_경남지역본부-" xfId="608"/>
    <cellStyle name="원_0107도공IBS설비SW부문(참조)_경북지역본부-" xfId="609"/>
    <cellStyle name="원_0107도공IBS설비SW부문(참조)_중부지역본부-" xfId="610"/>
    <cellStyle name="원_0107도공IBS설비SW부문(참조)_충청지역본부-" xfId="611"/>
    <cellStyle name="원_0107도공IBS설비SW부문(참조)_통행료면탈방지시스템(최종)" xfId="612"/>
    <cellStyle name="원_0107도공IBS설비SW부문(참조)_호남지역본부-" xfId="613"/>
    <cellStyle name="원_0107문화재복원용목재-8월6일" xfId="614"/>
    <cellStyle name="원_0107문화재복원용목재-8월6일_강원지역본부(2006년_060109)" xfId="615"/>
    <cellStyle name="원_0107문화재복원용목재-8월6일_경남지역본부-" xfId="616"/>
    <cellStyle name="원_0107문화재복원용목재-8월6일_경북지역본부-" xfId="617"/>
    <cellStyle name="원_0107문화재복원용목재-8월6일_중부지역본부-" xfId="618"/>
    <cellStyle name="원_0107문화재복원용목재-8월6일_충청지역본부-" xfId="619"/>
    <cellStyle name="원_0107문화재복원용목재-8월6일_통행료면탈방지시스템(최종)" xfId="620"/>
    <cellStyle name="원_0107문화재복원용목재-8월6일_호남지역본부-" xfId="621"/>
    <cellStyle name="원_0107포천영중수배전반(제조,설치)" xfId="622"/>
    <cellStyle name="원_0107포천영중수배전반(제조,설치)_강원지역본부(2006년_060109)" xfId="623"/>
    <cellStyle name="원_0107포천영중수배전반(제조,설치)_경남지역본부-" xfId="624"/>
    <cellStyle name="원_0107포천영중수배전반(제조,설치)_경북지역본부-" xfId="625"/>
    <cellStyle name="원_0107포천영중수배전반(제조,설치)_중부지역본부-" xfId="626"/>
    <cellStyle name="원_0107포천영중수배전반(제조,설치)_충청지역본부-" xfId="627"/>
    <cellStyle name="원_0107포천영중수배전반(제조,설치)_통행료면탈방지시스템(최종)" xfId="628"/>
    <cellStyle name="원_0107포천영중수배전반(제조,설치)_호남지역본부-" xfId="629"/>
    <cellStyle name="원_0108농기반미곡건조기제작설치" xfId="630"/>
    <cellStyle name="원_0108담배인삼공사영업춘추복" xfId="631"/>
    <cellStyle name="원_0108한국전기교통-LED교통신호등((원본))" xfId="632"/>
    <cellStyle name="원_0108한국전기교통-LED교통신호등((원본))_강원지역본부(2006년_060109)" xfId="633"/>
    <cellStyle name="원_0108한국전기교통-LED교통신호등((원본))_경남지역본부-" xfId="634"/>
    <cellStyle name="원_0108한국전기교통-LED교통신호등((원본))_경북지역본부-" xfId="635"/>
    <cellStyle name="원_0108한국전기교통-LED교통신호등((원본))_중부지역본부-" xfId="636"/>
    <cellStyle name="원_0108한국전기교통-LED교통신호등((원본))_충청지역본부-" xfId="637"/>
    <cellStyle name="원_0108한국전기교통-LED교통신호등((원본))_통행료면탈방지시스템(최종)" xfId="638"/>
    <cellStyle name="원_0108한국전기교통-LED교통신호등((원본))_호남지역본부-" xfId="639"/>
    <cellStyle name="원_0111해양수산부등명기제작" xfId="640"/>
    <cellStyle name="원_0111해양수산부등명기제작_강원지역본부(2006년_060109)" xfId="641"/>
    <cellStyle name="원_0111해양수산부등명기제작_경남지역본부-" xfId="642"/>
    <cellStyle name="원_0111해양수산부등명기제작_경북지역본부-" xfId="643"/>
    <cellStyle name="원_0111해양수산부등명기제작_중부지역본부-" xfId="644"/>
    <cellStyle name="원_0111해양수산부등명기제작_충청지역본부-" xfId="645"/>
    <cellStyle name="원_0111해양수산부등명기제작_통행료면탈방지시스템(최종)" xfId="646"/>
    <cellStyle name="원_0111해양수산부등명기제작_호남지역본부-" xfId="647"/>
    <cellStyle name="원_0111핸디소프트-전자표준문서시스템" xfId="648"/>
    <cellStyle name="원_0112금감원사무자동화시스템" xfId="649"/>
    <cellStyle name="원_0112금감원사무자동화시스템_강원지역본부(2006년_060109)" xfId="650"/>
    <cellStyle name="원_0112금감원사무자동화시스템_경남지역본부-" xfId="651"/>
    <cellStyle name="원_0112금감원사무자동화시스템_경북지역본부-" xfId="652"/>
    <cellStyle name="원_0112금감원사무자동화시스템_중부지역본부-" xfId="653"/>
    <cellStyle name="원_0112금감원사무자동화시스템_충청지역본부-" xfId="654"/>
    <cellStyle name="원_0112금감원사무자동화시스템_통행료면탈방지시스템(최종)" xfId="655"/>
    <cellStyle name="원_0112금감원사무자동화시스템_호남지역본부-" xfId="656"/>
    <cellStyle name="원_0112수도권매립지SW원가" xfId="657"/>
    <cellStyle name="원_0112수도권매립지SW원가_강원지역본부(2006년_060109)" xfId="658"/>
    <cellStyle name="원_0112수도권매립지SW원가_경남지역본부-" xfId="659"/>
    <cellStyle name="원_0112수도권매립지SW원가_경북지역본부-" xfId="660"/>
    <cellStyle name="원_0112수도권매립지SW원가_중부지역본부-" xfId="661"/>
    <cellStyle name="원_0112수도권매립지SW원가_충청지역본부-" xfId="662"/>
    <cellStyle name="원_0112수도권매립지SW원가_통행료면탈방지시스템(최종)" xfId="663"/>
    <cellStyle name="원_0112수도권매립지SW원가_호남지역본부-" xfId="664"/>
    <cellStyle name="원_0112중고원-HRD종합정보망구축(完)" xfId="665"/>
    <cellStyle name="원_0201종합예술회관의자제작설치" xfId="666"/>
    <cellStyle name="원_0201종합예술회관의자제작설치-1" xfId="667"/>
    <cellStyle name="원_0202마사회근무복" xfId="668"/>
    <cellStyle name="원_0202마사회근무복_강원지역본부(2006년_060109)" xfId="669"/>
    <cellStyle name="원_0202마사회근무복_경남지역본부-" xfId="670"/>
    <cellStyle name="원_0202마사회근무복_경북지역본부-" xfId="671"/>
    <cellStyle name="원_0202마사회근무복_중부지역본부-" xfId="672"/>
    <cellStyle name="원_0202마사회근무복_충청지역본부-" xfId="673"/>
    <cellStyle name="원_0202마사회근무복_통행료면탈방지시스템(최종)" xfId="674"/>
    <cellStyle name="원_0202마사회근무복_호남지역본부-" xfId="675"/>
    <cellStyle name="원_0202부경교재-승강칠판" xfId="676"/>
    <cellStyle name="원_0202부경교재-승강칠판_강원지역본부(2006년_060109)" xfId="677"/>
    <cellStyle name="원_0202부경교재-승강칠판_경남지역본부-" xfId="678"/>
    <cellStyle name="원_0202부경교재-승강칠판_경북지역본부-" xfId="679"/>
    <cellStyle name="원_0202부경교재-승강칠판_중부지역본부-" xfId="680"/>
    <cellStyle name="원_0202부경교재-승강칠판_충청지역본부-" xfId="681"/>
    <cellStyle name="원_0202부경교재-승강칠판_통행료면탈방지시스템(최종)" xfId="682"/>
    <cellStyle name="원_0202부경교재-승강칠판_호남지역본부-" xfId="683"/>
    <cellStyle name="원_0204한국석묘납골함-1규격" xfId="684"/>
    <cellStyle name="원_0204한국석묘납골함-1규격_강원지역본부(2006년_060109)" xfId="685"/>
    <cellStyle name="원_0204한국석묘납골함-1규격_경남지역본부-" xfId="686"/>
    <cellStyle name="원_0204한국석묘납골함-1규격_경북지역본부-" xfId="687"/>
    <cellStyle name="원_0204한국석묘납골함-1규격_중부지역본부-" xfId="688"/>
    <cellStyle name="원_0204한국석묘납골함-1규격_충청지역본부-" xfId="689"/>
    <cellStyle name="원_0204한국석묘납골함-1규격_통행료면탈방지시스템(최종)" xfId="690"/>
    <cellStyle name="원_0204한국석묘납골함-1규격_호남지역본부-" xfId="691"/>
    <cellStyle name="원_0205TTMS-긴급전화기&amp;전체총괄" xfId="692"/>
    <cellStyle name="원_0206금감원금융정보교환망재구축" xfId="693"/>
    <cellStyle name="원_0206정통부수납장표기기제작설치" xfId="694"/>
    <cellStyle name="원_0207담배인삼공사-담요" xfId="695"/>
    <cellStyle name="원_0208레비텍-다층여과기설계변경" xfId="696"/>
    <cellStyle name="원_0209이산화염소발생기-설치(50K)" xfId="697"/>
    <cellStyle name="원_0210현대정보기술-TD이중계" xfId="698"/>
    <cellStyle name="원_0211조달청-#1대북지원사업정산(1월7일)" xfId="699"/>
    <cellStyle name="원_0212금감원-법규정보시스템(完)" xfId="700"/>
    <cellStyle name="원_0301교통방송-CCTV유지보수" xfId="701"/>
    <cellStyle name="원_0302인천경찰청-무인단속기위탁관리" xfId="702"/>
    <cellStyle name="원_0302조달청-대북지원2차(안성연)" xfId="703"/>
    <cellStyle name="원_0302조달청-대북지원2차(최수현)" xfId="704"/>
    <cellStyle name="원_0302표준문서-쌍용정보통신(신)" xfId="705"/>
    <cellStyle name="원_0304소프트파워-정부표준전자문서시스템" xfId="706"/>
    <cellStyle name="원_0304소프트파워-정부표준전자문서시스템(完)" xfId="707"/>
    <cellStyle name="원_0304철도청-주변환장치-1" xfId="708"/>
    <cellStyle name="원_0305금감원-금융통계정보시스템구축(完)" xfId="709"/>
    <cellStyle name="원_0305제낭조합-면범포지" xfId="710"/>
    <cellStyle name="원_0306제낭공업협동조합-면범포지원단(경비까지)" xfId="711"/>
    <cellStyle name="원_0307경찰청-무인교통단속표준SW개발용역(完)" xfId="712"/>
    <cellStyle name="원_0308조달청-#8대북지원사업정산" xfId="713"/>
    <cellStyle name="원_0309두합크린텍-설치원가" xfId="714"/>
    <cellStyle name="원_0309조달청-#9대북지원사업정산" xfId="715"/>
    <cellStyle name="원_0310여주상수도-탈수기(유천ENG)" xfId="716"/>
    <cellStyle name="원_0311대기해양작업시간" xfId="717"/>
    <cellStyle name="원_0311대기해양중형등명기" xfId="718"/>
    <cellStyle name="원_0312국민체육진흥공단-전기부문" xfId="719"/>
    <cellStyle name="원_0312대기해양-중형등명기제작설치" xfId="720"/>
    <cellStyle name="원_0312라이준-칼라아스콘4규격" xfId="721"/>
    <cellStyle name="원_0401집진기프로그램SW개발비산정" xfId="722"/>
    <cellStyle name="원_13. 관리동" xfId="723"/>
    <cellStyle name="원_2001-06조달청신성-한냉지형" xfId="724"/>
    <cellStyle name="원_2002-03경찰대학-졸업식" xfId="725"/>
    <cellStyle name="원_2002-03경찰청-경찰표지장" xfId="726"/>
    <cellStyle name="원_2002-03반디-가로등(열주형)" xfId="727"/>
    <cellStyle name="원_2002-03신화전자-감지기" xfId="728"/>
    <cellStyle name="원_2002-04강원랜드-슬러트머신" xfId="729"/>
    <cellStyle name="원_2002-04메가컴-외주무대" xfId="730"/>
    <cellStyle name="원_2002-04엘지애드-무대" xfId="731"/>
    <cellStyle name="원_2002-05강원랜드-슬러트머신(넥스터)" xfId="732"/>
    <cellStyle name="원_2002-05경기경찰청-냉온수기공사" xfId="733"/>
    <cellStyle name="원_2002-05대통령비서실-카페트" xfId="734"/>
    <cellStyle name="원_2002결과표" xfId="735"/>
    <cellStyle name="원_2002결과표_강원지역본부(2006년_060109)" xfId="736"/>
    <cellStyle name="원_2002결과표_경남지역본부-" xfId="737"/>
    <cellStyle name="원_2002결과표_경북지역본부-" xfId="738"/>
    <cellStyle name="원_2002결과표_중부지역본부-" xfId="739"/>
    <cellStyle name="원_2002결과표_충청지역본부-" xfId="740"/>
    <cellStyle name="원_2002결과표_통행료면탈방지시스템(최종)" xfId="741"/>
    <cellStyle name="원_2002결과표_호남지역본부-" xfId="742"/>
    <cellStyle name="원_2002결과표1" xfId="743"/>
    <cellStyle name="원_2003-01정일사-표창5종" xfId="744"/>
    <cellStyle name="원_간지,목차,페이지,표지" xfId="745"/>
    <cellStyle name="원_강원지역본부(2006년_060109)" xfId="746"/>
    <cellStyle name="원_경남지역본부-" xfId="747"/>
    <cellStyle name="원_경북지역본부-" xfId="748"/>
    <cellStyle name="원_경찰청-근무,기동복" xfId="749"/>
    <cellStyle name="원_공사일반관리비양식" xfId="750"/>
    <cellStyle name="원_관리동sw" xfId="751"/>
    <cellStyle name="원_기초공사" xfId="752"/>
    <cellStyle name="원_네인텍정보기술-회로카드(수현)" xfId="753"/>
    <cellStyle name="원_대기해양노무비" xfId="754"/>
    <cellStyle name="원_대북자재8월분" xfId="755"/>
    <cellStyle name="원_대북자재8월분-1" xfId="756"/>
    <cellStyle name="원_동산용사촌수현(원본)" xfId="757"/>
    <cellStyle name="원_동산용사촌수현(원본)_강원지역본부(2006년_060109)" xfId="758"/>
    <cellStyle name="원_동산용사촌수현(원본)_경남지역본부-" xfId="759"/>
    <cellStyle name="원_동산용사촌수현(원본)_경북지역본부-" xfId="760"/>
    <cellStyle name="원_동산용사촌수현(원본)_중부지역본부-" xfId="761"/>
    <cellStyle name="원_동산용사촌수현(원본)_충청지역본부-" xfId="762"/>
    <cellStyle name="원_동산용사촌수현(원본)_통행료면탈방지시스템(최종)" xfId="763"/>
    <cellStyle name="원_동산용사촌수현(원본)_호남지역본부-" xfId="764"/>
    <cellStyle name="원_목차" xfId="765"/>
    <cellStyle name="원_백제군사전시1" xfId="766"/>
    <cellStyle name="원_수초제거기(대양기계)" xfId="767"/>
    <cellStyle name="원_수초제거기(대양기계)_강원지역본부(2006년_060109)" xfId="768"/>
    <cellStyle name="원_수초제거기(대양기계)_경남지역본부-" xfId="769"/>
    <cellStyle name="원_수초제거기(대양기계)_경북지역본부-" xfId="770"/>
    <cellStyle name="원_수초제거기(대양기계)_중부지역본부-" xfId="771"/>
    <cellStyle name="원_수초제거기(대양기계)_충청지역본부-" xfId="772"/>
    <cellStyle name="원_수초제거기(대양기계)_통행료면탈방지시스템(최종)" xfId="773"/>
    <cellStyle name="원_수초제거기(대양기계)_호남지역본부-" xfId="774"/>
    <cellStyle name="원_시설용역" xfId="775"/>
    <cellStyle name="원_암전정밀실체현미경(수현)" xfId="776"/>
    <cellStyle name="원_오리엔탈" xfId="777"/>
    <cellStyle name="원_원본 - 한국전기교통-개선형신호등 4종" xfId="778"/>
    <cellStyle name="원_원본 - 한국전기교통-개선형신호등 4종_강원지역본부(2006년_060109)" xfId="779"/>
    <cellStyle name="원_원본 - 한국전기교통-개선형신호등 4종_경남지역본부-" xfId="780"/>
    <cellStyle name="원_원본 - 한국전기교통-개선형신호등 4종_경북지역본부-" xfId="781"/>
    <cellStyle name="원_원본 - 한국전기교통-개선형신호등 4종_중부지역본부-" xfId="782"/>
    <cellStyle name="원_원본 - 한국전기교통-개선형신호등 4종_충청지역본부-" xfId="783"/>
    <cellStyle name="원_원본 - 한국전기교통-개선형신호등 4종_통행료면탈방지시스템(최종)" xfId="784"/>
    <cellStyle name="원_원본 - 한국전기교통-개선형신호등 4종_호남지역본부-" xfId="785"/>
    <cellStyle name="원_제경비율모음" xfId="786"/>
    <cellStyle name="원_제조원가" xfId="787"/>
    <cellStyle name="원_조달청-대북지원3차(최수현)" xfId="788"/>
    <cellStyle name="원_조달청-대북지원4차(최수현)" xfId="789"/>
    <cellStyle name="원_조달청-대북지원5차(최수현)" xfId="790"/>
    <cellStyle name="원_조달청-대북지원6차(번호)" xfId="791"/>
    <cellStyle name="원_조달청-대북지원6차(최수현)" xfId="792"/>
    <cellStyle name="원_조달청-대북지원7차(최수현)" xfId="793"/>
    <cellStyle name="원_조달청-대북지원8차(최수현)" xfId="794"/>
    <cellStyle name="원_조달청-대북지원9차(최수현)" xfId="795"/>
    <cellStyle name="원_조달청-B판사천강교제작(최종본)" xfId="796"/>
    <cellStyle name="원_중부지역본부-" xfId="797"/>
    <cellStyle name="원_중앙선관위(투표,개표)" xfId="798"/>
    <cellStyle name="원_중앙선관위(투표,개표)_강원지역본부(2006년_060109)" xfId="799"/>
    <cellStyle name="원_중앙선관위(투표,개표)_경남지역본부-" xfId="800"/>
    <cellStyle name="원_중앙선관위(투표,개표)_경북지역본부-" xfId="801"/>
    <cellStyle name="원_중앙선관위(투표,개표)_중부지역본부-" xfId="802"/>
    <cellStyle name="원_중앙선관위(투표,개표)_충청지역본부-" xfId="803"/>
    <cellStyle name="원_중앙선관위(투표,개표)_통행료면탈방지시스템(최종)" xfId="804"/>
    <cellStyle name="원_중앙선관위(투표,개표)_호남지역본부-" xfId="805"/>
    <cellStyle name="원_중앙선관위(투표,개표)-사본" xfId="806"/>
    <cellStyle name="원_철공가공조립" xfId="807"/>
    <cellStyle name="원_최종-한국전기교통-개선형신호등 4종(공수조정)" xfId="808"/>
    <cellStyle name="원_최종-한국전기교통-개선형신호등 4종(공수조정)_강원지역본부(2006년_060109)" xfId="809"/>
    <cellStyle name="원_최종-한국전기교통-개선형신호등 4종(공수조정)_경남지역본부-" xfId="810"/>
    <cellStyle name="원_최종-한국전기교통-개선형신호등 4종(공수조정)_경북지역본부-" xfId="811"/>
    <cellStyle name="원_최종-한국전기교통-개선형신호등 4종(공수조정)_중부지역본부-" xfId="812"/>
    <cellStyle name="원_최종-한국전기교통-개선형신호등 4종(공수조정)_충청지역본부-" xfId="813"/>
    <cellStyle name="원_최종-한국전기교통-개선형신호등 4종(공수조정)_통행료면탈방지시스템(최종)" xfId="814"/>
    <cellStyle name="원_최종-한국전기교통-개선형신호등 4종(공수조정)_호남지역본부-" xfId="815"/>
    <cellStyle name="원_충청지역본부-" xfId="816"/>
    <cellStyle name="원_코솔라-제조원가" xfId="817"/>
    <cellStyle name="원_토지공사-간접비" xfId="818"/>
    <cellStyle name="원_통행료면탈방지시스템(최종)" xfId="819"/>
    <cellStyle name="원_한국도로공사" xfId="820"/>
    <cellStyle name="원_한전내역서-최종" xfId="821"/>
    <cellStyle name="원_호남지역본부-" xfId="822"/>
    <cellStyle name="원_Pilot플랜트-계변경" xfId="823"/>
    <cellStyle name="원_Pilot플랜트이전설치-변경최종" xfId="824"/>
    <cellStyle name="원_SW(케이비)" xfId="825"/>
    <cellStyle name="유영" xfId="826"/>
    <cellStyle name="일위대가" xfId="827"/>
    <cellStyle name="자리수" xfId="828"/>
    <cellStyle name="자리수0" xfId="829"/>
    <cellStyle name="점선" xfId="830"/>
    <cellStyle name="제목[1 줄]" xfId="831"/>
    <cellStyle name="제목[2줄 아래]" xfId="832"/>
    <cellStyle name="제목[2줄 위]" xfId="833"/>
    <cellStyle name="제목1" xfId="834"/>
    <cellStyle name="지정되지 않음" xfId="835"/>
    <cellStyle name="콤마 [#]" xfId="836"/>
    <cellStyle name="콤마 []" xfId="837"/>
    <cellStyle name="콤마 [0]" xfId="838"/>
    <cellStyle name="콤마 [0]_경비" xfId="839"/>
    <cellStyle name="콤마 [0]_국영테크" xfId="840"/>
    <cellStyle name="콤마 [0]기기자재비" xfId="841"/>
    <cellStyle name="콤마 [2]" xfId="842"/>
    <cellStyle name="콤마 [금액]" xfId="843"/>
    <cellStyle name="콤마 [소수]" xfId="844"/>
    <cellStyle name="콤마 [수량]" xfId="845"/>
    <cellStyle name="콤마[ ]" xfId="846"/>
    <cellStyle name="콤마[*]" xfId="847"/>
    <cellStyle name="콤마[.]" xfId="848"/>
    <cellStyle name="콤마[0]" xfId="849"/>
    <cellStyle name="콤마_  종  합  " xfId="850"/>
    <cellStyle name="퍼센트" xfId="851"/>
    <cellStyle name="표준" xfId="0" builtinId="0"/>
    <cellStyle name="표준_1(1).청사경비용역" xfId="852"/>
    <cellStyle name="표준_1. 경기지역본부" xfId="853"/>
    <cellStyle name="표준_2. 냉온수" xfId="854"/>
    <cellStyle name="표준_2.지도사인" xfId="855"/>
    <cellStyle name="표준_가변형_신성금고제작" xfId="856"/>
    <cellStyle name="표준_국영공사" xfId="857"/>
    <cellStyle name="표준_배부율" xfId="858"/>
    <cellStyle name="표준_비닐백" xfId="859"/>
    <cellStyle name="표준_원가" xfId="860"/>
    <cellStyle name="표준_일반관리비" xfId="861"/>
    <cellStyle name="標準_Akia(F）-8" xfId="862"/>
    <cellStyle name="표준1" xfId="863"/>
    <cellStyle name="표준날짜" xfId="864"/>
    <cellStyle name="표준숫자" xfId="865"/>
    <cellStyle name="합산" xfId="866"/>
    <cellStyle name="화폐기호" xfId="867"/>
    <cellStyle name="화폐기호0" xfId="868"/>
    <cellStyle name="aa" xfId="869"/>
    <cellStyle name="Actual Date" xfId="870"/>
    <cellStyle name="Åë" xfId="871"/>
    <cellStyle name="Aee­ " xfId="872"/>
    <cellStyle name="Åëè­ [" xfId="873"/>
    <cellStyle name="ÅëÈ­ [0]_¸ðÇü¸·" xfId="874"/>
    <cellStyle name="AeE­ [0]_±a¼uAe½A " xfId="875"/>
    <cellStyle name="ÅëÈ­ [0]_laroux" xfId="876"/>
    <cellStyle name="Aee­ _06년)하이패스_점검내역" xfId="877"/>
    <cellStyle name="ÅëÈ­_¸ðÇü¸·" xfId="878"/>
    <cellStyle name="AeE­_±a¼uAe½A " xfId="879"/>
    <cellStyle name="ÅëÈ­_laroux" xfId="880"/>
    <cellStyle name="Æu¼¾æR" xfId="881"/>
    <cellStyle name="ALIGNMENT" xfId="882"/>
    <cellStyle name="Äþ" xfId="883"/>
    <cellStyle name="Äþ¸¶ [" xfId="884"/>
    <cellStyle name="ÄÞ¸¶ [0]_¸ðÇü¸·" xfId="885"/>
    <cellStyle name="AÞ¸¶ [0]_±a¼uAe½A " xfId="886"/>
    <cellStyle name="ÄÞ¸¶ [0]_laroux" xfId="887"/>
    <cellStyle name="ÄÞ¸¶_¸ðÇü¸·" xfId="888"/>
    <cellStyle name="AÞ¸¶_±a¼uAe½A " xfId="889"/>
    <cellStyle name="ÄÞ¸¶_laroux" xfId="890"/>
    <cellStyle name="Au¸R¼o" xfId="891"/>
    <cellStyle name="Au¸R¼o0" xfId="892"/>
    <cellStyle name="b?þ?b?þ?b?þ?b?þ?b?þ?b?þ?b?þ?b?þ?b?þ?b?þ?b灌þ?b?þ?&lt;?b?þ?b濬þ?b?þ?b?þ昰_x0018_?þ????_x0008_" xfId="893"/>
    <cellStyle name="b?þ?b?þ?b?þ?b灌þ?b?þ?&lt;?b?þ?b濬þ?b?þ?b?þ昰_x0018_?þ????_x0008_" xfId="894"/>
    <cellStyle name="b␌þකb濰þඪb瀠þයb灌þ්b炈þ宐&lt;෢b濈þෲb濬þขb瀐þฒb瀰þ昰_x0018_⋸þ㤕䰀ጤܕ_x0008_" xfId="895"/>
    <cellStyle name="b嬜þപb嬼þഺb孬þൊb⍜þ൚b⍼þ൪b⎨þൺb⏜þඊb␌þකb濰þඪb瀠þයb灌þ්b炈þ宐&lt;෢b濈þෲb濬þขb瀐þฒb瀰þ昰_x0018_⋸þ㤕䰀ጤܕ_x0008_" xfId="896"/>
    <cellStyle name="body" xfId="897"/>
    <cellStyle name="C¡IA¨ª_Sheet1 (2)" xfId="898"/>
    <cellStyle name="Ç¥" xfId="899"/>
    <cellStyle name="C￥AØ_  FAB AIA¤  " xfId="900"/>
    <cellStyle name="Ç¥ÁØ_¸ðÇü¸·" xfId="901"/>
    <cellStyle name="C￥AØ_¿μ¾÷CoE² " xfId="902"/>
    <cellStyle name="Ç¥ÁØ_°­´ç (2)" xfId="903"/>
    <cellStyle name="C￥AØ_°A·¡≫oE²" xfId="904"/>
    <cellStyle name="Calc Currency (0)" xfId="905"/>
    <cellStyle name="category" xfId="906"/>
    <cellStyle name="CIAIÆU¸μAⓒ" xfId="907"/>
    <cellStyle name="Co≫e" xfId="908"/>
    <cellStyle name="Comma" xfId="909"/>
    <cellStyle name="Comma [0]" xfId="910"/>
    <cellStyle name="comma zerodec" xfId="911"/>
    <cellStyle name="Comma_ SG&amp;A Bridge " xfId="912"/>
    <cellStyle name="Comma0" xfId="913"/>
    <cellStyle name="Copied" xfId="914"/>
    <cellStyle name="Curren?_x0012_퐀_x0017_?" xfId="915"/>
    <cellStyle name="Currency" xfId="916"/>
    <cellStyle name="Currency [0]" xfId="917"/>
    <cellStyle name="Currency_ SG&amp;A Bridge " xfId="918"/>
    <cellStyle name="Currency0" xfId="919"/>
    <cellStyle name="Currency1" xfId="920"/>
    <cellStyle name="Date" xfId="921"/>
    <cellStyle name="Dezimal [0]_Ausdruck RUND (D)" xfId="922"/>
    <cellStyle name="Dezimal_Ausdruck RUND (D)" xfId="923"/>
    <cellStyle name="Dollar (zero dec)" xfId="924"/>
    <cellStyle name="E­æo±ae￡" xfId="925"/>
    <cellStyle name="E­æo±ae￡0" xfId="926"/>
    <cellStyle name="Entered" xfId="927"/>
    <cellStyle name="Euro" xfId="928"/>
    <cellStyle name="F2" xfId="929"/>
    <cellStyle name="F3" xfId="930"/>
    <cellStyle name="F4" xfId="931"/>
    <cellStyle name="F5" xfId="932"/>
    <cellStyle name="F6" xfId="933"/>
    <cellStyle name="F7" xfId="934"/>
    <cellStyle name="F8" xfId="935"/>
    <cellStyle name="Fixed" xfId="936"/>
    <cellStyle name="G/표준" xfId="937"/>
    <cellStyle name="Grey" xfId="938"/>
    <cellStyle name="head" xfId="939"/>
    <cellStyle name="head 1" xfId="940"/>
    <cellStyle name="head 1-1" xfId="941"/>
    <cellStyle name="HEADER" xfId="942"/>
    <cellStyle name="Header1" xfId="943"/>
    <cellStyle name="Header2" xfId="944"/>
    <cellStyle name="Heading 1" xfId="945"/>
    <cellStyle name="Heading 2" xfId="946"/>
    <cellStyle name="Heading1" xfId="947"/>
    <cellStyle name="Heading2" xfId="948"/>
    <cellStyle name="Helv8_PFD4.XLS" xfId="949"/>
    <cellStyle name="HIGHLIGHT" xfId="950"/>
    <cellStyle name="Hyperlink_NEGS" xfId="951"/>
    <cellStyle name="Input [yellow]" xfId="952"/>
    <cellStyle name="Milliers [0]_Arabian Spec" xfId="953"/>
    <cellStyle name="Milliers_Arabian Spec" xfId="954"/>
    <cellStyle name="Model" xfId="955"/>
    <cellStyle name="Mon?aire [0]_Arabian Spec" xfId="956"/>
    <cellStyle name="Mon?aire_Arabian Spec" xfId="957"/>
    <cellStyle name="no dec" xfId="958"/>
    <cellStyle name="Normal - 유형1" xfId="959"/>
    <cellStyle name="Normal - Style1" xfId="960"/>
    <cellStyle name="Normal - Style2" xfId="961"/>
    <cellStyle name="Normal - Style3" xfId="962"/>
    <cellStyle name="Normal - Style4" xfId="963"/>
    <cellStyle name="Normal - Style5" xfId="964"/>
    <cellStyle name="Normal - Style6" xfId="965"/>
    <cellStyle name="Normal - Style7" xfId="966"/>
    <cellStyle name="Normal - Style8" xfId="967"/>
    <cellStyle name="Normal_ SG&amp;A Bridge" xfId="968"/>
    <cellStyle name="Œ…?æ맖?e [0.00]_laroux" xfId="969"/>
    <cellStyle name="Œ…?æ맖?e_laroux" xfId="970"/>
    <cellStyle name="oft Excel]_x000d_&#10;Comment=The open=/f lines load custom functions into the Paste Function list._x000d_&#10;Maximized=3_x000d_&#10;AutoFormat=" xfId="971"/>
    <cellStyle name="Percent" xfId="972"/>
    <cellStyle name="Percent [2]" xfId="973"/>
    <cellStyle name="Percent_06년)하이패스_점검내역" xfId="974"/>
    <cellStyle name="RevList" xfId="975"/>
    <cellStyle name="STANDARD" xfId="976"/>
    <cellStyle name="STD" xfId="977"/>
    <cellStyle name="subhead" xfId="978"/>
    <cellStyle name="Subtotal" xfId="979"/>
    <cellStyle name="þ?b?þ?b?þ?b?þ?b?þ?b?þ?b?þ?b灌þ?b?þ?&lt;?b?þ?b濬þ?b?þ?b?þ昰_x0018_?þ????_x0008_" xfId="980"/>
    <cellStyle name="þ൚b⍼þ൪b⎨þൺb⏜þඊb␌þකb濰þඪb瀠þයb灌þ්b炈þ宐&lt;෢b濈þෲb濬þขb瀐þฒb瀰þ昰_x0018_⋸þ㤕䰀ጤܕ_x0008_" xfId="981"/>
    <cellStyle name="Title" xfId="982"/>
    <cellStyle name="title [1]" xfId="983"/>
    <cellStyle name="title [2]" xfId="984"/>
    <cellStyle name="Total" xfId="985"/>
    <cellStyle name="UM" xfId="986"/>
    <cellStyle name="Unprot" xfId="987"/>
    <cellStyle name="Unprot$" xfId="988"/>
    <cellStyle name="Unprotect" xfId="989"/>
    <cellStyle name="W?rung [0]_Ausdruck RUND (D)" xfId="990"/>
    <cellStyle name="W?rung_Ausdruck RUND (D)" xfId="991"/>
    <cellStyle name="μU¿¡ ¿A´A CIAIÆU¸μAⓒ" xfId="9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5</xdr:col>
      <xdr:colOff>114300</xdr:colOff>
      <xdr:row>5</xdr:row>
      <xdr:rowOff>276225</xdr:rowOff>
    </xdr:to>
    <xdr:sp macro="" textlink="">
      <xdr:nvSpPr>
        <xdr:cNvPr id="6241" name="Line 5"/>
        <xdr:cNvSpPr>
          <a:spLocks noChangeShapeType="1"/>
        </xdr:cNvSpPr>
      </xdr:nvSpPr>
      <xdr:spPr bwMode="auto">
        <a:xfrm flipH="1" flipV="1">
          <a:off x="0" y="1257300"/>
          <a:ext cx="24860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6</xdr:col>
      <xdr:colOff>9525</xdr:colOff>
      <xdr:row>40</xdr:row>
      <xdr:rowOff>0</xdr:rowOff>
    </xdr:to>
    <xdr:sp macro="" textlink="">
      <xdr:nvSpPr>
        <xdr:cNvPr id="1740" name="Line 5"/>
        <xdr:cNvSpPr>
          <a:spLocks noChangeShapeType="1"/>
        </xdr:cNvSpPr>
      </xdr:nvSpPr>
      <xdr:spPr bwMode="auto">
        <a:xfrm>
          <a:off x="0" y="9925050"/>
          <a:ext cx="2428875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1741" name="Line 22"/>
        <xdr:cNvSpPr>
          <a:spLocks noChangeShapeType="1"/>
        </xdr:cNvSpPr>
      </xdr:nvSpPr>
      <xdr:spPr bwMode="auto">
        <a:xfrm>
          <a:off x="0" y="1247775"/>
          <a:ext cx="2428875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373" name="Line 1"/>
        <xdr:cNvSpPr>
          <a:spLocks noChangeShapeType="1"/>
        </xdr:cNvSpPr>
      </xdr:nvSpPr>
      <xdr:spPr bwMode="auto">
        <a:xfrm>
          <a:off x="180975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374" name="Line 2"/>
        <xdr:cNvSpPr>
          <a:spLocks noChangeShapeType="1"/>
        </xdr:cNvSpPr>
      </xdr:nvSpPr>
      <xdr:spPr bwMode="auto">
        <a:xfrm>
          <a:off x="180975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375" name="Line 3"/>
        <xdr:cNvSpPr>
          <a:spLocks noChangeShapeType="1"/>
        </xdr:cNvSpPr>
      </xdr:nvSpPr>
      <xdr:spPr bwMode="auto">
        <a:xfrm>
          <a:off x="180975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showZeros="0" tabSelected="1" zoomScaleSheetLayoutView="100" workbookViewId="0">
      <selection activeCell="N27" sqref="N27"/>
    </sheetView>
  </sheetViews>
  <sheetFormatPr defaultRowHeight="12"/>
  <cols>
    <col min="1" max="1" width="5.7109375" style="207" customWidth="1"/>
    <col min="2" max="2" width="1.7109375" style="207" customWidth="1"/>
    <col min="3" max="3" width="12.7109375" style="208" customWidth="1"/>
    <col min="4" max="5" width="1.7109375" style="208" customWidth="1"/>
    <col min="6" max="6" width="14.7109375" style="208" customWidth="1"/>
    <col min="7" max="7" width="1.7109375" style="208" customWidth="1"/>
    <col min="8" max="8" width="5.7109375" style="207" customWidth="1"/>
    <col min="9" max="9" width="1.140625" style="208" customWidth="1"/>
    <col min="10" max="10" width="12.7109375" style="208" customWidth="1"/>
    <col min="11" max="11" width="12.7109375" style="217" customWidth="1"/>
    <col min="12" max="12" width="6.7109375" style="217" customWidth="1"/>
    <col min="13" max="13" width="1.7109375" style="209" customWidth="1"/>
    <col min="14" max="14" width="15.7109375" style="209" customWidth="1"/>
    <col min="15" max="15" width="17.85546875" style="207" bestFit="1" customWidth="1"/>
    <col min="16" max="16" width="16.5703125" style="207" customWidth="1"/>
    <col min="17" max="16384" width="9.140625" style="207"/>
  </cols>
  <sheetData>
    <row r="1" spans="1:16" ht="20.100000000000001" customHeight="1">
      <c r="A1" s="153" t="s">
        <v>272</v>
      </c>
    </row>
    <row r="2" spans="1:16" ht="39.950000000000003" customHeight="1">
      <c r="A2" s="105" t="s">
        <v>305</v>
      </c>
      <c r="B2" s="105"/>
      <c r="C2" s="106"/>
      <c r="D2" s="106"/>
      <c r="E2" s="106"/>
      <c r="F2" s="106"/>
      <c r="G2" s="106"/>
      <c r="H2" s="105"/>
      <c r="I2" s="106"/>
      <c r="J2" s="106"/>
      <c r="K2" s="106"/>
      <c r="L2" s="106"/>
      <c r="M2" s="105"/>
      <c r="N2" s="105"/>
    </row>
    <row r="3" spans="1:16" ht="20.100000000000001" customHeight="1">
      <c r="A3" s="108"/>
      <c r="B3" s="108"/>
      <c r="C3" s="210"/>
      <c r="D3" s="210"/>
      <c r="E3" s="210"/>
      <c r="F3" s="210"/>
      <c r="G3" s="210"/>
      <c r="H3" s="108"/>
      <c r="I3" s="210"/>
      <c r="J3" s="210"/>
      <c r="K3" s="210"/>
      <c r="L3" s="210"/>
      <c r="M3" s="108"/>
      <c r="N3" s="108"/>
    </row>
    <row r="4" spans="1:16" ht="20.100000000000001" customHeight="1">
      <c r="A4" s="415" t="s">
        <v>379</v>
      </c>
      <c r="N4" s="229" t="s">
        <v>182</v>
      </c>
    </row>
    <row r="5" spans="1:16" ht="39.950000000000003" customHeight="1">
      <c r="A5" s="310" t="s">
        <v>246</v>
      </c>
      <c r="B5" s="211" t="s">
        <v>248</v>
      </c>
      <c r="C5" s="211"/>
      <c r="D5" s="211"/>
      <c r="E5" s="212"/>
      <c r="F5" s="311" t="s">
        <v>247</v>
      </c>
      <c r="G5" s="213"/>
      <c r="H5" s="224" t="s">
        <v>181</v>
      </c>
      <c r="I5" s="221"/>
      <c r="J5" s="222" t="s">
        <v>7</v>
      </c>
      <c r="K5" s="223" t="s">
        <v>8</v>
      </c>
      <c r="L5" s="226" t="s">
        <v>9</v>
      </c>
      <c r="M5" s="221"/>
      <c r="N5" s="223" t="s">
        <v>10</v>
      </c>
    </row>
    <row r="6" spans="1:16" ht="24.95" customHeight="1">
      <c r="A6" s="407"/>
      <c r="B6" s="408"/>
      <c r="C6" s="409"/>
      <c r="D6" s="409"/>
      <c r="E6" s="410"/>
      <c r="F6" s="409"/>
      <c r="G6" s="213"/>
      <c r="H6" s="224" t="s">
        <v>11</v>
      </c>
      <c r="I6" s="221"/>
      <c r="J6" s="221" t="s">
        <v>12</v>
      </c>
      <c r="K6" s="221" t="s">
        <v>13</v>
      </c>
      <c r="L6" s="224" t="s">
        <v>14</v>
      </c>
      <c r="M6" s="221"/>
      <c r="N6" s="221" t="s">
        <v>15</v>
      </c>
    </row>
    <row r="7" spans="1:16" s="208" customFormat="1" ht="30" customHeight="1">
      <c r="A7" s="487" t="s">
        <v>271</v>
      </c>
      <c r="B7" s="312"/>
      <c r="C7" s="313" t="str">
        <f>인집!B7</f>
        <v>운전기사</v>
      </c>
      <c r="D7" s="313"/>
      <c r="E7" s="314"/>
      <c r="F7" s="401" t="str">
        <f>인집!E7</f>
        <v>운전직(트레일러공)</v>
      </c>
      <c r="G7" s="315"/>
      <c r="H7" s="318">
        <v>2</v>
      </c>
      <c r="I7" s="316"/>
      <c r="J7" s="317">
        <f>원가!G34</f>
        <v>2484852</v>
      </c>
      <c r="K7" s="317">
        <f>TRUNC(J7*H7,0)</f>
        <v>4969704</v>
      </c>
      <c r="L7" s="457">
        <v>6</v>
      </c>
      <c r="M7" s="458"/>
      <c r="N7" s="317">
        <f>TRUNC(K7*L7,0)</f>
        <v>29818224</v>
      </c>
    </row>
    <row r="8" spans="1:16" s="208" customFormat="1" ht="30" customHeight="1">
      <c r="A8" s="488"/>
      <c r="C8" s="25" t="str">
        <f>인집!B8</f>
        <v>사무직</v>
      </c>
      <c r="D8" s="25"/>
      <c r="E8" s="309"/>
      <c r="F8" s="402" t="str">
        <f>인집!E8</f>
        <v>사무직</v>
      </c>
      <c r="G8" s="214"/>
      <c r="H8" s="227">
        <v>1</v>
      </c>
      <c r="I8" s="218"/>
      <c r="J8" s="89">
        <f>원가!G67</f>
        <v>2321056</v>
      </c>
      <c r="K8" s="89">
        <f>TRUNC(J8*H8,0)</f>
        <v>2321056</v>
      </c>
      <c r="L8" s="459">
        <v>12</v>
      </c>
      <c r="M8" s="460"/>
      <c r="N8" s="89">
        <f>TRUNC(K8*L8,0)</f>
        <v>27852672</v>
      </c>
    </row>
    <row r="9" spans="1:16" ht="30" customHeight="1">
      <c r="A9" s="223" t="s">
        <v>16</v>
      </c>
      <c r="B9" s="215"/>
      <c r="C9" s="215"/>
      <c r="D9" s="215"/>
      <c r="E9" s="216"/>
      <c r="F9" s="23"/>
      <c r="G9" s="24"/>
      <c r="H9" s="225">
        <f>SUM(H7:H8)</f>
        <v>3</v>
      </c>
      <c r="I9" s="219"/>
      <c r="J9" s="219"/>
      <c r="K9" s="220">
        <f>SUM(K7:K8)</f>
        <v>7290760</v>
      </c>
      <c r="L9" s="228">
        <v>12</v>
      </c>
      <c r="M9" s="219"/>
      <c r="N9" s="413">
        <v>57670896</v>
      </c>
      <c r="O9" s="261"/>
      <c r="P9" s="262"/>
    </row>
    <row r="10" spans="1:16" ht="20.100000000000001" customHeight="1">
      <c r="A10" s="158"/>
      <c r="B10" s="158"/>
      <c r="C10" s="158"/>
      <c r="D10" s="158"/>
      <c r="E10" s="26"/>
      <c r="F10" s="25"/>
      <c r="G10" s="26"/>
      <c r="H10" s="26"/>
      <c r="I10" s="26"/>
      <c r="J10" s="26"/>
      <c r="M10" s="217"/>
      <c r="N10" s="217"/>
      <c r="O10" s="261"/>
    </row>
    <row r="11" spans="1:16" ht="20.100000000000001" customHeight="1">
      <c r="A11" s="158" t="str">
        <f>"   2) 단위(1인)당용역비 : "&amp;원가집계!A1&amp;원가집계!A2&amp;" 참조(부가가치세 포함)"</f>
        <v xml:space="preserve">   2) 단위(1인)당용역비 : &lt; 표 : 2 &gt; 용역원가계산서 참조(부가가치세 포함)</v>
      </c>
      <c r="B11" s="158"/>
      <c r="C11" s="158"/>
      <c r="D11" s="158"/>
      <c r="E11" s="26"/>
      <c r="F11" s="25"/>
      <c r="G11" s="26"/>
      <c r="H11" s="26"/>
      <c r="I11" s="26"/>
      <c r="J11" s="26"/>
      <c r="M11" s="217"/>
      <c r="N11" s="392"/>
    </row>
    <row r="12" spans="1:16" ht="20.100000000000001" customHeight="1">
      <c r="A12" s="181" t="s">
        <v>183</v>
      </c>
      <c r="B12" s="181"/>
      <c r="C12" s="158"/>
      <c r="D12" s="158"/>
      <c r="E12" s="26"/>
      <c r="F12" s="25"/>
      <c r="G12" s="26"/>
      <c r="H12" s="26"/>
      <c r="I12" s="26"/>
      <c r="J12" s="26"/>
      <c r="M12" s="217"/>
      <c r="N12" s="392"/>
    </row>
    <row r="13" spans="1:16" ht="20.100000000000001" customHeight="1">
      <c r="A13" s="416" t="s">
        <v>381</v>
      </c>
      <c r="B13" s="181"/>
      <c r="C13" s="158"/>
      <c r="D13" s="158"/>
      <c r="E13" s="26"/>
      <c r="F13" s="25"/>
      <c r="G13" s="26"/>
      <c r="H13" s="26"/>
      <c r="I13" s="26"/>
      <c r="J13" s="26"/>
      <c r="M13" s="217"/>
      <c r="N13" s="392"/>
    </row>
    <row r="14" spans="1:16" ht="20.100000000000001" customHeight="1">
      <c r="A14" s="181" t="s">
        <v>330</v>
      </c>
      <c r="B14" s="181"/>
      <c r="C14" s="158"/>
      <c r="D14" s="158"/>
      <c r="E14" s="26"/>
      <c r="F14" s="25"/>
      <c r="G14" s="26"/>
      <c r="H14" s="26"/>
      <c r="I14" s="26"/>
      <c r="J14" s="26"/>
      <c r="M14" s="217"/>
      <c r="N14" s="217"/>
    </row>
  </sheetData>
  <mergeCells count="1">
    <mergeCell ref="A7:A8"/>
  </mergeCells>
  <phoneticPr fontId="5" type="noConversion"/>
  <printOptions horizontalCentered="1"/>
  <pageMargins left="0.78740157480314965" right="0.70866141732283472" top="0.98425196850393704" bottom="0.78740157480314965" header="0.51181102362204722" footer="0.51181102362204722"/>
  <pageSetup paperSize="9" firstPageNumber="14" orientation="portrait" r:id="rId1"/>
  <headerFooter alignWithMargins="0">
    <oddFooter>&amp;C- &amp;P+1 -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showGridLines="0" showZeros="0" view="pageBreakPreview" topLeftCell="A22" workbookViewId="0">
      <selection activeCell="I32" sqref="I32:I34"/>
    </sheetView>
  </sheetViews>
  <sheetFormatPr defaultRowHeight="12"/>
  <cols>
    <col min="1" max="1" width="1.7109375" style="94" customWidth="1"/>
    <col min="2" max="2" width="19.7109375" style="94" customWidth="1"/>
    <col min="3" max="3" width="1.7109375" style="94" customWidth="1"/>
    <col min="4" max="4" width="11.7109375" style="122" customWidth="1"/>
    <col min="5" max="5" width="11.7109375" style="31" customWidth="1"/>
    <col min="6" max="6" width="9.7109375" style="31" customWidth="1"/>
    <col min="7" max="7" width="11.7109375" style="31" customWidth="1"/>
    <col min="8" max="8" width="7.7109375" style="31" customWidth="1"/>
    <col min="9" max="9" width="10.7109375" style="31" customWidth="1"/>
    <col min="10" max="10" width="9" style="9" customWidth="1"/>
    <col min="11" max="16384" width="9.140625" style="95"/>
  </cols>
  <sheetData>
    <row r="1" spans="1:10" ht="20.100000000000001" customHeight="1">
      <c r="A1" s="152" t="s">
        <v>324</v>
      </c>
      <c r="B1" s="153"/>
      <c r="C1" s="153"/>
      <c r="D1" s="152"/>
    </row>
    <row r="2" spans="1:10" s="108" customFormat="1" ht="39.950000000000003" customHeight="1">
      <c r="A2" s="105" t="s">
        <v>205</v>
      </c>
      <c r="B2" s="155"/>
      <c r="C2" s="155"/>
      <c r="D2" s="154"/>
      <c r="E2" s="96"/>
      <c r="F2" s="28"/>
      <c r="G2" s="96"/>
      <c r="H2" s="96"/>
      <c r="I2" s="96"/>
      <c r="J2" s="106"/>
    </row>
    <row r="3" spans="1:10" s="108" customFormat="1" ht="20.100000000000001" customHeight="1">
      <c r="A3" s="155"/>
      <c r="B3" s="155"/>
      <c r="C3" s="155"/>
      <c r="D3" s="154"/>
      <c r="E3" s="96"/>
      <c r="F3" s="28"/>
      <c r="G3" s="96"/>
      <c r="H3" s="96"/>
      <c r="I3" s="96"/>
      <c r="J3" s="106"/>
    </row>
    <row r="4" spans="1:10" ht="20.100000000000001" customHeight="1">
      <c r="A4" s="109" t="str">
        <f>원가!A4</f>
        <v>구 분 : 운전기사                       직종명 : 운전직(트레일러공)</v>
      </c>
      <c r="B4" s="110"/>
      <c r="C4" s="110"/>
      <c r="D4" s="109"/>
      <c r="I4" s="156"/>
      <c r="J4" s="156" t="s">
        <v>37</v>
      </c>
    </row>
    <row r="5" spans="1:10" ht="24.95" customHeight="1">
      <c r="A5" s="537" t="s">
        <v>68</v>
      </c>
      <c r="B5" s="516"/>
      <c r="C5" s="538"/>
      <c r="D5" s="514" t="s">
        <v>69</v>
      </c>
      <c r="E5" s="542"/>
      <c r="F5" s="542"/>
      <c r="G5" s="515"/>
      <c r="H5" s="543" t="s">
        <v>200</v>
      </c>
      <c r="I5" s="545" t="s">
        <v>70</v>
      </c>
      <c r="J5" s="518" t="s">
        <v>71</v>
      </c>
    </row>
    <row r="6" spans="1:10" ht="24.95" customHeight="1">
      <c r="A6" s="539"/>
      <c r="B6" s="540"/>
      <c r="C6" s="541"/>
      <c r="D6" s="99" t="s">
        <v>72</v>
      </c>
      <c r="E6" s="34" t="s">
        <v>73</v>
      </c>
      <c r="F6" s="34" t="s">
        <v>74</v>
      </c>
      <c r="G6" s="34" t="s">
        <v>56</v>
      </c>
      <c r="H6" s="544"/>
      <c r="I6" s="546"/>
      <c r="J6" s="536"/>
    </row>
    <row r="7" spans="1:10" ht="20.100000000000001" customHeight="1">
      <c r="A7" s="4"/>
      <c r="B7" s="10"/>
      <c r="C7" s="3"/>
      <c r="D7" s="8"/>
      <c r="E7" s="124"/>
      <c r="F7" s="124"/>
      <c r="G7" s="13"/>
      <c r="H7" s="245"/>
      <c r="I7" s="124"/>
      <c r="J7" s="8"/>
    </row>
    <row r="8" spans="1:10" ht="39.950000000000003" customHeight="1">
      <c r="A8" s="114"/>
      <c r="B8" s="9"/>
      <c r="C8" s="104"/>
      <c r="D8" s="7"/>
      <c r="E8" s="33"/>
      <c r="F8" s="33"/>
      <c r="G8" s="40"/>
      <c r="H8" s="248" t="s">
        <v>2</v>
      </c>
      <c r="I8" s="33"/>
      <c r="J8" s="7"/>
    </row>
    <row r="9" spans="1:10" ht="39.950000000000003" customHeight="1">
      <c r="A9" s="246"/>
      <c r="B9" s="128" t="s">
        <v>28</v>
      </c>
      <c r="C9" s="115"/>
      <c r="D9" s="251">
        <f>인집!G7</f>
        <v>1197000</v>
      </c>
      <c r="E9" s="251">
        <f>인집!H7</f>
        <v>194726</v>
      </c>
      <c r="F9" s="251">
        <f>인집!I7</f>
        <v>399000</v>
      </c>
      <c r="G9" s="252">
        <f>SUM(D9:F9)</f>
        <v>1790726</v>
      </c>
      <c r="H9" s="260">
        <f>보험료산출기준!$I$7</f>
        <v>2.1</v>
      </c>
      <c r="I9" s="253">
        <f>TRUNC(G9*H9%,0)</f>
        <v>37605</v>
      </c>
      <c r="J9" s="33"/>
    </row>
    <row r="10" spans="1:10" ht="39.950000000000003" customHeight="1">
      <c r="A10" s="114"/>
      <c r="B10" s="128" t="s">
        <v>75</v>
      </c>
      <c r="C10" s="104"/>
      <c r="D10" s="251">
        <f t="shared" ref="D10:F12" si="0">D9</f>
        <v>1197000</v>
      </c>
      <c r="E10" s="251">
        <f t="shared" si="0"/>
        <v>194726</v>
      </c>
      <c r="F10" s="251">
        <f t="shared" si="0"/>
        <v>399000</v>
      </c>
      <c r="G10" s="252">
        <f>SUM(D10:F10)</f>
        <v>1790726</v>
      </c>
      <c r="H10" s="260">
        <f>보험료산출기준!$I$8</f>
        <v>4.5</v>
      </c>
      <c r="I10" s="253">
        <f>TRUNC(G10*H10%,0)</f>
        <v>80582</v>
      </c>
      <c r="J10" s="33"/>
    </row>
    <row r="11" spans="1:10" ht="39.950000000000003" customHeight="1">
      <c r="A11" s="114"/>
      <c r="B11" s="128" t="s">
        <v>76</v>
      </c>
      <c r="C11" s="104"/>
      <c r="D11" s="251">
        <f t="shared" si="0"/>
        <v>1197000</v>
      </c>
      <c r="E11" s="251">
        <f t="shared" si="0"/>
        <v>194726</v>
      </c>
      <c r="F11" s="251">
        <f t="shared" si="0"/>
        <v>399000</v>
      </c>
      <c r="G11" s="252">
        <f>SUM(D11:F11)</f>
        <v>1790726</v>
      </c>
      <c r="H11" s="260">
        <f>보험료산출기준!$I$9</f>
        <v>0.7</v>
      </c>
      <c r="I11" s="253">
        <f>TRUNC(G11*H11%,0)</f>
        <v>12535</v>
      </c>
      <c r="J11" s="33"/>
    </row>
    <row r="12" spans="1:10" ht="39.950000000000003" customHeight="1">
      <c r="A12" s="114"/>
      <c r="B12" s="128" t="s">
        <v>77</v>
      </c>
      <c r="C12" s="104"/>
      <c r="D12" s="251">
        <f t="shared" si="0"/>
        <v>1197000</v>
      </c>
      <c r="E12" s="251">
        <f t="shared" si="0"/>
        <v>194726</v>
      </c>
      <c r="F12" s="251">
        <f t="shared" si="0"/>
        <v>399000</v>
      </c>
      <c r="G12" s="252">
        <f>SUM(D12:F12)</f>
        <v>1790726</v>
      </c>
      <c r="H12" s="260">
        <v>2.665</v>
      </c>
      <c r="I12" s="253">
        <f>TRUNC(G12*H12%,0)</f>
        <v>47722</v>
      </c>
      <c r="J12" s="33"/>
    </row>
    <row r="13" spans="1:10" ht="39.950000000000003" customHeight="1">
      <c r="A13" s="114"/>
      <c r="B13" s="128" t="s">
        <v>234</v>
      </c>
      <c r="C13" s="104"/>
      <c r="D13" s="251"/>
      <c r="E13" s="251"/>
      <c r="F13" s="251"/>
      <c r="G13" s="251"/>
      <c r="H13" s="260">
        <v>6.55</v>
      </c>
      <c r="I13" s="253">
        <f>TRUNC(I12*H13%,0)</f>
        <v>3125</v>
      </c>
      <c r="J13" s="33" t="s">
        <v>207</v>
      </c>
    </row>
    <row r="14" spans="1:10" ht="39.950000000000003" customHeight="1">
      <c r="A14" s="18"/>
      <c r="B14" s="249" t="s">
        <v>78</v>
      </c>
      <c r="C14" s="17"/>
      <c r="D14" s="251">
        <f>D12</f>
        <v>1197000</v>
      </c>
      <c r="E14" s="251">
        <f>E12</f>
        <v>194726</v>
      </c>
      <c r="F14" s="251">
        <f>F12</f>
        <v>399000</v>
      </c>
      <c r="G14" s="252">
        <f>SUM(D14:F14)</f>
        <v>1790726</v>
      </c>
      <c r="H14" s="260">
        <v>0.08</v>
      </c>
      <c r="I14" s="253">
        <f>TRUNC(G14*H14%,0)</f>
        <v>1432</v>
      </c>
      <c r="J14" s="33"/>
    </row>
    <row r="15" spans="1:10" ht="20.100000000000001" customHeight="1">
      <c r="A15" s="16"/>
      <c r="B15" s="247"/>
      <c r="C15" s="15"/>
      <c r="D15" s="254"/>
      <c r="E15" s="254"/>
      <c r="F15" s="254"/>
      <c r="G15" s="255"/>
      <c r="H15" s="270"/>
      <c r="I15" s="256"/>
      <c r="J15" s="34"/>
    </row>
    <row r="16" spans="1:10" ht="45" customHeight="1">
      <c r="A16" s="36"/>
      <c r="B16" s="37" t="s">
        <v>177</v>
      </c>
      <c r="C16" s="38"/>
      <c r="D16" s="257"/>
      <c r="E16" s="258"/>
      <c r="F16" s="258"/>
      <c r="G16" s="259"/>
      <c r="H16" s="259"/>
      <c r="I16" s="258">
        <f>SUM(I9:I15)</f>
        <v>183001</v>
      </c>
      <c r="J16" s="157"/>
    </row>
    <row r="17" spans="1:10" s="121" customFormat="1" ht="24.95" customHeight="1">
      <c r="A17" s="158" t="str">
        <f>"주 1) 적용대상액 : "&amp;인집!$A$1&amp;인집!$A$2&amp;" 참조"</f>
        <v>주 1) 적용대상액 : &lt; 표 : 4 &gt; 단위당인건비집계표 참조</v>
      </c>
      <c r="C17" s="158"/>
      <c r="D17" s="158"/>
      <c r="E17" s="119"/>
      <c r="F17" s="119"/>
      <c r="G17" s="120"/>
      <c r="H17" s="120"/>
      <c r="I17" s="120"/>
      <c r="J17" s="159"/>
    </row>
    <row r="18" spans="1:10" s="121" customFormat="1" ht="24.95" customHeight="1">
      <c r="A18" s="158" t="str">
        <f>"   2) 비율(%) : "&amp;보험료산출기준!$A$1&amp;보험료산출기준!$A$2&amp;" 참조"</f>
        <v xml:space="preserve">   2) 비율(%) : &lt; 표 : 13 &gt; 보험료산정기준표 참조</v>
      </c>
      <c r="C18" s="158"/>
      <c r="D18" s="158"/>
      <c r="E18" s="119"/>
      <c r="F18" s="119"/>
      <c r="G18" s="120"/>
      <c r="H18" s="120"/>
      <c r="I18" s="120"/>
      <c r="J18" s="159"/>
    </row>
    <row r="19" spans="1:10" s="121" customFormat="1" ht="24.95" customHeight="1">
      <c r="A19" s="181"/>
      <c r="C19" s="158"/>
      <c r="D19" s="160"/>
      <c r="E19" s="102"/>
      <c r="F19" s="102"/>
      <c r="G19" s="101"/>
      <c r="H19" s="101"/>
      <c r="I19" s="101"/>
    </row>
    <row r="20" spans="1:10" s="121" customFormat="1" ht="24.95" customHeight="1">
      <c r="A20" s="181"/>
      <c r="C20" s="158"/>
      <c r="D20" s="160"/>
      <c r="E20" s="102"/>
      <c r="F20" s="102"/>
      <c r="G20" s="101"/>
      <c r="H20" s="101"/>
      <c r="I20" s="101"/>
    </row>
    <row r="21" spans="1:10" s="121" customFormat="1" ht="24.95" customHeight="1">
      <c r="A21" s="181"/>
      <c r="C21" s="158"/>
      <c r="D21" s="160"/>
      <c r="E21" s="102"/>
      <c r="F21" s="102"/>
      <c r="G21" s="101"/>
      <c r="H21" s="101"/>
      <c r="I21" s="101"/>
    </row>
    <row r="22" spans="1:10" s="121" customFormat="1" ht="24.95" customHeight="1">
      <c r="A22" s="181"/>
      <c r="C22" s="158"/>
      <c r="D22" s="160"/>
      <c r="E22" s="102"/>
      <c r="F22" s="102"/>
      <c r="G22" s="101"/>
      <c r="H22" s="101"/>
      <c r="I22" s="101"/>
    </row>
    <row r="23" spans="1:10" ht="20.100000000000001" customHeight="1">
      <c r="A23" s="153"/>
      <c r="B23" s="153"/>
      <c r="C23" s="153"/>
      <c r="D23" s="152"/>
    </row>
    <row r="24" spans="1:10" ht="20.100000000000001" customHeight="1">
      <c r="A24" s="109" t="str">
        <f>원가!A38</f>
        <v>구 분 : 사무직                       직종명 : 사무직</v>
      </c>
      <c r="B24" s="110"/>
      <c r="C24" s="110"/>
      <c r="D24" s="109"/>
      <c r="I24" s="156"/>
      <c r="J24" s="156" t="s">
        <v>37</v>
      </c>
    </row>
    <row r="25" spans="1:10" ht="24.95" customHeight="1">
      <c r="A25" s="537" t="s">
        <v>68</v>
      </c>
      <c r="B25" s="516"/>
      <c r="C25" s="538"/>
      <c r="D25" s="514" t="s">
        <v>69</v>
      </c>
      <c r="E25" s="542"/>
      <c r="F25" s="542"/>
      <c r="G25" s="515"/>
      <c r="H25" s="543" t="s">
        <v>200</v>
      </c>
      <c r="I25" s="545" t="s">
        <v>70</v>
      </c>
      <c r="J25" s="518" t="s">
        <v>71</v>
      </c>
    </row>
    <row r="26" spans="1:10" ht="24.95" customHeight="1">
      <c r="A26" s="539"/>
      <c r="B26" s="540"/>
      <c r="C26" s="541"/>
      <c r="D26" s="99" t="s">
        <v>72</v>
      </c>
      <c r="E26" s="34" t="s">
        <v>73</v>
      </c>
      <c r="F26" s="34" t="s">
        <v>74</v>
      </c>
      <c r="G26" s="34" t="s">
        <v>56</v>
      </c>
      <c r="H26" s="544"/>
      <c r="I26" s="546"/>
      <c r="J26" s="536"/>
    </row>
    <row r="27" spans="1:10" ht="20.100000000000001" customHeight="1">
      <c r="A27" s="4"/>
      <c r="B27" s="10"/>
      <c r="C27" s="3"/>
      <c r="D27" s="8"/>
      <c r="E27" s="124"/>
      <c r="F27" s="124"/>
      <c r="G27" s="13"/>
      <c r="H27" s="245"/>
      <c r="I27" s="124"/>
      <c r="J27" s="8"/>
    </row>
    <row r="28" spans="1:10" ht="39.950000000000003" customHeight="1">
      <c r="A28" s="114"/>
      <c r="B28" s="9"/>
      <c r="C28" s="104"/>
      <c r="D28" s="7"/>
      <c r="E28" s="33"/>
      <c r="F28" s="33"/>
      <c r="G28" s="40"/>
      <c r="H28" s="248" t="s">
        <v>2</v>
      </c>
      <c r="I28" s="33"/>
      <c r="J28" s="7"/>
    </row>
    <row r="29" spans="1:10" ht="39.950000000000003" customHeight="1">
      <c r="A29" s="246"/>
      <c r="B29" s="128" t="s">
        <v>28</v>
      </c>
      <c r="C29" s="115"/>
      <c r="D29" s="251">
        <f>인집!G8</f>
        <v>1038030</v>
      </c>
      <c r="E29" s="251">
        <f>인집!H8</f>
        <v>168865</v>
      </c>
      <c r="F29" s="251">
        <f>인집!I8</f>
        <v>346010</v>
      </c>
      <c r="G29" s="252">
        <f>SUM(D29:F29)</f>
        <v>1552905</v>
      </c>
      <c r="H29" s="260">
        <f>보험료산출기준!$I$7</f>
        <v>2.1</v>
      </c>
      <c r="I29" s="253">
        <f>TRUNC(G29*H29%,0)</f>
        <v>32611</v>
      </c>
      <c r="J29" s="33"/>
    </row>
    <row r="30" spans="1:10" ht="39.950000000000003" customHeight="1">
      <c r="A30" s="114"/>
      <c r="B30" s="128" t="s">
        <v>75</v>
      </c>
      <c r="C30" s="104"/>
      <c r="D30" s="251">
        <f t="shared" ref="D30:F32" si="1">D29</f>
        <v>1038030</v>
      </c>
      <c r="E30" s="251">
        <f t="shared" si="1"/>
        <v>168865</v>
      </c>
      <c r="F30" s="251">
        <f t="shared" si="1"/>
        <v>346010</v>
      </c>
      <c r="G30" s="252">
        <f>SUM(D30:F30)</f>
        <v>1552905</v>
      </c>
      <c r="H30" s="260">
        <f>보험료산출기준!$I$8</f>
        <v>4.5</v>
      </c>
      <c r="I30" s="253">
        <f>TRUNC(G30*H30%,0)</f>
        <v>69880</v>
      </c>
      <c r="J30" s="33"/>
    </row>
    <row r="31" spans="1:10" ht="39.950000000000003" customHeight="1">
      <c r="A31" s="114"/>
      <c r="B31" s="128" t="s">
        <v>76</v>
      </c>
      <c r="C31" s="104"/>
      <c r="D31" s="251">
        <f t="shared" si="1"/>
        <v>1038030</v>
      </c>
      <c r="E31" s="251">
        <f t="shared" si="1"/>
        <v>168865</v>
      </c>
      <c r="F31" s="251">
        <f t="shared" si="1"/>
        <v>346010</v>
      </c>
      <c r="G31" s="252">
        <f>SUM(D31:F31)</f>
        <v>1552905</v>
      </c>
      <c r="H31" s="260">
        <f>보험료산출기준!$I$9</f>
        <v>0.7</v>
      </c>
      <c r="I31" s="253">
        <f>TRUNC(G31*H31%,0)</f>
        <v>10870</v>
      </c>
      <c r="J31" s="33"/>
    </row>
    <row r="32" spans="1:10" ht="39.950000000000003" customHeight="1">
      <c r="A32" s="114"/>
      <c r="B32" s="128" t="s">
        <v>77</v>
      </c>
      <c r="C32" s="104"/>
      <c r="D32" s="251">
        <f t="shared" si="1"/>
        <v>1038030</v>
      </c>
      <c r="E32" s="251">
        <f t="shared" si="1"/>
        <v>168865</v>
      </c>
      <c r="F32" s="251">
        <f t="shared" si="1"/>
        <v>346010</v>
      </c>
      <c r="G32" s="252">
        <f>SUM(D32:F32)</f>
        <v>1552905</v>
      </c>
      <c r="H32" s="260">
        <v>2.665</v>
      </c>
      <c r="I32" s="253">
        <f>TRUNC(G32*H32%,0)</f>
        <v>41384</v>
      </c>
      <c r="J32" s="33"/>
    </row>
    <row r="33" spans="1:10" ht="39.950000000000003" customHeight="1">
      <c r="A33" s="114"/>
      <c r="B33" s="128" t="s">
        <v>234</v>
      </c>
      <c r="C33" s="104"/>
      <c r="D33" s="251"/>
      <c r="E33" s="251"/>
      <c r="F33" s="251"/>
      <c r="G33" s="251"/>
      <c r="H33" s="260">
        <v>6.55</v>
      </c>
      <c r="I33" s="253">
        <f>TRUNC(I32*H33%,0)</f>
        <v>2710</v>
      </c>
      <c r="J33" s="33" t="s">
        <v>207</v>
      </c>
    </row>
    <row r="34" spans="1:10" ht="39.950000000000003" customHeight="1">
      <c r="A34" s="18"/>
      <c r="B34" s="249" t="s">
        <v>78</v>
      </c>
      <c r="C34" s="17"/>
      <c r="D34" s="251">
        <f>D32</f>
        <v>1038030</v>
      </c>
      <c r="E34" s="251">
        <f>E32</f>
        <v>168865</v>
      </c>
      <c r="F34" s="251">
        <f>F32</f>
        <v>346010</v>
      </c>
      <c r="G34" s="252">
        <f>SUM(D34:F34)</f>
        <v>1552905</v>
      </c>
      <c r="H34" s="260">
        <v>0.08</v>
      </c>
      <c r="I34" s="253">
        <f>TRUNC(G34*H34%,0)</f>
        <v>1242</v>
      </c>
      <c r="J34" s="33"/>
    </row>
    <row r="35" spans="1:10" ht="20.100000000000001" customHeight="1">
      <c r="A35" s="16"/>
      <c r="B35" s="247"/>
      <c r="C35" s="15"/>
      <c r="D35" s="254"/>
      <c r="E35" s="254"/>
      <c r="F35" s="254"/>
      <c r="G35" s="255"/>
      <c r="H35" s="270"/>
      <c r="I35" s="256"/>
      <c r="J35" s="34"/>
    </row>
    <row r="36" spans="1:10" ht="45" customHeight="1">
      <c r="A36" s="36"/>
      <c r="B36" s="37" t="s">
        <v>177</v>
      </c>
      <c r="C36" s="38"/>
      <c r="D36" s="257"/>
      <c r="E36" s="258"/>
      <c r="F36" s="258"/>
      <c r="G36" s="259"/>
      <c r="H36" s="259"/>
      <c r="I36" s="258">
        <f>SUM(I29:I35)</f>
        <v>158697</v>
      </c>
      <c r="J36" s="157"/>
    </row>
    <row r="37" spans="1:10" s="121" customFormat="1" ht="24.95" customHeight="1">
      <c r="A37" s="158" t="str">
        <f>"주 1) 적용대상액 : "&amp;인집!$A$1&amp;인집!$A$2&amp;" 참조"</f>
        <v>주 1) 적용대상액 : &lt; 표 : 4 &gt; 단위당인건비집계표 참조</v>
      </c>
      <c r="C37" s="158"/>
      <c r="D37" s="158"/>
      <c r="E37" s="119"/>
      <c r="F37" s="119"/>
      <c r="G37" s="120"/>
      <c r="H37" s="120"/>
      <c r="I37" s="120"/>
      <c r="J37" s="159"/>
    </row>
    <row r="38" spans="1:10" s="121" customFormat="1" ht="24.95" customHeight="1">
      <c r="A38" s="158" t="str">
        <f>"   2) 비율(%) : "&amp;보험료산출기준!$A$1&amp;보험료산출기준!$A$2&amp;" 참조"</f>
        <v xml:space="preserve">   2) 비율(%) : &lt; 표 : 13 &gt; 보험료산정기준표 참조</v>
      </c>
      <c r="C38" s="158"/>
      <c r="D38" s="158"/>
      <c r="E38" s="119"/>
      <c r="F38" s="119"/>
      <c r="G38" s="120"/>
      <c r="H38" s="120"/>
      <c r="I38" s="120"/>
      <c r="J38" s="159"/>
    </row>
    <row r="39" spans="1:10" s="121" customFormat="1" ht="24.95" customHeight="1">
      <c r="A39" s="181"/>
      <c r="C39" s="158"/>
      <c r="D39" s="160"/>
      <c r="E39" s="102"/>
      <c r="F39" s="102"/>
      <c r="G39" s="101"/>
      <c r="H39" s="101"/>
      <c r="I39" s="101"/>
    </row>
    <row r="40" spans="1:10" s="121" customFormat="1" ht="24.95" customHeight="1">
      <c r="A40" s="181"/>
      <c r="C40" s="158"/>
      <c r="D40" s="160"/>
      <c r="E40" s="102"/>
      <c r="F40" s="102"/>
      <c r="G40" s="101"/>
      <c r="H40" s="101"/>
      <c r="I40" s="101"/>
    </row>
    <row r="41" spans="1:10" s="121" customFormat="1" ht="24.95" customHeight="1">
      <c r="A41" s="181"/>
      <c r="C41" s="158"/>
      <c r="D41" s="160"/>
      <c r="E41" s="102"/>
      <c r="F41" s="102"/>
      <c r="G41" s="101"/>
      <c r="H41" s="101"/>
      <c r="I41" s="101"/>
    </row>
    <row r="42" spans="1:10" s="121" customFormat="1" ht="24.95" customHeight="1">
      <c r="A42" s="181"/>
      <c r="C42" s="158"/>
      <c r="D42" s="160"/>
      <c r="E42" s="102"/>
      <c r="F42" s="102"/>
      <c r="G42" s="101"/>
      <c r="H42" s="101"/>
      <c r="I42" s="101"/>
    </row>
    <row r="43" spans="1:10" ht="20.100000000000001" customHeight="1">
      <c r="A43" s="153"/>
      <c r="B43" s="153"/>
      <c r="C43" s="153"/>
      <c r="D43" s="152"/>
    </row>
    <row r="44" spans="1:10" ht="20.100000000000001" customHeight="1">
      <c r="A44" s="153"/>
      <c r="B44" s="153"/>
      <c r="C44" s="153"/>
      <c r="D44" s="152"/>
    </row>
    <row r="45" spans="1:10" s="121" customFormat="1" ht="24.95" customHeight="1">
      <c r="A45" s="181"/>
      <c r="C45" s="158"/>
      <c r="D45" s="160"/>
      <c r="E45" s="102"/>
      <c r="F45" s="102"/>
      <c r="G45" s="101"/>
      <c r="H45" s="101"/>
      <c r="I45" s="101"/>
    </row>
    <row r="46" spans="1:10" s="121" customFormat="1" ht="24.95" customHeight="1">
      <c r="A46" s="181"/>
      <c r="C46" s="158"/>
      <c r="D46" s="160"/>
      <c r="E46" s="102"/>
      <c r="F46" s="102"/>
      <c r="G46" s="101"/>
      <c r="H46" s="101"/>
      <c r="I46" s="101"/>
    </row>
    <row r="47" spans="1:10" s="121" customFormat="1" ht="24.95" customHeight="1">
      <c r="A47" s="181"/>
      <c r="C47" s="158"/>
      <c r="D47" s="160"/>
      <c r="E47" s="102"/>
      <c r="F47" s="102"/>
      <c r="G47" s="101"/>
      <c r="H47" s="101"/>
      <c r="I47" s="101"/>
    </row>
    <row r="48" spans="1:10" s="121" customFormat="1" ht="24.95" customHeight="1">
      <c r="A48" s="181"/>
      <c r="C48" s="158"/>
      <c r="D48" s="160"/>
      <c r="E48" s="102"/>
      <c r="F48" s="102"/>
      <c r="G48" s="101"/>
      <c r="H48" s="101"/>
      <c r="I48" s="101"/>
    </row>
    <row r="49" spans="1:9" s="121" customFormat="1" ht="20.100000000000001" customHeight="1">
      <c r="A49" s="181"/>
      <c r="C49" s="158"/>
      <c r="D49" s="160"/>
      <c r="E49" s="102"/>
      <c r="F49" s="102"/>
      <c r="G49" s="101"/>
      <c r="H49" s="101"/>
      <c r="I49" s="101"/>
    </row>
  </sheetData>
  <mergeCells count="10">
    <mergeCell ref="J25:J26"/>
    <mergeCell ref="A25:C26"/>
    <mergeCell ref="D25:G25"/>
    <mergeCell ref="H25:H26"/>
    <mergeCell ref="I25:I26"/>
    <mergeCell ref="J5:J6"/>
    <mergeCell ref="A5:C6"/>
    <mergeCell ref="D5:G5"/>
    <mergeCell ref="H5:H6"/>
    <mergeCell ref="I5:I6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&amp;P+30 -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workbookViewId="0">
      <selection activeCell="G11" sqref="G11"/>
    </sheetView>
  </sheetViews>
  <sheetFormatPr defaultRowHeight="12"/>
  <cols>
    <col min="1" max="1" width="4.7109375" style="239" customWidth="1"/>
    <col min="2" max="2" width="0.85546875" style="239" customWidth="1"/>
    <col min="3" max="3" width="20.7109375" style="239" customWidth="1"/>
    <col min="4" max="4" width="0.85546875" style="239" customWidth="1"/>
    <col min="5" max="5" width="43.140625" style="233" customWidth="1"/>
    <col min="6" max="6" width="89.140625" style="233" customWidth="1"/>
    <col min="7" max="7" width="33.7109375" style="233" customWidth="1"/>
    <col min="8" max="8" width="13" style="233" customWidth="1"/>
    <col min="9" max="9" width="9.140625" style="233"/>
    <col min="10" max="10" width="9.140625" style="234"/>
    <col min="11" max="16384" width="9.140625" style="233"/>
  </cols>
  <sheetData>
    <row r="1" spans="1:9" ht="20.100000000000001" customHeight="1">
      <c r="A1" s="235" t="s">
        <v>325</v>
      </c>
      <c r="B1" s="236"/>
      <c r="C1" s="236"/>
      <c r="D1" s="236"/>
    </row>
    <row r="2" spans="1:9" ht="39.950000000000003" customHeight="1">
      <c r="A2" s="230" t="s">
        <v>194</v>
      </c>
      <c r="B2" s="238"/>
      <c r="C2" s="238"/>
      <c r="D2" s="238"/>
      <c r="E2" s="237"/>
      <c r="F2" s="237"/>
      <c r="G2" s="237"/>
      <c r="H2" s="237"/>
    </row>
    <row r="3" spans="1:9" ht="20.100000000000001" customHeight="1">
      <c r="A3" s="237"/>
      <c r="B3" s="238"/>
      <c r="C3" s="238"/>
      <c r="D3" s="238"/>
      <c r="E3" s="237"/>
      <c r="F3" s="237"/>
      <c r="G3" s="237"/>
      <c r="H3" s="237"/>
    </row>
    <row r="4" spans="1:9" ht="20.100000000000001" customHeight="1"/>
    <row r="5" spans="1:9" ht="24.95" customHeight="1">
      <c r="A5" s="537" t="s">
        <v>185</v>
      </c>
      <c r="B5" s="516"/>
      <c r="C5" s="516"/>
      <c r="D5" s="538"/>
      <c r="E5" s="547" t="s">
        <v>186</v>
      </c>
      <c r="F5" s="552" t="s">
        <v>187</v>
      </c>
      <c r="G5" s="547" t="s">
        <v>188</v>
      </c>
      <c r="H5" s="547" t="s">
        <v>189</v>
      </c>
    </row>
    <row r="6" spans="1:9" ht="24.95" customHeight="1">
      <c r="A6" s="539"/>
      <c r="B6" s="540"/>
      <c r="C6" s="540"/>
      <c r="D6" s="541"/>
      <c r="E6" s="548"/>
      <c r="F6" s="553"/>
      <c r="G6" s="548"/>
      <c r="H6" s="548"/>
    </row>
    <row r="7" spans="1:9" ht="50.1" customHeight="1">
      <c r="A7" s="549" t="s">
        <v>190</v>
      </c>
      <c r="B7" s="168"/>
      <c r="C7" s="35" t="s">
        <v>191</v>
      </c>
      <c r="D7" s="231"/>
      <c r="E7" s="232" t="s">
        <v>192</v>
      </c>
      <c r="F7" s="452" t="s">
        <v>362</v>
      </c>
      <c r="G7" s="232" t="s">
        <v>228</v>
      </c>
      <c r="H7" s="240" t="str">
        <f>산재비율!A1&amp;"
참조"</f>
        <v>&lt; 표 : 14 &gt; 
참조</v>
      </c>
      <c r="I7" s="233">
        <v>2.1</v>
      </c>
    </row>
    <row r="8" spans="1:9" ht="50.1" customHeight="1">
      <c r="A8" s="550"/>
      <c r="B8" s="168"/>
      <c r="C8" s="35" t="s">
        <v>75</v>
      </c>
      <c r="D8" s="231"/>
      <c r="E8" s="232" t="s">
        <v>1</v>
      </c>
      <c r="F8" s="452" t="s">
        <v>363</v>
      </c>
      <c r="G8" s="232" t="s">
        <v>193</v>
      </c>
      <c r="H8" s="241"/>
      <c r="I8" s="233">
        <v>4.5</v>
      </c>
    </row>
    <row r="9" spans="1:9" ht="150" customHeight="1">
      <c r="A9" s="550"/>
      <c r="B9" s="168"/>
      <c r="C9" s="35" t="s">
        <v>184</v>
      </c>
      <c r="D9" s="231"/>
      <c r="E9" s="452" t="s">
        <v>364</v>
      </c>
      <c r="F9" s="405" t="s">
        <v>316</v>
      </c>
      <c r="G9" s="266" t="s">
        <v>317</v>
      </c>
      <c r="H9" s="267"/>
      <c r="I9" s="268">
        <v>0.7</v>
      </c>
    </row>
    <row r="10" spans="1:9" ht="50.1" customHeight="1">
      <c r="A10" s="550"/>
      <c r="B10" s="168"/>
      <c r="C10" s="35" t="s">
        <v>77</v>
      </c>
      <c r="D10" s="231"/>
      <c r="E10" s="232" t="s">
        <v>197</v>
      </c>
      <c r="F10" s="452" t="s">
        <v>386</v>
      </c>
      <c r="G10" s="452" t="s">
        <v>387</v>
      </c>
      <c r="H10" s="241"/>
      <c r="I10" s="233">
        <v>2.665</v>
      </c>
    </row>
    <row r="11" spans="1:9" s="268" customFormat="1" ht="54.95" customHeight="1">
      <c r="A11" s="550"/>
      <c r="B11" s="263"/>
      <c r="C11" s="264" t="s">
        <v>234</v>
      </c>
      <c r="D11" s="265"/>
      <c r="E11" s="266" t="s">
        <v>218</v>
      </c>
      <c r="F11" s="452" t="s">
        <v>385</v>
      </c>
      <c r="G11" s="452" t="s">
        <v>384</v>
      </c>
      <c r="H11" s="267"/>
      <c r="I11" s="268">
        <v>6.55</v>
      </c>
    </row>
    <row r="12" spans="1:9" ht="50.1" customHeight="1">
      <c r="A12" s="551"/>
      <c r="B12" s="168"/>
      <c r="C12" s="35" t="s">
        <v>78</v>
      </c>
      <c r="D12" s="231"/>
      <c r="E12" s="232" t="s">
        <v>219</v>
      </c>
      <c r="F12" s="452" t="s">
        <v>383</v>
      </c>
      <c r="G12" s="452" t="s">
        <v>382</v>
      </c>
      <c r="H12" s="241"/>
      <c r="I12" s="233">
        <v>0.08</v>
      </c>
    </row>
    <row r="13" spans="1:9" ht="27.95" customHeight="1"/>
    <row r="14" spans="1:9" ht="27.95" customHeight="1"/>
    <row r="15" spans="1:9" ht="39.950000000000003" customHeight="1"/>
  </sheetData>
  <mergeCells count="6">
    <mergeCell ref="H5:H6"/>
    <mergeCell ref="A7:A12"/>
    <mergeCell ref="A5:D6"/>
    <mergeCell ref="E5:E6"/>
    <mergeCell ref="F5:F6"/>
    <mergeCell ref="G5:G6"/>
  </mergeCells>
  <phoneticPr fontId="5" type="noConversion"/>
  <printOptions horizontalCentered="1"/>
  <pageMargins left="0.78740157480314965" right="0.70866141732283472" top="0.78740157480314965" bottom="0.78740157480314965" header="0.51181102362204722" footer="0.51181102362204722"/>
  <pageSetup paperSize="9" scale="70" orientation="landscape" r:id="rId1"/>
  <headerFooter alignWithMargins="0">
    <oddFooter>&amp;C- &amp;P+39 -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view="pageBreakPreview" workbookViewId="0">
      <selection activeCell="A2" sqref="A2"/>
    </sheetView>
  </sheetViews>
  <sheetFormatPr defaultRowHeight="24.95" customHeight="1"/>
  <cols>
    <col min="1" max="1" width="0.85546875" style="421" customWidth="1"/>
    <col min="2" max="2" width="35.7109375" style="420" customWidth="1"/>
    <col min="3" max="3" width="0.85546875" style="421" customWidth="1"/>
    <col min="4" max="4" width="9.7109375" style="421" customWidth="1"/>
    <col min="5" max="5" width="0.85546875" style="421" customWidth="1"/>
    <col min="6" max="6" width="36.7109375" style="420" customWidth="1"/>
    <col min="7" max="7" width="0.85546875" style="421" customWidth="1"/>
    <col min="8" max="8" width="9.7109375" style="421" customWidth="1"/>
    <col min="9" max="16384" width="9.140625" style="421"/>
  </cols>
  <sheetData>
    <row r="1" spans="1:8" ht="20.100000000000001" customHeight="1">
      <c r="A1" s="417" t="s">
        <v>326</v>
      </c>
      <c r="B1" s="417"/>
      <c r="C1" s="418"/>
      <c r="D1" s="419"/>
      <c r="E1" s="419"/>
      <c r="G1" s="419"/>
      <c r="H1" s="419"/>
    </row>
    <row r="2" spans="1:8" ht="39.950000000000003" customHeight="1">
      <c r="A2" s="269" t="s">
        <v>168</v>
      </c>
      <c r="B2" s="422"/>
      <c r="C2" s="422"/>
      <c r="D2" s="422"/>
      <c r="E2" s="422"/>
      <c r="F2" s="422"/>
      <c r="G2" s="422"/>
      <c r="H2" s="422"/>
    </row>
    <row r="3" spans="1:8" ht="20.100000000000001" customHeight="1">
      <c r="A3" s="423"/>
      <c r="B3" s="424"/>
      <c r="C3" s="424"/>
      <c r="D3" s="424"/>
      <c r="E3" s="424"/>
      <c r="F3" s="423"/>
      <c r="G3" s="424"/>
      <c r="H3" s="424"/>
    </row>
    <row r="4" spans="1:8" ht="20.100000000000001" customHeight="1">
      <c r="A4" s="425"/>
      <c r="B4" s="425"/>
      <c r="C4" s="426"/>
      <c r="D4" s="426"/>
      <c r="E4" s="426"/>
      <c r="G4" s="419"/>
      <c r="H4" s="427" t="s">
        <v>332</v>
      </c>
    </row>
    <row r="5" spans="1:8" ht="30" customHeight="1">
      <c r="A5" s="428"/>
      <c r="B5" s="429" t="s">
        <v>169</v>
      </c>
      <c r="C5" s="430"/>
      <c r="D5" s="431" t="s">
        <v>220</v>
      </c>
      <c r="E5" s="432"/>
      <c r="F5" s="429" t="s">
        <v>169</v>
      </c>
      <c r="G5" s="430"/>
      <c r="H5" s="431" t="s">
        <v>220</v>
      </c>
    </row>
    <row r="6" spans="1:8" ht="15" customHeight="1">
      <c r="A6" s="433"/>
      <c r="B6" s="434" t="s">
        <v>79</v>
      </c>
      <c r="C6" s="435"/>
      <c r="D6" s="419"/>
      <c r="E6" s="433"/>
      <c r="F6" s="434"/>
      <c r="G6" s="436"/>
      <c r="H6" s="436"/>
    </row>
    <row r="7" spans="1:8" ht="15" customHeight="1">
      <c r="A7" s="433"/>
      <c r="B7" s="434" t="s">
        <v>80</v>
      </c>
      <c r="C7" s="436"/>
      <c r="D7" s="437">
        <v>360</v>
      </c>
      <c r="E7" s="433"/>
      <c r="F7" s="434" t="s">
        <v>84</v>
      </c>
      <c r="G7" s="436"/>
      <c r="H7" s="438" t="s">
        <v>333</v>
      </c>
    </row>
    <row r="8" spans="1:8" ht="15" customHeight="1">
      <c r="A8" s="433"/>
      <c r="B8" s="434" t="s">
        <v>81</v>
      </c>
      <c r="C8" s="436"/>
      <c r="D8" s="439" t="s">
        <v>334</v>
      </c>
      <c r="E8" s="433"/>
      <c r="F8" s="434" t="s">
        <v>221</v>
      </c>
      <c r="G8" s="436"/>
      <c r="H8" s="438" t="s">
        <v>333</v>
      </c>
    </row>
    <row r="9" spans="1:8" ht="15" customHeight="1">
      <c r="A9" s="433"/>
      <c r="B9" s="434" t="s">
        <v>83</v>
      </c>
      <c r="C9" s="436"/>
      <c r="D9" s="439" t="s">
        <v>335</v>
      </c>
      <c r="E9" s="433"/>
      <c r="F9" s="434" t="s">
        <v>86</v>
      </c>
      <c r="G9" s="436"/>
      <c r="H9" s="438" t="s">
        <v>336</v>
      </c>
    </row>
    <row r="10" spans="1:8" ht="15" customHeight="1">
      <c r="A10" s="433"/>
      <c r="B10" s="434" t="s">
        <v>85</v>
      </c>
      <c r="C10" s="436"/>
      <c r="D10" s="439" t="s">
        <v>337</v>
      </c>
      <c r="E10" s="433"/>
      <c r="F10" s="434" t="s">
        <v>170</v>
      </c>
      <c r="G10" s="436"/>
      <c r="H10" s="438" t="s">
        <v>338</v>
      </c>
    </row>
    <row r="11" spans="1:8" ht="15" customHeight="1">
      <c r="A11" s="433"/>
      <c r="B11" s="434" t="s">
        <v>87</v>
      </c>
      <c r="C11" s="436"/>
      <c r="D11" s="439" t="s">
        <v>339</v>
      </c>
      <c r="E11" s="433"/>
      <c r="F11" s="434" t="s">
        <v>89</v>
      </c>
      <c r="G11" s="436"/>
      <c r="H11" s="440">
        <v>18</v>
      </c>
    </row>
    <row r="12" spans="1:8" ht="15" customHeight="1">
      <c r="A12" s="433"/>
      <c r="B12" s="434" t="s">
        <v>88</v>
      </c>
      <c r="C12" s="436"/>
      <c r="D12" s="439" t="s">
        <v>340</v>
      </c>
      <c r="E12" s="433"/>
      <c r="F12" s="434" t="s">
        <v>90</v>
      </c>
      <c r="G12" s="436"/>
      <c r="H12" s="438" t="s">
        <v>341</v>
      </c>
    </row>
    <row r="13" spans="1:8" ht="15" customHeight="1">
      <c r="A13" s="433"/>
      <c r="B13" s="434" t="s">
        <v>91</v>
      </c>
      <c r="C13" s="436"/>
      <c r="D13" s="437"/>
      <c r="E13" s="433"/>
      <c r="F13" s="434" t="s">
        <v>171</v>
      </c>
      <c r="G13" s="436"/>
      <c r="H13" s="440">
        <v>10</v>
      </c>
    </row>
    <row r="14" spans="1:8" ht="15" customHeight="1">
      <c r="A14" s="433"/>
      <c r="B14" s="434" t="s">
        <v>92</v>
      </c>
      <c r="C14" s="436"/>
      <c r="D14" s="439" t="s">
        <v>342</v>
      </c>
      <c r="E14" s="433"/>
      <c r="F14" s="434" t="s">
        <v>93</v>
      </c>
      <c r="G14" s="436"/>
      <c r="H14" s="438" t="s">
        <v>343</v>
      </c>
    </row>
    <row r="15" spans="1:8" ht="15" customHeight="1">
      <c r="A15" s="433"/>
      <c r="B15" s="434" t="s">
        <v>94</v>
      </c>
      <c r="C15" s="436"/>
      <c r="D15" s="439" t="s">
        <v>344</v>
      </c>
      <c r="E15" s="433"/>
      <c r="F15" s="434" t="s">
        <v>95</v>
      </c>
      <c r="G15" s="436"/>
      <c r="H15" s="440"/>
    </row>
    <row r="16" spans="1:8" ht="15" customHeight="1">
      <c r="A16" s="433"/>
      <c r="B16" s="434" t="s">
        <v>96</v>
      </c>
      <c r="C16" s="436"/>
      <c r="D16" s="439" t="s">
        <v>345</v>
      </c>
      <c r="E16" s="433"/>
      <c r="F16" s="434" t="s">
        <v>97</v>
      </c>
      <c r="G16" s="436"/>
      <c r="H16" s="438" t="s">
        <v>346</v>
      </c>
    </row>
    <row r="17" spans="1:8" ht="15" customHeight="1">
      <c r="A17" s="433"/>
      <c r="B17" s="434" t="s">
        <v>98</v>
      </c>
      <c r="C17" s="436"/>
      <c r="D17" s="439" t="s">
        <v>333</v>
      </c>
      <c r="E17" s="433"/>
      <c r="F17" s="434" t="s">
        <v>99</v>
      </c>
      <c r="G17" s="436"/>
      <c r="H17" s="440">
        <v>22</v>
      </c>
    </row>
    <row r="18" spans="1:8" ht="15" customHeight="1">
      <c r="A18" s="433"/>
      <c r="B18" s="434" t="s">
        <v>100</v>
      </c>
      <c r="C18" s="436"/>
      <c r="D18" s="439" t="s">
        <v>347</v>
      </c>
      <c r="E18" s="433"/>
      <c r="F18" s="434" t="s">
        <v>101</v>
      </c>
      <c r="G18" s="436"/>
      <c r="H18" s="438" t="s">
        <v>348</v>
      </c>
    </row>
    <row r="19" spans="1:8" ht="15" customHeight="1">
      <c r="A19" s="433"/>
      <c r="B19" s="434" t="s">
        <v>102</v>
      </c>
      <c r="C19" s="436"/>
      <c r="D19" s="437">
        <v>50</v>
      </c>
      <c r="E19" s="433"/>
      <c r="F19" s="434" t="s">
        <v>103</v>
      </c>
      <c r="G19" s="436"/>
      <c r="H19" s="438" t="s">
        <v>349</v>
      </c>
    </row>
    <row r="20" spans="1:8" ht="24.95" customHeight="1">
      <c r="A20" s="433"/>
      <c r="B20" s="441" t="s">
        <v>222</v>
      </c>
      <c r="C20" s="436"/>
      <c r="D20" s="439" t="s">
        <v>350</v>
      </c>
      <c r="E20" s="433"/>
      <c r="F20" s="434" t="s">
        <v>104</v>
      </c>
      <c r="G20" s="436"/>
      <c r="H20" s="438" t="s">
        <v>351</v>
      </c>
    </row>
    <row r="21" spans="1:8" ht="15" customHeight="1">
      <c r="A21" s="433"/>
      <c r="B21" s="434" t="s">
        <v>223</v>
      </c>
      <c r="C21" s="436"/>
      <c r="D21" s="437">
        <v>9</v>
      </c>
      <c r="E21" s="433"/>
      <c r="F21" s="434" t="s">
        <v>105</v>
      </c>
      <c r="G21" s="436"/>
      <c r="H21" s="438" t="s">
        <v>344</v>
      </c>
    </row>
    <row r="22" spans="1:8" ht="15" customHeight="1">
      <c r="A22" s="433"/>
      <c r="B22" s="434" t="s">
        <v>106</v>
      </c>
      <c r="C22" s="436"/>
      <c r="D22" s="437">
        <v>17</v>
      </c>
      <c r="E22" s="433"/>
      <c r="F22" s="434" t="s">
        <v>107</v>
      </c>
      <c r="G22" s="436"/>
      <c r="H22" s="440">
        <v>18</v>
      </c>
    </row>
    <row r="23" spans="1:8" ht="15" customHeight="1">
      <c r="A23" s="433"/>
      <c r="B23" s="434" t="s">
        <v>108</v>
      </c>
      <c r="C23" s="436"/>
      <c r="D23" s="437">
        <v>18</v>
      </c>
      <c r="E23" s="433"/>
      <c r="F23" s="434" t="s">
        <v>109</v>
      </c>
      <c r="G23" s="436"/>
      <c r="H23" s="440">
        <v>11</v>
      </c>
    </row>
    <row r="24" spans="1:8" ht="15" customHeight="1">
      <c r="A24" s="433"/>
      <c r="B24" s="434" t="s">
        <v>110</v>
      </c>
      <c r="C24" s="436"/>
      <c r="D24" s="437">
        <v>10</v>
      </c>
      <c r="E24" s="433"/>
      <c r="F24" s="434" t="s">
        <v>111</v>
      </c>
      <c r="G24" s="436"/>
      <c r="H24" s="438" t="s">
        <v>352</v>
      </c>
    </row>
    <row r="25" spans="1:8" ht="15" customHeight="1">
      <c r="A25" s="433"/>
      <c r="B25" s="434" t="s">
        <v>112</v>
      </c>
      <c r="C25" s="436"/>
      <c r="D25" s="439" t="s">
        <v>339</v>
      </c>
      <c r="E25" s="433"/>
      <c r="F25" s="434" t="s">
        <v>115</v>
      </c>
      <c r="G25" s="436"/>
      <c r="H25" s="440"/>
    </row>
    <row r="26" spans="1:8" ht="15" customHeight="1">
      <c r="A26" s="433"/>
      <c r="B26" s="434" t="s">
        <v>224</v>
      </c>
      <c r="C26" s="436"/>
      <c r="D26" s="439" t="s">
        <v>353</v>
      </c>
      <c r="E26" s="433"/>
      <c r="F26" s="434" t="s">
        <v>172</v>
      </c>
      <c r="G26" s="436"/>
      <c r="H26" s="438" t="s">
        <v>354</v>
      </c>
    </row>
    <row r="27" spans="1:8" ht="15" customHeight="1">
      <c r="A27" s="433"/>
      <c r="B27" s="434" t="s">
        <v>113</v>
      </c>
      <c r="C27" s="436"/>
      <c r="D27" s="439" t="s">
        <v>355</v>
      </c>
      <c r="E27" s="433"/>
      <c r="F27" s="434" t="s">
        <v>173</v>
      </c>
      <c r="G27" s="436"/>
      <c r="H27" s="438" t="s">
        <v>356</v>
      </c>
    </row>
    <row r="28" spans="1:8" ht="15" customHeight="1">
      <c r="A28" s="433"/>
      <c r="B28" s="434" t="s">
        <v>114</v>
      </c>
      <c r="C28" s="436"/>
      <c r="D28" s="437">
        <v>32</v>
      </c>
      <c r="E28" s="433"/>
      <c r="F28" s="434" t="s">
        <v>117</v>
      </c>
      <c r="G28" s="436"/>
      <c r="H28" s="438" t="s">
        <v>357</v>
      </c>
    </row>
    <row r="29" spans="1:8" ht="15" customHeight="1">
      <c r="A29" s="433"/>
      <c r="B29" s="434" t="s">
        <v>116</v>
      </c>
      <c r="C29" s="436"/>
      <c r="D29" s="439" t="s">
        <v>358</v>
      </c>
      <c r="E29" s="433"/>
      <c r="F29" s="434" t="s">
        <v>119</v>
      </c>
      <c r="G29" s="436"/>
      <c r="H29" s="440"/>
    </row>
    <row r="30" spans="1:8" ht="15" customHeight="1">
      <c r="A30" s="433"/>
      <c r="B30" s="434" t="s">
        <v>118</v>
      </c>
      <c r="C30" s="436"/>
      <c r="D30" s="439" t="s">
        <v>341</v>
      </c>
      <c r="E30" s="433"/>
      <c r="F30" s="434" t="s">
        <v>121</v>
      </c>
      <c r="G30" s="436"/>
      <c r="H30" s="438" t="s">
        <v>339</v>
      </c>
    </row>
    <row r="31" spans="1:8" ht="15" customHeight="1">
      <c r="A31" s="433"/>
      <c r="B31" s="434" t="s">
        <v>120</v>
      </c>
      <c r="C31" s="436"/>
      <c r="D31" s="439" t="s">
        <v>333</v>
      </c>
      <c r="E31" s="428"/>
      <c r="F31" s="442" t="s">
        <v>122</v>
      </c>
      <c r="G31" s="430"/>
      <c r="H31" s="443">
        <v>21</v>
      </c>
    </row>
    <row r="32" spans="1:8" ht="24.95" customHeight="1">
      <c r="A32" s="433"/>
      <c r="B32" s="441" t="s">
        <v>225</v>
      </c>
      <c r="C32" s="436"/>
      <c r="D32" s="437">
        <v>49</v>
      </c>
      <c r="E32" s="433"/>
      <c r="F32" s="434" t="s">
        <v>124</v>
      </c>
      <c r="G32" s="436"/>
      <c r="H32" s="440">
        <v>33</v>
      </c>
    </row>
    <row r="33" spans="1:8" ht="15" customHeight="1">
      <c r="A33" s="433"/>
      <c r="B33" s="434" t="s">
        <v>123</v>
      </c>
      <c r="C33" s="436"/>
      <c r="D33" s="437">
        <v>12</v>
      </c>
      <c r="E33" s="433"/>
      <c r="F33" s="434" t="s">
        <v>127</v>
      </c>
      <c r="G33" s="436"/>
      <c r="H33" s="440">
        <v>17</v>
      </c>
    </row>
    <row r="34" spans="1:8" ht="15" customHeight="1">
      <c r="A34" s="433"/>
      <c r="B34" s="434" t="s">
        <v>125</v>
      </c>
      <c r="C34" s="436"/>
      <c r="D34" s="437">
        <v>37</v>
      </c>
      <c r="E34" s="433"/>
      <c r="F34" s="434" t="s">
        <v>129</v>
      </c>
      <c r="G34" s="436"/>
      <c r="H34" s="440">
        <v>10</v>
      </c>
    </row>
    <row r="35" spans="1:8" ht="15" customHeight="1">
      <c r="A35" s="433"/>
      <c r="B35" s="434" t="s">
        <v>126</v>
      </c>
      <c r="C35" s="436"/>
      <c r="D35" s="437">
        <v>23</v>
      </c>
      <c r="E35" s="433"/>
      <c r="F35" s="434" t="s">
        <v>226</v>
      </c>
      <c r="G35" s="436"/>
      <c r="H35" s="438" t="s">
        <v>359</v>
      </c>
    </row>
    <row r="36" spans="1:8" ht="15" customHeight="1">
      <c r="A36" s="433"/>
      <c r="B36" s="434" t="s">
        <v>128</v>
      </c>
      <c r="C36" s="419"/>
      <c r="D36" s="444">
        <v>26</v>
      </c>
      <c r="E36" s="419"/>
      <c r="F36" s="434" t="s">
        <v>174</v>
      </c>
      <c r="G36" s="436"/>
      <c r="H36" s="440">
        <v>7</v>
      </c>
    </row>
    <row r="37" spans="1:8" ht="15" customHeight="1">
      <c r="A37" s="433"/>
      <c r="B37" s="434" t="s">
        <v>130</v>
      </c>
      <c r="C37" s="419"/>
      <c r="D37" s="444">
        <v>13</v>
      </c>
      <c r="E37" s="419"/>
      <c r="F37" s="434" t="s">
        <v>175</v>
      </c>
      <c r="G37" s="436"/>
      <c r="H37" s="438" t="s">
        <v>346</v>
      </c>
    </row>
    <row r="38" spans="1:8" ht="15" customHeight="1">
      <c r="A38" s="433"/>
      <c r="B38" s="434" t="s">
        <v>176</v>
      </c>
      <c r="C38" s="436"/>
      <c r="D38" s="438" t="s">
        <v>351</v>
      </c>
      <c r="E38" s="419"/>
      <c r="F38" s="434" t="s">
        <v>131</v>
      </c>
      <c r="G38" s="436"/>
      <c r="H38" s="440">
        <v>7</v>
      </c>
    </row>
    <row r="39" spans="1:8" ht="15" customHeight="1">
      <c r="A39" s="433"/>
      <c r="B39" s="434" t="s">
        <v>82</v>
      </c>
      <c r="C39" s="436"/>
      <c r="D39" s="438" t="s">
        <v>360</v>
      </c>
      <c r="E39" s="419"/>
      <c r="F39" s="434" t="s">
        <v>227</v>
      </c>
      <c r="G39" s="436"/>
      <c r="H39" s="440"/>
    </row>
    <row r="40" spans="1:8" ht="9" customHeight="1">
      <c r="A40" s="445"/>
      <c r="B40" s="446"/>
      <c r="C40" s="447"/>
      <c r="D40" s="448"/>
      <c r="E40" s="447"/>
      <c r="F40" s="446"/>
      <c r="G40" s="449"/>
      <c r="H40" s="450"/>
    </row>
    <row r="41" spans="1:8" ht="24.95" customHeight="1">
      <c r="A41" s="419"/>
      <c r="B41" s="451" t="s">
        <v>361</v>
      </c>
      <c r="C41" s="236"/>
      <c r="D41" s="236"/>
      <c r="E41" s="419"/>
      <c r="G41" s="426"/>
      <c r="H41" s="426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view="pageBreakPreview" workbookViewId="0">
      <selection activeCell="A9" sqref="A9:IV17"/>
    </sheetView>
  </sheetViews>
  <sheetFormatPr defaultColWidth="10.28515625" defaultRowHeight="34.15" customHeight="1"/>
  <cols>
    <col min="1" max="1" width="1.7109375" style="129" customWidth="1"/>
    <col min="2" max="2" width="15.7109375" style="129" customWidth="1"/>
    <col min="3" max="4" width="1.7109375" style="129" customWidth="1"/>
    <col min="5" max="5" width="17.7109375" style="129" customWidth="1"/>
    <col min="6" max="6" width="1.7109375" style="129" customWidth="1"/>
    <col min="7" max="7" width="12.7109375" style="130" hidden="1" customWidth="1"/>
    <col min="8" max="8" width="1.7109375" style="130" hidden="1" customWidth="1"/>
    <col min="9" max="9" width="16.85546875" style="130" customWidth="1"/>
    <col min="10" max="10" width="3.28515625" style="130" customWidth="1"/>
    <col min="11" max="11" width="0.85546875" style="130" customWidth="1"/>
    <col min="12" max="12" width="33.5703125" style="130" customWidth="1"/>
    <col min="13" max="16384" width="10.28515625" style="129"/>
  </cols>
  <sheetData>
    <row r="1" spans="1:12" ht="20.100000000000001" customHeight="1">
      <c r="A1" s="129" t="s">
        <v>327</v>
      </c>
    </row>
    <row r="2" spans="1:12" s="133" customFormat="1" ht="39.950000000000003" customHeight="1">
      <c r="A2" s="131" t="s">
        <v>132</v>
      </c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</row>
    <row r="3" spans="1:12" ht="20.100000000000001" customHeight="1">
      <c r="A3" s="134"/>
      <c r="B3" s="134"/>
      <c r="C3" s="134"/>
      <c r="D3" s="134"/>
      <c r="E3" s="134"/>
      <c r="F3" s="134"/>
      <c r="G3" s="135"/>
      <c r="H3" s="135"/>
      <c r="I3" s="135"/>
      <c r="J3" s="135"/>
      <c r="K3" s="135"/>
      <c r="L3" s="135"/>
    </row>
    <row r="4" spans="1:12" ht="20.100000000000001" customHeight="1">
      <c r="B4" s="134"/>
      <c r="C4" s="136"/>
      <c r="D4" s="136"/>
      <c r="E4" s="136"/>
      <c r="F4" s="136"/>
      <c r="G4" s="135"/>
      <c r="H4" s="135"/>
      <c r="I4" s="135"/>
      <c r="J4" s="135"/>
      <c r="K4" s="135"/>
      <c r="L4" s="98" t="s">
        <v>34</v>
      </c>
    </row>
    <row r="5" spans="1:12" ht="50.1" customHeight="1">
      <c r="A5" s="141" t="s">
        <v>243</v>
      </c>
      <c r="B5" s="142"/>
      <c r="C5" s="143"/>
      <c r="D5" s="142" t="s">
        <v>244</v>
      </c>
      <c r="E5" s="142"/>
      <c r="F5" s="142"/>
      <c r="G5" s="144" t="s">
        <v>245</v>
      </c>
      <c r="H5" s="145"/>
      <c r="I5" s="144" t="s">
        <v>245</v>
      </c>
      <c r="J5" s="145"/>
      <c r="K5" s="144" t="s">
        <v>302</v>
      </c>
      <c r="L5" s="145"/>
    </row>
    <row r="6" spans="1:12" ht="9.9499999999999993" customHeight="1">
      <c r="A6" s="141"/>
      <c r="B6" s="142"/>
      <c r="C6" s="143"/>
      <c r="D6" s="142"/>
      <c r="E6" s="308"/>
      <c r="F6" s="142"/>
      <c r="G6" s="144"/>
      <c r="H6" s="145"/>
      <c r="I6" s="144"/>
      <c r="J6" s="145"/>
      <c r="K6" s="144"/>
      <c r="L6" s="145"/>
    </row>
    <row r="7" spans="1:12" ht="30" customHeight="1">
      <c r="A7" s="146"/>
      <c r="B7" s="147" t="str">
        <f>인집!B7</f>
        <v>운전기사</v>
      </c>
      <c r="C7" s="148"/>
      <c r="D7" s="307"/>
      <c r="E7" s="399" t="str">
        <f>인집!E7</f>
        <v>운전직(트레일러공)</v>
      </c>
      <c r="F7" s="307"/>
      <c r="G7" s="149">
        <f>식대!I7</f>
        <v>115000</v>
      </c>
      <c r="H7" s="150"/>
      <c r="I7" s="149">
        <f>G7</f>
        <v>115000</v>
      </c>
      <c r="J7" s="150"/>
      <c r="K7" s="149"/>
      <c r="L7" s="151"/>
    </row>
    <row r="8" spans="1:12" ht="30" customHeight="1">
      <c r="A8" s="146"/>
      <c r="B8" s="147" t="str">
        <f>인집!B8</f>
        <v>사무직</v>
      </c>
      <c r="C8" s="148"/>
      <c r="D8" s="307"/>
      <c r="E8" s="399" t="str">
        <f>인집!E8</f>
        <v>사무직</v>
      </c>
      <c r="F8" s="307"/>
      <c r="G8" s="149">
        <f>식대!I8</f>
        <v>115000</v>
      </c>
      <c r="H8" s="150"/>
      <c r="I8" s="149">
        <f>G8</f>
        <v>115000</v>
      </c>
      <c r="J8" s="150"/>
      <c r="K8" s="149"/>
      <c r="L8" s="151"/>
    </row>
  </sheetData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&amp;P+41 -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"/>
  <sheetViews>
    <sheetView showGridLines="0" showZeros="0" view="pageBreakPreview" zoomScale="90" workbookViewId="0">
      <selection activeCell="A9" sqref="A9:IV16"/>
    </sheetView>
  </sheetViews>
  <sheetFormatPr defaultRowHeight="29.25" customHeight="1"/>
  <cols>
    <col min="1" max="1" width="2.7109375" style="95" customWidth="1"/>
    <col min="2" max="2" width="14.7109375" style="9" customWidth="1"/>
    <col min="3" max="3" width="2.7109375" style="95" customWidth="1"/>
    <col min="4" max="4" width="1.7109375" style="31" customWidth="1"/>
    <col min="5" max="5" width="15.7109375" style="32" customWidth="1"/>
    <col min="6" max="6" width="1.7109375" style="31" customWidth="1"/>
    <col min="7" max="8" width="10.7109375" style="31" customWidth="1"/>
    <col min="9" max="9" width="12.7109375" style="31" customWidth="1"/>
    <col min="10" max="10" width="0.85546875" style="31" customWidth="1"/>
    <col min="11" max="11" width="69.85546875" style="31" customWidth="1"/>
    <col min="12" max="16384" width="9.140625" style="125"/>
  </cols>
  <sheetData>
    <row r="1" spans="1:14" ht="23.25" customHeight="1">
      <c r="A1" s="125" t="s">
        <v>328</v>
      </c>
    </row>
    <row r="2" spans="1:14" s="126" customFormat="1" ht="43.5" customHeight="1">
      <c r="A2" s="105" t="s">
        <v>371</v>
      </c>
      <c r="B2" s="106"/>
      <c r="C2" s="105"/>
      <c r="D2" s="96"/>
      <c r="E2" s="107"/>
      <c r="F2" s="96"/>
      <c r="G2" s="96"/>
      <c r="H2" s="96"/>
      <c r="I2" s="96"/>
      <c r="J2" s="96"/>
      <c r="K2" s="96"/>
    </row>
    <row r="3" spans="1:14" s="126" customFormat="1" ht="20.100000000000001" customHeight="1">
      <c r="A3" s="105"/>
      <c r="B3" s="106"/>
      <c r="C3" s="105"/>
      <c r="D3" s="96"/>
      <c r="E3" s="107"/>
      <c r="F3" s="96"/>
      <c r="G3" s="96"/>
      <c r="H3" s="96"/>
      <c r="I3" s="96"/>
      <c r="J3" s="96"/>
      <c r="K3" s="96"/>
    </row>
    <row r="4" spans="1:14" ht="20.100000000000001" customHeight="1">
      <c r="A4" s="109"/>
      <c r="K4" s="112" t="s">
        <v>37</v>
      </c>
    </row>
    <row r="5" spans="1:14" ht="30" customHeight="1">
      <c r="A5" s="116" t="s">
        <v>166</v>
      </c>
      <c r="B5" s="289" t="s">
        <v>201</v>
      </c>
      <c r="C5" s="289"/>
      <c r="D5" s="290"/>
      <c r="E5" s="289" t="s">
        <v>235</v>
      </c>
      <c r="F5" s="171"/>
      <c r="G5" s="363" t="s">
        <v>133</v>
      </c>
      <c r="H5" s="363" t="s">
        <v>134</v>
      </c>
      <c r="I5" s="363" t="s">
        <v>35</v>
      </c>
      <c r="J5" s="172" t="s">
        <v>135</v>
      </c>
      <c r="K5" s="171"/>
    </row>
    <row r="6" spans="1:14" s="127" customFormat="1" ht="21.95" customHeight="1">
      <c r="A6" s="114"/>
      <c r="B6" s="9"/>
      <c r="C6" s="104"/>
      <c r="D6" s="114"/>
      <c r="E6" s="9"/>
      <c r="F6" s="9"/>
      <c r="G6" s="114" t="s">
        <v>50</v>
      </c>
      <c r="H6" s="114" t="s">
        <v>12</v>
      </c>
      <c r="I6" s="329" t="s">
        <v>207</v>
      </c>
      <c r="J6" s="113"/>
      <c r="K6" s="364"/>
      <c r="L6" s="365" t="s">
        <v>275</v>
      </c>
      <c r="M6" s="365" t="s">
        <v>276</v>
      </c>
      <c r="N6" s="453" t="s">
        <v>367</v>
      </c>
    </row>
    <row r="7" spans="1:14" ht="21.95" customHeight="1">
      <c r="A7" s="114"/>
      <c r="B7" s="477" t="str">
        <f>인집!B7</f>
        <v>운전기사</v>
      </c>
      <c r="C7" s="478"/>
      <c r="D7" s="479"/>
      <c r="E7" s="480" t="str">
        <f>인집!E7</f>
        <v>운전직(트레일러공)</v>
      </c>
      <c r="F7" s="481"/>
      <c r="G7" s="482">
        <f>SUM(L7:N7)</f>
        <v>23</v>
      </c>
      <c r="H7" s="468">
        <v>5000</v>
      </c>
      <c r="I7" s="468">
        <f>TRUNC(G7*H7,-3)</f>
        <v>115000</v>
      </c>
      <c r="J7" s="483"/>
      <c r="K7" s="461" t="str">
        <f>""&amp;L7&amp;"(월근무일수) + "&amp;M7&amp;"(휴일근무일수)"</f>
        <v>21(월근무일수) + 2(휴일근무일수)</v>
      </c>
      <c r="L7" s="366">
        <f>월기본급!I9</f>
        <v>21</v>
      </c>
      <c r="M7" s="366">
        <f>휴일근로!$F$8</f>
        <v>2</v>
      </c>
      <c r="N7" s="366"/>
    </row>
    <row r="8" spans="1:14" ht="21.95" customHeight="1">
      <c r="A8" s="114"/>
      <c r="B8" s="477" t="str">
        <f>인집!B8</f>
        <v>사무직</v>
      </c>
      <c r="C8" s="478"/>
      <c r="D8" s="479"/>
      <c r="E8" s="480" t="str">
        <f>인집!E8</f>
        <v>사무직</v>
      </c>
      <c r="F8" s="481"/>
      <c r="G8" s="482">
        <f>SUM(L8:N8)</f>
        <v>23</v>
      </c>
      <c r="H8" s="468">
        <v>5000</v>
      </c>
      <c r="I8" s="468">
        <f>TRUNC(G8*H8,-3)</f>
        <v>115000</v>
      </c>
      <c r="J8" s="483"/>
      <c r="K8" s="461" t="str">
        <f>""&amp;L8&amp;"(월근무일수) + "&amp;M8&amp;"(휴일근무일수)"</f>
        <v>21(월근무일수) + 2(휴일근무일수)</v>
      </c>
      <c r="L8" s="366">
        <f>월기본급!I10</f>
        <v>21</v>
      </c>
      <c r="M8" s="366">
        <f>휴일근로!$F$8</f>
        <v>2</v>
      </c>
      <c r="N8" s="366"/>
    </row>
    <row r="9" spans="1:14" ht="18.95" customHeight="1">
      <c r="A9" s="110" t="str">
        <f>"주 1) 수량 : "&amp;월기본급!A1&amp;월기본급!A2&amp;" 참조"</f>
        <v>주 1) 수량 : &lt; 표 : 8 &gt; M/M당기본급산출표 참조</v>
      </c>
    </row>
    <row r="10" spans="1:14" ht="18.95" customHeight="1">
      <c r="A10" s="110" t="s">
        <v>167</v>
      </c>
    </row>
    <row r="11" spans="1:14" ht="18.95" customHeight="1">
      <c r="A11" s="324" t="s">
        <v>262</v>
      </c>
    </row>
  </sheetData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&amp;P+42 -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view="pageBreakPreview" workbookViewId="0">
      <selection activeCell="A10" sqref="A10:IV17"/>
    </sheetView>
  </sheetViews>
  <sheetFormatPr defaultRowHeight="27" customHeight="1"/>
  <cols>
    <col min="1" max="1" width="1.7109375" style="273" customWidth="1"/>
    <col min="2" max="2" width="14.7109375" style="273" customWidth="1"/>
    <col min="3" max="3" width="1.7109375" style="273" customWidth="1"/>
    <col min="4" max="4" width="1.7109375" style="274" customWidth="1"/>
    <col min="5" max="5" width="15.7109375" style="274" customWidth="1"/>
    <col min="6" max="6" width="1.7109375" style="274" customWidth="1"/>
    <col min="7" max="7" width="14.7109375" style="273" customWidth="1"/>
    <col min="8" max="8" width="2.7109375" style="273" customWidth="1"/>
    <col min="9" max="9" width="9.7109375" style="273" customWidth="1"/>
    <col min="10" max="10" width="13.7109375" style="275" customWidth="1"/>
    <col min="11" max="11" width="3.7109375" style="302" customWidth="1"/>
    <col min="12" max="12" width="13.5703125" style="275" customWidth="1"/>
    <col min="13" max="16384" width="9.140625" style="273"/>
  </cols>
  <sheetData>
    <row r="1" spans="1:12" ht="20.100000000000001" customHeight="1">
      <c r="A1" s="271" t="s">
        <v>321</v>
      </c>
      <c r="B1" s="272"/>
      <c r="I1" s="274"/>
    </row>
    <row r="2" spans="1:12" s="67" customFormat="1" ht="39.950000000000003" customHeight="1">
      <c r="A2" s="66" t="s">
        <v>331</v>
      </c>
      <c r="B2" s="66"/>
      <c r="C2" s="66"/>
      <c r="D2" s="93"/>
      <c r="E2" s="93"/>
      <c r="F2" s="93"/>
      <c r="G2" s="66"/>
      <c r="H2" s="66"/>
      <c r="I2" s="66"/>
      <c r="J2" s="66"/>
      <c r="K2" s="93"/>
      <c r="L2" s="66"/>
    </row>
    <row r="3" spans="1:12" s="67" customFormat="1" ht="20.100000000000001" customHeight="1">
      <c r="A3" s="66"/>
      <c r="B3" s="66"/>
      <c r="C3" s="66"/>
      <c r="D3" s="93"/>
      <c r="E3" s="93"/>
      <c r="F3" s="93"/>
      <c r="G3" s="66"/>
      <c r="H3" s="66"/>
      <c r="I3" s="66"/>
      <c r="J3" s="66"/>
      <c r="K3" s="93"/>
      <c r="L3" s="66"/>
    </row>
    <row r="4" spans="1:12" ht="20.100000000000001" customHeight="1">
      <c r="A4" s="276"/>
      <c r="B4" s="274"/>
      <c r="C4" s="274"/>
      <c r="G4" s="277"/>
      <c r="H4" s="277"/>
      <c r="I4" s="278"/>
      <c r="J4" s="279"/>
      <c r="K4" s="279"/>
      <c r="L4" s="360" t="s">
        <v>270</v>
      </c>
    </row>
    <row r="5" spans="1:12" s="274" customFormat="1" ht="50.1" customHeight="1">
      <c r="A5" s="288"/>
      <c r="B5" s="289" t="s">
        <v>201</v>
      </c>
      <c r="C5" s="289"/>
      <c r="D5" s="290"/>
      <c r="E5" s="289" t="s">
        <v>235</v>
      </c>
      <c r="F5" s="291"/>
      <c r="G5" s="293" t="s">
        <v>239</v>
      </c>
      <c r="H5" s="297"/>
      <c r="I5" s="299" t="s">
        <v>200</v>
      </c>
      <c r="J5" s="300" t="s">
        <v>236</v>
      </c>
      <c r="K5" s="303"/>
      <c r="L5" s="292" t="s">
        <v>240</v>
      </c>
    </row>
    <row r="6" spans="1:12" s="274" customFormat="1" ht="9.9499999999999993" customHeight="1">
      <c r="A6" s="280"/>
      <c r="B6" s="281"/>
      <c r="C6" s="281"/>
      <c r="D6" s="282"/>
      <c r="E6" s="281"/>
      <c r="F6" s="283"/>
      <c r="G6" s="294"/>
      <c r="H6" s="296"/>
      <c r="I6" s="283"/>
      <c r="J6" s="301"/>
      <c r="K6" s="304"/>
      <c r="L6" s="284"/>
    </row>
    <row r="7" spans="1:12" ht="30" customHeight="1">
      <c r="A7" s="280"/>
      <c r="B7" s="274"/>
      <c r="C7" s="274"/>
      <c r="D7" s="280"/>
      <c r="F7" s="285"/>
      <c r="G7" s="282" t="s">
        <v>202</v>
      </c>
      <c r="H7" s="283"/>
      <c r="I7" s="296" t="s">
        <v>241</v>
      </c>
      <c r="J7" s="301"/>
      <c r="K7" s="304"/>
      <c r="L7" s="284"/>
    </row>
    <row r="8" spans="1:12" ht="30" customHeight="1">
      <c r="A8" s="280"/>
      <c r="B8" s="286" t="str">
        <f>인집!B7</f>
        <v>운전기사</v>
      </c>
      <c r="C8" s="274"/>
      <c r="D8" s="280"/>
      <c r="E8" s="398" t="str">
        <f>인집!E7</f>
        <v>운전직(트레일러공)</v>
      </c>
      <c r="F8" s="285"/>
      <c r="G8" s="295">
        <f>인집!K7-인집!J7</f>
        <v>1790726</v>
      </c>
      <c r="H8" s="298"/>
      <c r="I8" s="414">
        <v>0</v>
      </c>
      <c r="J8" s="295"/>
      <c r="K8" s="298"/>
      <c r="L8" s="287"/>
    </row>
    <row r="9" spans="1:12" ht="30" customHeight="1">
      <c r="A9" s="280"/>
      <c r="B9" s="286" t="str">
        <f>인집!B8</f>
        <v>사무직</v>
      </c>
      <c r="C9" s="274"/>
      <c r="D9" s="280"/>
      <c r="E9" s="398" t="str">
        <f>인집!E8</f>
        <v>사무직</v>
      </c>
      <c r="F9" s="285"/>
      <c r="G9" s="295">
        <f>인집!K8-인집!J8</f>
        <v>1552905</v>
      </c>
      <c r="H9" s="298"/>
      <c r="I9" s="305">
        <f>I8</f>
        <v>0</v>
      </c>
      <c r="J9" s="295"/>
      <c r="K9" s="298"/>
      <c r="L9" s="287"/>
    </row>
    <row r="10" spans="1:12" ht="24.95" customHeight="1">
      <c r="A10" s="271" t="str">
        <f>"주 1) 적용대상액(급여액) : "&amp;인집!A1&amp;인집!A2&amp;" 참조"</f>
        <v>주 1) 적용대상액(급여액) : &lt; 표 : 4 &gt; 단위당인건비집계표 참조</v>
      </c>
      <c r="B10" s="271"/>
      <c r="I10" s="274"/>
    </row>
    <row r="11" spans="1:12" ht="24.95" customHeight="1">
      <c r="A11" s="554" t="s">
        <v>365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</row>
    <row r="12" spans="1:12" ht="27" customHeight="1">
      <c r="A12" s="272"/>
      <c r="B12" s="271"/>
      <c r="I12" s="274"/>
    </row>
    <row r="13" spans="1:12" ht="27" customHeight="1">
      <c r="B13" s="271"/>
    </row>
  </sheetData>
  <mergeCells count="1">
    <mergeCell ref="A11:L11"/>
  </mergeCells>
  <phoneticPr fontId="7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&amp;P+43 -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"/>
  <sheetViews>
    <sheetView showGridLines="0" showZeros="0" view="pageBreakPreview" workbookViewId="0">
      <selection activeCell="L13" sqref="L13"/>
    </sheetView>
  </sheetViews>
  <sheetFormatPr defaultRowHeight="27" customHeight="1"/>
  <cols>
    <col min="1" max="1" width="1.7109375" style="273" customWidth="1"/>
    <col min="2" max="2" width="14.7109375" style="273" customWidth="1"/>
    <col min="3" max="3" width="1.7109375" style="273" customWidth="1"/>
    <col min="4" max="4" width="1.7109375" style="274" customWidth="1"/>
    <col min="5" max="5" width="15.7109375" style="274" customWidth="1"/>
    <col min="6" max="6" width="1.7109375" style="274" customWidth="1"/>
    <col min="7" max="7" width="12.7109375" style="273" customWidth="1"/>
    <col min="8" max="8" width="1.7109375" style="273" customWidth="1"/>
    <col min="9" max="9" width="9.7109375" style="273" customWidth="1"/>
    <col min="10" max="10" width="13.7109375" style="275" customWidth="1"/>
    <col min="11" max="11" width="2.7109375" style="302" customWidth="1"/>
    <col min="12" max="12" width="17.5703125" style="275" customWidth="1"/>
    <col min="13" max="16384" width="9.140625" style="273"/>
  </cols>
  <sheetData>
    <row r="1" spans="1:12" ht="20.100000000000001" customHeight="1">
      <c r="A1" s="271" t="s">
        <v>322</v>
      </c>
      <c r="B1" s="272"/>
      <c r="I1" s="274"/>
    </row>
    <row r="2" spans="1:12" s="67" customFormat="1" ht="39.950000000000003" customHeight="1">
      <c r="A2" s="66" t="s">
        <v>255</v>
      </c>
      <c r="B2" s="66"/>
      <c r="C2" s="66"/>
      <c r="D2" s="93"/>
      <c r="E2" s="93"/>
      <c r="F2" s="93"/>
      <c r="G2" s="66"/>
      <c r="H2" s="66"/>
      <c r="I2" s="66"/>
      <c r="J2" s="66"/>
      <c r="K2" s="93"/>
      <c r="L2" s="66"/>
    </row>
    <row r="3" spans="1:12" s="67" customFormat="1" ht="20.100000000000001" customHeight="1">
      <c r="A3" s="66"/>
      <c r="B3" s="66"/>
      <c r="C3" s="66"/>
      <c r="D3" s="93"/>
      <c r="E3" s="93"/>
      <c r="F3" s="93"/>
      <c r="G3" s="66"/>
      <c r="H3" s="66"/>
      <c r="I3" s="66"/>
      <c r="J3" s="66"/>
      <c r="K3" s="93"/>
      <c r="L3" s="66"/>
    </row>
    <row r="4" spans="1:12" ht="20.100000000000001" customHeight="1">
      <c r="A4" s="276"/>
      <c r="B4" s="274"/>
      <c r="C4" s="274"/>
      <c r="G4" s="277"/>
      <c r="H4" s="277"/>
      <c r="I4" s="278"/>
      <c r="J4" s="279"/>
      <c r="K4" s="279"/>
      <c r="L4" s="360" t="s">
        <v>270</v>
      </c>
    </row>
    <row r="5" spans="1:12" s="274" customFormat="1" ht="50.1" customHeight="1">
      <c r="A5" s="288"/>
      <c r="B5" s="289" t="s">
        <v>201</v>
      </c>
      <c r="C5" s="289"/>
      <c r="D5" s="290"/>
      <c r="E5" s="289" t="s">
        <v>235</v>
      </c>
      <c r="F5" s="291"/>
      <c r="G5" s="293" t="s">
        <v>257</v>
      </c>
      <c r="H5" s="297"/>
      <c r="I5" s="299" t="s">
        <v>256</v>
      </c>
      <c r="J5" s="300" t="s">
        <v>258</v>
      </c>
      <c r="K5" s="303"/>
      <c r="L5" s="292" t="s">
        <v>240</v>
      </c>
    </row>
    <row r="6" spans="1:12" s="274" customFormat="1" ht="9.9499999999999993" customHeight="1">
      <c r="A6" s="280"/>
      <c r="B6" s="281"/>
      <c r="C6" s="281"/>
      <c r="D6" s="282"/>
      <c r="E6" s="281"/>
      <c r="F6" s="283"/>
      <c r="G6" s="294"/>
      <c r="H6" s="296"/>
      <c r="I6" s="283"/>
      <c r="J6" s="301"/>
      <c r="K6" s="304"/>
      <c r="L6" s="284"/>
    </row>
    <row r="7" spans="1:12" ht="30" customHeight="1">
      <c r="A7" s="280"/>
      <c r="B7" s="286" t="str">
        <f>인집!B7</f>
        <v>운전기사</v>
      </c>
      <c r="C7" s="274"/>
      <c r="D7" s="280"/>
      <c r="E7" s="398" t="str">
        <f>인집!E7</f>
        <v>운전직(트레일러공)</v>
      </c>
      <c r="F7" s="285"/>
      <c r="G7" s="295"/>
      <c r="H7" s="298"/>
      <c r="I7" s="321">
        <v>12</v>
      </c>
      <c r="J7" s="295">
        <f>TRUNC(G7/I7)</f>
        <v>0</v>
      </c>
      <c r="K7" s="298"/>
      <c r="L7" s="287"/>
    </row>
    <row r="8" spans="1:12" ht="30" customHeight="1">
      <c r="A8" s="280"/>
      <c r="B8" s="286" t="str">
        <f>인집!B8</f>
        <v>사무직</v>
      </c>
      <c r="C8" s="274"/>
      <c r="D8" s="280"/>
      <c r="E8" s="398" t="str">
        <f>인집!E8</f>
        <v>사무직</v>
      </c>
      <c r="F8" s="285"/>
      <c r="G8" s="295"/>
      <c r="H8" s="298"/>
      <c r="I8" s="321">
        <f>I7</f>
        <v>12</v>
      </c>
      <c r="J8" s="295">
        <f>TRUNC(G8/I8)</f>
        <v>0</v>
      </c>
      <c r="K8" s="298"/>
      <c r="L8" s="287"/>
    </row>
    <row r="9" spans="1:12" ht="24.95" customHeight="1">
      <c r="A9" s="271" t="s">
        <v>269</v>
      </c>
      <c r="B9" s="271"/>
      <c r="I9" s="274"/>
    </row>
    <row r="10" spans="1:12" ht="27" customHeight="1">
      <c r="A10" s="272"/>
      <c r="B10" s="271"/>
      <c r="I10" s="274"/>
    </row>
    <row r="11" spans="1:12" ht="27" customHeight="1">
      <c r="B11" s="271"/>
      <c r="I11" s="274"/>
    </row>
  </sheetData>
  <phoneticPr fontId="7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&amp;P+44 -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view="pageBreakPreview" workbookViewId="0">
      <selection activeCell="J10" sqref="J10"/>
    </sheetView>
  </sheetViews>
  <sheetFormatPr defaultRowHeight="27" customHeight="1"/>
  <cols>
    <col min="1" max="1" width="1.7109375" style="82" customWidth="1"/>
    <col min="2" max="2" width="12.7109375" style="82" customWidth="1"/>
    <col min="3" max="3" width="1.7109375" style="82" customWidth="1"/>
    <col min="4" max="4" width="1.7109375" style="72" customWidth="1"/>
    <col min="5" max="5" width="14.7109375" style="72" customWidth="1"/>
    <col min="6" max="6" width="1.7109375" style="72" customWidth="1"/>
    <col min="7" max="7" width="13.140625" style="82" customWidth="1"/>
    <col min="8" max="8" width="12.7109375" style="82" customWidth="1"/>
    <col min="9" max="9" width="13.7109375" style="82" customWidth="1"/>
    <col min="10" max="10" width="8.7109375" style="82" customWidth="1"/>
    <col min="11" max="11" width="12.7109375" style="85" customWidth="1"/>
    <col min="12" max="16384" width="9.140625" style="82"/>
  </cols>
  <sheetData>
    <row r="1" spans="1:11" ht="20.100000000000001" customHeight="1">
      <c r="A1" s="65" t="s">
        <v>303</v>
      </c>
      <c r="B1" s="86"/>
      <c r="J1" s="72"/>
    </row>
    <row r="2" spans="1:11" s="67" customFormat="1" ht="39.950000000000003" customHeight="1">
      <c r="A2" s="66" t="s">
        <v>136</v>
      </c>
      <c r="B2" s="66"/>
      <c r="C2" s="66"/>
      <c r="D2" s="93"/>
      <c r="E2" s="93"/>
      <c r="F2" s="93"/>
      <c r="G2" s="66"/>
      <c r="H2" s="66"/>
      <c r="I2" s="66"/>
      <c r="J2" s="66"/>
      <c r="K2" s="66"/>
    </row>
    <row r="3" spans="1:11" s="67" customFormat="1" ht="20.100000000000001" customHeight="1">
      <c r="A3" s="66"/>
      <c r="B3" s="66"/>
      <c r="C3" s="66"/>
      <c r="D3" s="93"/>
      <c r="E3" s="93"/>
      <c r="F3" s="93"/>
      <c r="G3" s="66"/>
      <c r="H3" s="66"/>
      <c r="I3" s="66"/>
      <c r="J3" s="66"/>
      <c r="K3" s="66"/>
    </row>
    <row r="4" spans="1:11" ht="20.100000000000001" customHeight="1">
      <c r="A4" s="242"/>
      <c r="B4" s="72"/>
      <c r="C4" s="72"/>
      <c r="G4" s="243"/>
      <c r="H4" s="243"/>
      <c r="I4" s="243"/>
      <c r="J4" s="244"/>
      <c r="K4" s="360" t="s">
        <v>270</v>
      </c>
    </row>
    <row r="5" spans="1:11" s="72" customFormat="1" ht="24.95" customHeight="1">
      <c r="A5" s="68"/>
      <c r="B5" s="560" t="s">
        <v>137</v>
      </c>
      <c r="C5" s="69"/>
      <c r="D5" s="562"/>
      <c r="E5" s="560" t="s">
        <v>138</v>
      </c>
      <c r="F5" s="564"/>
      <c r="G5" s="71" t="s">
        <v>139</v>
      </c>
      <c r="H5" s="71"/>
      <c r="I5" s="71"/>
      <c r="J5" s="556" t="s">
        <v>200</v>
      </c>
      <c r="K5" s="558" t="s">
        <v>140</v>
      </c>
    </row>
    <row r="6" spans="1:11" s="72" customFormat="1" ht="24.95" customHeight="1">
      <c r="A6" s="73"/>
      <c r="B6" s="561"/>
      <c r="C6" s="74"/>
      <c r="D6" s="563"/>
      <c r="E6" s="561"/>
      <c r="F6" s="565"/>
      <c r="G6" s="76" t="s">
        <v>141</v>
      </c>
      <c r="H6" s="76" t="s">
        <v>142</v>
      </c>
      <c r="I6" s="76" t="s">
        <v>16</v>
      </c>
      <c r="J6" s="557"/>
      <c r="K6" s="559"/>
    </row>
    <row r="7" spans="1:11" s="72" customFormat="1" ht="9.9499999999999993" customHeight="1">
      <c r="A7" s="77"/>
      <c r="B7" s="84"/>
      <c r="C7" s="84"/>
      <c r="D7" s="90"/>
      <c r="E7" s="84"/>
      <c r="F7" s="91"/>
      <c r="G7" s="80"/>
      <c r="H7" s="80"/>
      <c r="I7" s="80"/>
      <c r="J7" s="79"/>
      <c r="K7" s="81"/>
    </row>
    <row r="8" spans="1:11" ht="30" customHeight="1">
      <c r="A8" s="77"/>
      <c r="B8" s="72"/>
      <c r="C8" s="72"/>
      <c r="D8" s="77"/>
      <c r="F8" s="78"/>
      <c r="G8" s="79" t="s">
        <v>237</v>
      </c>
      <c r="H8" s="79" t="s">
        <v>2</v>
      </c>
      <c r="I8" s="79"/>
      <c r="J8" s="80" t="s">
        <v>238</v>
      </c>
      <c r="K8" s="81"/>
    </row>
    <row r="9" spans="1:11" ht="30" customHeight="1">
      <c r="A9" s="77"/>
      <c r="B9" s="83" t="str">
        <f>인집!B7</f>
        <v>운전기사</v>
      </c>
      <c r="C9" s="72"/>
      <c r="D9" s="77"/>
      <c r="E9" s="397" t="str">
        <f>인집!E7</f>
        <v>운전직(트레일러공)</v>
      </c>
      <c r="F9" s="78"/>
      <c r="G9" s="89">
        <f>인집!K7</f>
        <v>1790726</v>
      </c>
      <c r="H9" s="89">
        <f>경비집계표!E19</f>
        <v>298001</v>
      </c>
      <c r="I9" s="89">
        <f>SUM(G9:H9)</f>
        <v>2088727</v>
      </c>
      <c r="J9" s="87">
        <v>3</v>
      </c>
      <c r="K9" s="89">
        <f>TRUNC(I9*J9%,0)</f>
        <v>62661</v>
      </c>
    </row>
    <row r="10" spans="1:11" ht="30" customHeight="1">
      <c r="A10" s="77"/>
      <c r="B10" s="83" t="str">
        <f>인집!B8</f>
        <v>사무직</v>
      </c>
      <c r="C10" s="72"/>
      <c r="D10" s="77"/>
      <c r="E10" s="397" t="str">
        <f>인집!E8</f>
        <v>사무직</v>
      </c>
      <c r="F10" s="78"/>
      <c r="G10" s="89">
        <f>인집!K8</f>
        <v>1677345</v>
      </c>
      <c r="H10" s="89">
        <f>경비집계표!F19</f>
        <v>273697</v>
      </c>
      <c r="I10" s="89">
        <f>SUM(G10:H10)</f>
        <v>1951042</v>
      </c>
      <c r="J10" s="87">
        <f>J9</f>
        <v>3</v>
      </c>
      <c r="K10" s="89">
        <f>TRUNC(I10*J10%,0)</f>
        <v>58531</v>
      </c>
    </row>
    <row r="11" spans="1:11" ht="24.95" customHeight="1">
      <c r="A11" s="65" t="str">
        <f>"주 1) 인건비 : "&amp;인집!A1&amp;""&amp;인집!A2&amp;" 참조"</f>
        <v>주 1) 인건비 : &lt; 표 : 4 &gt; 단위당인건비집계표 참조</v>
      </c>
      <c r="B11" s="65"/>
      <c r="J11" s="72"/>
    </row>
    <row r="12" spans="1:11" ht="24.95" customHeight="1">
      <c r="A12" s="86" t="str">
        <f>"   2) 경비 : "&amp;경비집계표!A1&amp;""&amp;경비집계표!A2&amp;" 참조"</f>
        <v xml:space="preserve">   2) 경비 : &lt; 표 : 11 &gt; 경비집계표 참조</v>
      </c>
      <c r="B12" s="65"/>
      <c r="J12" s="72"/>
    </row>
    <row r="13" spans="1:11" ht="24.95" customHeight="1">
      <c r="A13" s="65" t="e">
        <f>"   3) 비율(%) : "&amp;#REF!&amp;""&amp;#REF!&amp;" 참조"</f>
        <v>#REF!</v>
      </c>
      <c r="B13" s="86"/>
      <c r="J13" s="72"/>
    </row>
    <row r="14" spans="1:11" ht="27" customHeight="1">
      <c r="A14" s="86"/>
      <c r="B14" s="65"/>
      <c r="J14" s="72"/>
    </row>
    <row r="15" spans="1:11" ht="27" customHeight="1">
      <c r="B15" s="65"/>
    </row>
  </sheetData>
  <mergeCells count="6">
    <mergeCell ref="J5:J6"/>
    <mergeCell ref="K5:K6"/>
    <mergeCell ref="B5:B6"/>
    <mergeCell ref="D5:D6"/>
    <mergeCell ref="E5:E6"/>
    <mergeCell ref="F5:F6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80" orientation="portrait" r:id="rId1"/>
  <headerFooter alignWithMargins="0">
    <oddFooter>&amp;C- &amp;P+45 -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view="pageBreakPreview" zoomScaleSheetLayoutView="100" workbookViewId="0">
      <selection activeCell="K10" sqref="K10"/>
    </sheetView>
  </sheetViews>
  <sheetFormatPr defaultRowHeight="27" customHeight="1"/>
  <cols>
    <col min="1" max="1" width="1.7109375" style="82" customWidth="1"/>
    <col min="2" max="2" width="12.7109375" style="82" customWidth="1"/>
    <col min="3" max="3" width="1.7109375" style="82" customWidth="1"/>
    <col min="4" max="4" width="0.85546875" style="82" customWidth="1"/>
    <col min="5" max="5" width="14.7109375" style="82" customWidth="1"/>
    <col min="6" max="6" width="0.85546875" style="82" customWidth="1"/>
    <col min="7" max="7" width="11.7109375" style="82" customWidth="1"/>
    <col min="8" max="9" width="10.7109375" style="82" customWidth="1"/>
    <col min="10" max="10" width="11.7109375" style="82" customWidth="1"/>
    <col min="11" max="11" width="7.28515625" style="82" customWidth="1"/>
    <col min="12" max="12" width="10.7109375" style="85" customWidth="1"/>
    <col min="13" max="16384" width="9.140625" style="82"/>
  </cols>
  <sheetData>
    <row r="1" spans="1:12" ht="20.100000000000001" customHeight="1">
      <c r="A1" s="65" t="s">
        <v>329</v>
      </c>
      <c r="B1" s="86"/>
      <c r="K1" s="72"/>
    </row>
    <row r="2" spans="1:12" ht="39.950000000000003" customHeight="1">
      <c r="A2" s="66" t="s">
        <v>153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0.100000000000001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0.100000000000001" customHeight="1">
      <c r="A4" s="242"/>
      <c r="B4" s="72"/>
      <c r="C4" s="72"/>
      <c r="D4" s="72"/>
      <c r="E4" s="72"/>
      <c r="F4" s="72"/>
      <c r="G4" s="243"/>
      <c r="H4" s="243"/>
      <c r="I4" s="243"/>
      <c r="J4" s="243"/>
      <c r="K4" s="244"/>
      <c r="L4" s="360" t="s">
        <v>270</v>
      </c>
    </row>
    <row r="5" spans="1:12" s="72" customFormat="1" ht="24.95" customHeight="1">
      <c r="A5" s="68"/>
      <c r="B5" s="560" t="s">
        <v>154</v>
      </c>
      <c r="C5" s="69"/>
      <c r="D5" s="562"/>
      <c r="E5" s="560" t="s">
        <v>155</v>
      </c>
      <c r="F5" s="70"/>
      <c r="G5" s="71" t="s">
        <v>156</v>
      </c>
      <c r="H5" s="71"/>
      <c r="I5" s="71"/>
      <c r="J5" s="71"/>
      <c r="K5" s="556" t="s">
        <v>200</v>
      </c>
      <c r="L5" s="558" t="s">
        <v>157</v>
      </c>
    </row>
    <row r="6" spans="1:12" s="72" customFormat="1" ht="24.95" customHeight="1">
      <c r="A6" s="73"/>
      <c r="B6" s="561"/>
      <c r="C6" s="74"/>
      <c r="D6" s="563"/>
      <c r="E6" s="561"/>
      <c r="F6" s="75"/>
      <c r="G6" s="76" t="s">
        <v>158</v>
      </c>
      <c r="H6" s="76" t="s">
        <v>159</v>
      </c>
      <c r="I6" s="76" t="s">
        <v>160</v>
      </c>
      <c r="J6" s="76" t="s">
        <v>161</v>
      </c>
      <c r="K6" s="557"/>
      <c r="L6" s="559"/>
    </row>
    <row r="7" spans="1:12" s="72" customFormat="1" ht="9.9499999999999993" customHeight="1">
      <c r="A7" s="77"/>
      <c r="B7" s="84"/>
      <c r="C7" s="84"/>
      <c r="D7" s="90"/>
      <c r="E7" s="84"/>
      <c r="F7" s="91"/>
      <c r="G7" s="80"/>
      <c r="H7" s="80"/>
      <c r="I7" s="80"/>
      <c r="J7" s="80"/>
      <c r="K7" s="79"/>
      <c r="L7" s="81"/>
    </row>
    <row r="8" spans="1:12" ht="30" customHeight="1">
      <c r="A8" s="77"/>
      <c r="B8" s="72"/>
      <c r="C8" s="72"/>
      <c r="D8" s="77"/>
      <c r="E8" s="72"/>
      <c r="F8" s="78"/>
      <c r="G8" s="79" t="s">
        <v>162</v>
      </c>
      <c r="H8" s="79" t="s">
        <v>163</v>
      </c>
      <c r="I8" s="79" t="s">
        <v>164</v>
      </c>
      <c r="J8" s="79"/>
      <c r="K8" s="80" t="s">
        <v>165</v>
      </c>
      <c r="L8" s="81"/>
    </row>
    <row r="9" spans="1:12" ht="30" customHeight="1">
      <c r="A9" s="77"/>
      <c r="B9" s="83" t="str">
        <f>일반!B9</f>
        <v>운전기사</v>
      </c>
      <c r="C9" s="72"/>
      <c r="D9" s="77"/>
      <c r="E9" s="397" t="str">
        <f>일반!E9</f>
        <v>운전직(트레일러공)</v>
      </c>
      <c r="F9" s="78"/>
      <c r="G9" s="89">
        <f>일반!G9</f>
        <v>1790726</v>
      </c>
      <c r="H9" s="89">
        <f>일반!H9</f>
        <v>298001</v>
      </c>
      <c r="I9" s="89">
        <f>일반!K9</f>
        <v>62661</v>
      </c>
      <c r="J9" s="89">
        <f>SUM(G9:I9)</f>
        <v>2151388</v>
      </c>
      <c r="K9" s="87">
        <v>5</v>
      </c>
      <c r="L9" s="89">
        <f>TRUNC(J9*K9%,0)</f>
        <v>107569</v>
      </c>
    </row>
    <row r="10" spans="1:12" ht="30" customHeight="1">
      <c r="A10" s="77"/>
      <c r="B10" s="83" t="str">
        <f>일반!B10</f>
        <v>사무직</v>
      </c>
      <c r="C10" s="72"/>
      <c r="D10" s="77"/>
      <c r="E10" s="397" t="str">
        <f>일반!E10</f>
        <v>사무직</v>
      </c>
      <c r="F10" s="78"/>
      <c r="G10" s="89">
        <f>일반!G10</f>
        <v>1677345</v>
      </c>
      <c r="H10" s="89">
        <f>일반!H10</f>
        <v>273697</v>
      </c>
      <c r="I10" s="89">
        <f>일반!K10</f>
        <v>58531</v>
      </c>
      <c r="J10" s="89">
        <f>SUM(G10:I10)</f>
        <v>2009573</v>
      </c>
      <c r="K10" s="88">
        <f>K9</f>
        <v>5</v>
      </c>
      <c r="L10" s="89">
        <f>TRUNC(J10*K10%,0)</f>
        <v>100478</v>
      </c>
    </row>
    <row r="11" spans="1:12" ht="20.100000000000001" customHeight="1">
      <c r="A11" s="65" t="str">
        <f>"주 1) 인건비 : "&amp;인집!A1&amp;인집!A2&amp;" 참조"</f>
        <v>주 1) 인건비 : &lt; 표 : 4 &gt; 단위당인건비집계표 참조</v>
      </c>
      <c r="B11" s="65"/>
      <c r="K11" s="72"/>
    </row>
    <row r="12" spans="1:12" ht="20.100000000000001" customHeight="1">
      <c r="A12" s="86" t="str">
        <f>"   2) 경비 : "&amp;경비집계표!A1&amp;" "&amp;경비집계표!A2&amp;" 참조"</f>
        <v xml:space="preserve">   2) 경비 : &lt; 표 : 11 &gt;  경비집계표 참조</v>
      </c>
      <c r="B12" s="65"/>
      <c r="K12" s="72"/>
    </row>
    <row r="13" spans="1:12" ht="20.100000000000001" customHeight="1">
      <c r="A13" s="65" t="str">
        <f>"   3) 일반관리비 : "&amp;일반!A1&amp;일반!A2&amp;" 참조"</f>
        <v xml:space="preserve">   3) 일반관리비 : &lt; 표 : 19 &gt; 일반관리비산출표 참조</v>
      </c>
      <c r="B13" s="65"/>
      <c r="K13" s="72"/>
    </row>
    <row r="14" spans="1:12" ht="20.100000000000001" customHeight="1">
      <c r="A14" s="65" t="str">
        <f>"   4) 비율(%) : "&amp;이윤율!A1&amp;이윤율!A2&amp;" 참조"</f>
        <v xml:space="preserve">   4) 비율(%) : &lt; 표 : 22 &gt; 이윤비율표 참조</v>
      </c>
      <c r="B14" s="86"/>
      <c r="K14" s="72"/>
    </row>
    <row r="15" spans="1:12" ht="27" customHeight="1">
      <c r="A15" s="86"/>
      <c r="B15" s="65"/>
      <c r="K15" s="72"/>
    </row>
    <row r="16" spans="1:12" ht="27" customHeight="1">
      <c r="B16" s="65"/>
    </row>
  </sheetData>
  <mergeCells count="5">
    <mergeCell ref="L5:L6"/>
    <mergeCell ref="B5:B6"/>
    <mergeCell ref="D5:D6"/>
    <mergeCell ref="E5:E6"/>
    <mergeCell ref="K5:K6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83" orientation="portrait" r:id="rId1"/>
  <headerFooter alignWithMargins="0">
    <oddFooter>&amp;C- &amp;P+47 -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view="pageBreakPreview" workbookViewId="0">
      <selection activeCell="E9" sqref="E9"/>
    </sheetView>
  </sheetViews>
  <sheetFormatPr defaultColWidth="11.42578125" defaultRowHeight="12"/>
  <cols>
    <col min="1" max="1" width="5.7109375" style="43" customWidth="1"/>
    <col min="2" max="2" width="25.7109375" style="43" customWidth="1"/>
    <col min="3" max="3" width="5.7109375" style="43" customWidth="1"/>
    <col min="4" max="5" width="17.7109375" style="43" customWidth="1"/>
    <col min="6" max="6" width="22.7109375" style="43" customWidth="1"/>
    <col min="7" max="16384" width="11.42578125" style="43"/>
  </cols>
  <sheetData>
    <row r="1" spans="1:7" ht="20.100000000000001" customHeight="1">
      <c r="A1" s="42" t="s">
        <v>291</v>
      </c>
    </row>
    <row r="2" spans="1:7" s="46" customFormat="1" ht="39.950000000000003" customHeight="1">
      <c r="A2" s="44" t="s">
        <v>143</v>
      </c>
      <c r="B2" s="45"/>
      <c r="C2" s="45"/>
      <c r="D2" s="45"/>
      <c r="E2" s="45"/>
      <c r="F2" s="45"/>
      <c r="G2" s="62"/>
    </row>
    <row r="3" spans="1:7" s="46" customFormat="1" ht="20.100000000000001" customHeight="1">
      <c r="A3" s="44"/>
      <c r="B3" s="45"/>
      <c r="C3" s="45"/>
      <c r="D3" s="45"/>
      <c r="E3" s="45"/>
      <c r="F3" s="45"/>
    </row>
    <row r="4" spans="1:7" ht="20.100000000000001" customHeight="1"/>
    <row r="5" spans="1:7" ht="50.1" customHeight="1">
      <c r="A5" s="47"/>
      <c r="B5" s="48" t="s">
        <v>144</v>
      </c>
      <c r="C5" s="49"/>
      <c r="D5" s="50" t="s">
        <v>145</v>
      </c>
      <c r="E5" s="50" t="s">
        <v>146</v>
      </c>
      <c r="F5" s="51" t="s">
        <v>147</v>
      </c>
    </row>
    <row r="6" spans="1:7" ht="20.100000000000001" customHeight="1">
      <c r="A6" s="52"/>
      <c r="B6" s="53"/>
      <c r="C6" s="54"/>
      <c r="D6" s="41"/>
      <c r="E6" s="41"/>
      <c r="F6" s="41"/>
    </row>
    <row r="7" spans="1:7" ht="60" customHeight="1">
      <c r="A7" s="55"/>
      <c r="B7" s="56" t="s">
        <v>148</v>
      </c>
      <c r="C7" s="41"/>
      <c r="D7" s="64">
        <v>15</v>
      </c>
      <c r="E7" s="64"/>
      <c r="F7" s="41"/>
    </row>
    <row r="8" spans="1:7" ht="60" customHeight="1">
      <c r="A8" s="55"/>
      <c r="B8" s="56" t="s">
        <v>149</v>
      </c>
      <c r="C8" s="41"/>
      <c r="D8" s="64">
        <v>25</v>
      </c>
      <c r="E8" s="64"/>
      <c r="F8" s="57"/>
    </row>
    <row r="9" spans="1:7" ht="60" customHeight="1">
      <c r="A9" s="55"/>
      <c r="B9" s="56" t="s">
        <v>150</v>
      </c>
      <c r="C9" s="41"/>
      <c r="D9" s="64">
        <v>10</v>
      </c>
      <c r="E9" s="64">
        <v>5</v>
      </c>
      <c r="F9" s="57"/>
    </row>
    <row r="10" spans="1:7" ht="60" customHeight="1">
      <c r="A10" s="55"/>
      <c r="B10" s="56" t="s">
        <v>151</v>
      </c>
      <c r="C10" s="41"/>
      <c r="D10" s="64">
        <v>10</v>
      </c>
      <c r="E10" s="64"/>
      <c r="F10" s="57"/>
    </row>
    <row r="11" spans="1:7" ht="20.100000000000001" customHeight="1">
      <c r="A11" s="58"/>
      <c r="B11" s="59"/>
      <c r="C11" s="60"/>
      <c r="D11" s="61"/>
      <c r="E11" s="61"/>
      <c r="F11" s="61"/>
    </row>
    <row r="12" spans="1:7" ht="24.95" customHeight="1">
      <c r="A12" s="63" t="s">
        <v>366</v>
      </c>
    </row>
    <row r="13" spans="1:7" ht="24.95" customHeight="1">
      <c r="A13" s="43" t="s">
        <v>152</v>
      </c>
    </row>
  </sheetData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&amp;P+48 -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showZeros="0" view="pageBreakPreview" topLeftCell="A4" zoomScaleSheetLayoutView="100" workbookViewId="0">
      <selection activeCell="G34" sqref="G34"/>
    </sheetView>
  </sheetViews>
  <sheetFormatPr defaultRowHeight="12"/>
  <cols>
    <col min="1" max="1" width="1.7109375" style="95" customWidth="1"/>
    <col min="2" max="2" width="3.7109375" style="9" customWidth="1"/>
    <col min="3" max="3" width="7.7109375" style="95" customWidth="1"/>
    <col min="4" max="4" width="1.7109375" style="95" customWidth="1"/>
    <col min="5" max="5" width="20.7109375" style="9" customWidth="1"/>
    <col min="6" max="6" width="1.7109375" style="9" customWidth="1"/>
    <col min="7" max="15" width="16.7109375" style="32" customWidth="1"/>
    <col min="16" max="16" width="9.140625" style="95"/>
    <col min="17" max="17" width="14.140625" style="95" bestFit="1" customWidth="1"/>
    <col min="18" max="16384" width="9.140625" style="95"/>
  </cols>
  <sheetData>
    <row r="1" spans="1:17" ht="20.100000000000001" customHeight="1">
      <c r="A1" s="153" t="s">
        <v>309</v>
      </c>
      <c r="B1" s="153"/>
      <c r="C1" s="153"/>
      <c r="D1" s="153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31"/>
      <c r="Q1" s="31"/>
    </row>
    <row r="2" spans="1:17" s="108" customFormat="1" ht="39.950000000000003" customHeight="1">
      <c r="A2" s="105" t="s">
        <v>306</v>
      </c>
      <c r="B2" s="106"/>
      <c r="C2" s="154"/>
      <c r="D2" s="154"/>
      <c r="E2" s="155"/>
      <c r="F2" s="155"/>
      <c r="G2" s="107"/>
      <c r="H2" s="107"/>
      <c r="I2" s="107"/>
      <c r="J2" s="107"/>
      <c r="K2" s="107"/>
      <c r="L2" s="107"/>
      <c r="M2" s="107"/>
      <c r="N2" s="107"/>
      <c r="O2" s="107"/>
    </row>
    <row r="3" spans="1:17" ht="20.100000000000001" customHeight="1">
      <c r="A3" s="188"/>
      <c r="B3" s="189"/>
      <c r="C3" s="188"/>
      <c r="D3" s="188"/>
      <c r="E3" s="189"/>
      <c r="F3" s="189"/>
      <c r="G3" s="97"/>
      <c r="H3" s="97"/>
      <c r="I3" s="97"/>
      <c r="J3" s="97"/>
      <c r="K3" s="97"/>
      <c r="L3" s="97"/>
      <c r="M3" s="97"/>
      <c r="N3" s="97"/>
      <c r="O3" s="97"/>
      <c r="Q3" s="108"/>
    </row>
    <row r="4" spans="1:17" ht="19.5" customHeight="1">
      <c r="A4" s="207" t="str">
        <f>집계!A4</f>
        <v>건 명 : 2011년 경기문화재단 파견 용역</v>
      </c>
      <c r="B4" s="110"/>
      <c r="C4" s="109"/>
      <c r="D4" s="109"/>
      <c r="G4" s="111"/>
      <c r="H4" s="111"/>
      <c r="I4" s="111"/>
      <c r="J4" s="111"/>
      <c r="K4" s="111"/>
      <c r="L4" s="111"/>
      <c r="M4" s="111"/>
      <c r="N4" s="111"/>
      <c r="O4" s="156" t="s">
        <v>182</v>
      </c>
      <c r="Q4" s="108"/>
    </row>
    <row r="5" spans="1:17" ht="23.1" customHeight="1">
      <c r="A5" s="192"/>
      <c r="B5" s="193"/>
      <c r="C5" s="193"/>
      <c r="D5" s="193"/>
      <c r="E5" s="194" t="s">
        <v>208</v>
      </c>
      <c r="F5" s="194"/>
      <c r="G5" s="319" t="str">
        <f>인집!$B$7</f>
        <v>운전기사</v>
      </c>
      <c r="H5" s="319" t="str">
        <f>인집!$B$8</f>
        <v>사무직</v>
      </c>
      <c r="I5" s="319"/>
      <c r="J5" s="319"/>
      <c r="K5" s="319"/>
      <c r="L5" s="319"/>
      <c r="M5" s="319"/>
      <c r="N5" s="319"/>
      <c r="O5" s="319"/>
      <c r="Q5" s="108"/>
    </row>
    <row r="6" spans="1:17" ht="23.1" customHeight="1">
      <c r="A6" s="195" t="s">
        <v>209</v>
      </c>
      <c r="B6" s="201"/>
      <c r="C6" s="196"/>
      <c r="D6" s="196"/>
      <c r="E6" s="196"/>
      <c r="F6" s="196"/>
      <c r="G6" s="320" t="str">
        <f>"("&amp;인집!$E$7&amp;")"</f>
        <v>(운전직(트레일러공))</v>
      </c>
      <c r="H6" s="320" t="str">
        <f>"("&amp;인집!$E$8&amp;")"</f>
        <v>(사무직)</v>
      </c>
      <c r="I6" s="320"/>
      <c r="J6" s="320"/>
      <c r="K6" s="320"/>
      <c r="L6" s="456"/>
      <c r="M6" s="320"/>
      <c r="N6" s="456"/>
      <c r="O6" s="456"/>
    </row>
    <row r="7" spans="1:17" ht="17.100000000000001" customHeight="1">
      <c r="A7" s="492" t="s">
        <v>199</v>
      </c>
      <c r="B7" s="493"/>
      <c r="C7" s="489" t="s">
        <v>210</v>
      </c>
      <c r="D7" s="490"/>
      <c r="E7" s="490"/>
      <c r="F7" s="491"/>
      <c r="G7" s="258">
        <f>원가!G7</f>
        <v>1197000</v>
      </c>
      <c r="H7" s="258">
        <f>원가!G41</f>
        <v>1038030</v>
      </c>
      <c r="I7" s="258"/>
      <c r="J7" s="258"/>
      <c r="K7" s="258"/>
      <c r="L7" s="258"/>
      <c r="M7" s="258"/>
      <c r="N7" s="258"/>
      <c r="O7" s="258"/>
    </row>
    <row r="8" spans="1:17" ht="17.100000000000001" customHeight="1">
      <c r="A8" s="494"/>
      <c r="B8" s="495"/>
      <c r="C8" s="501" t="s">
        <v>250</v>
      </c>
      <c r="D8" s="20"/>
      <c r="E8" s="455" t="s">
        <v>0</v>
      </c>
      <c r="F8" s="411"/>
      <c r="G8" s="412">
        <f>원가!G8</f>
        <v>0</v>
      </c>
      <c r="H8" s="258">
        <f>원가!G42</f>
        <v>0</v>
      </c>
      <c r="I8" s="258"/>
      <c r="J8" s="258"/>
      <c r="K8" s="258"/>
      <c r="L8" s="258"/>
      <c r="M8" s="258"/>
      <c r="N8" s="258"/>
      <c r="O8" s="258"/>
    </row>
    <row r="9" spans="1:17" ht="17.100000000000001" customHeight="1">
      <c r="A9" s="494"/>
      <c r="B9" s="495"/>
      <c r="C9" s="502"/>
      <c r="D9" s="20"/>
      <c r="E9" s="22" t="s">
        <v>229</v>
      </c>
      <c r="F9" s="197"/>
      <c r="G9" s="258">
        <f>원가!G9</f>
        <v>137454</v>
      </c>
      <c r="H9" s="258">
        <f>원가!G43</f>
        <v>119199</v>
      </c>
      <c r="I9" s="258"/>
      <c r="J9" s="258"/>
      <c r="K9" s="258"/>
      <c r="L9" s="258"/>
      <c r="M9" s="258"/>
      <c r="N9" s="258"/>
      <c r="O9" s="258"/>
    </row>
    <row r="10" spans="1:17" ht="17.100000000000001" customHeight="1">
      <c r="A10" s="494"/>
      <c r="B10" s="495"/>
      <c r="C10" s="502"/>
      <c r="D10" s="20"/>
      <c r="E10" s="22" t="s">
        <v>5</v>
      </c>
      <c r="F10" s="197"/>
      <c r="G10" s="258">
        <f>원가!G10</f>
        <v>57272</v>
      </c>
      <c r="H10" s="258">
        <f>원가!G44</f>
        <v>49666</v>
      </c>
      <c r="I10" s="258"/>
      <c r="J10" s="258"/>
      <c r="K10" s="258"/>
      <c r="L10" s="258"/>
      <c r="M10" s="258"/>
      <c r="N10" s="258"/>
      <c r="O10" s="258"/>
    </row>
    <row r="11" spans="1:17" ht="17.100000000000001" customHeight="1">
      <c r="A11" s="494"/>
      <c r="B11" s="495"/>
      <c r="C11" s="502"/>
      <c r="D11" s="20"/>
      <c r="E11" s="22" t="s">
        <v>251</v>
      </c>
      <c r="F11" s="197"/>
      <c r="G11" s="258">
        <f>원가!G11</f>
        <v>0</v>
      </c>
      <c r="H11" s="258">
        <f>원가!G45</f>
        <v>0</v>
      </c>
      <c r="I11" s="258"/>
      <c r="J11" s="258"/>
      <c r="K11" s="258"/>
      <c r="L11" s="258"/>
      <c r="M11" s="258"/>
      <c r="N11" s="258"/>
      <c r="O11" s="258"/>
    </row>
    <row r="12" spans="1:17" ht="17.100000000000001" customHeight="1">
      <c r="A12" s="494"/>
      <c r="B12" s="495"/>
      <c r="C12" s="503"/>
      <c r="D12" s="20"/>
      <c r="E12" s="20" t="s">
        <v>6</v>
      </c>
      <c r="F12" s="198"/>
      <c r="G12" s="258">
        <f>원가!G12</f>
        <v>194726</v>
      </c>
      <c r="H12" s="258">
        <f>원가!G46</f>
        <v>168865</v>
      </c>
      <c r="I12" s="258"/>
      <c r="J12" s="258"/>
      <c r="K12" s="258"/>
      <c r="L12" s="258"/>
      <c r="M12" s="258"/>
      <c r="N12" s="258"/>
      <c r="O12" s="258"/>
    </row>
    <row r="13" spans="1:17" ht="17.100000000000001" customHeight="1">
      <c r="A13" s="494"/>
      <c r="B13" s="495"/>
      <c r="C13" s="489" t="s">
        <v>211</v>
      </c>
      <c r="D13" s="490"/>
      <c r="E13" s="490"/>
      <c r="F13" s="491"/>
      <c r="G13" s="258">
        <f>원가!G13</f>
        <v>399000</v>
      </c>
      <c r="H13" s="258">
        <f>원가!G47</f>
        <v>346010</v>
      </c>
      <c r="I13" s="258"/>
      <c r="J13" s="258"/>
      <c r="K13" s="258"/>
      <c r="L13" s="258"/>
      <c r="M13" s="258"/>
      <c r="N13" s="258"/>
      <c r="O13" s="258"/>
    </row>
    <row r="14" spans="1:17" ht="17.100000000000001" customHeight="1">
      <c r="A14" s="494"/>
      <c r="B14" s="495"/>
      <c r="C14" s="504" t="s">
        <v>26</v>
      </c>
      <c r="D14" s="490"/>
      <c r="E14" s="490"/>
      <c r="F14" s="491"/>
      <c r="G14" s="258">
        <f>원가!G14</f>
        <v>0</v>
      </c>
      <c r="H14" s="258">
        <f>원가!G48</f>
        <v>124440</v>
      </c>
      <c r="I14" s="258"/>
      <c r="J14" s="258"/>
      <c r="K14" s="258"/>
      <c r="L14" s="258"/>
      <c r="M14" s="258"/>
      <c r="N14" s="258"/>
      <c r="O14" s="258"/>
    </row>
    <row r="15" spans="1:17" ht="17.100000000000001" customHeight="1">
      <c r="A15" s="496"/>
      <c r="B15" s="497"/>
      <c r="C15" s="489" t="s">
        <v>212</v>
      </c>
      <c r="D15" s="490"/>
      <c r="E15" s="490"/>
      <c r="F15" s="491"/>
      <c r="G15" s="258">
        <f>원가!G15</f>
        <v>1790726</v>
      </c>
      <c r="H15" s="258">
        <f>원가!G49</f>
        <v>1677345</v>
      </c>
      <c r="I15" s="258"/>
      <c r="J15" s="258"/>
      <c r="K15" s="258"/>
      <c r="L15" s="258"/>
      <c r="M15" s="258"/>
      <c r="N15" s="258"/>
      <c r="O15" s="258"/>
    </row>
    <row r="16" spans="1:17" ht="17.100000000000001" customHeight="1">
      <c r="A16" s="492" t="s">
        <v>231</v>
      </c>
      <c r="B16" s="493"/>
      <c r="C16" s="498" t="s">
        <v>4</v>
      </c>
      <c r="D16" s="20"/>
      <c r="E16" s="22" t="s">
        <v>28</v>
      </c>
      <c r="F16" s="22"/>
      <c r="G16" s="258">
        <f>원가!G16</f>
        <v>37605</v>
      </c>
      <c r="H16" s="258">
        <f>원가!G50</f>
        <v>32611</v>
      </c>
      <c r="I16" s="258"/>
      <c r="J16" s="258"/>
      <c r="K16" s="258"/>
      <c r="L16" s="258"/>
      <c r="M16" s="258"/>
      <c r="N16" s="258"/>
      <c r="O16" s="258"/>
    </row>
    <row r="17" spans="1:15" ht="17.100000000000001" customHeight="1">
      <c r="A17" s="494"/>
      <c r="B17" s="495"/>
      <c r="C17" s="499"/>
      <c r="D17" s="20"/>
      <c r="E17" s="22" t="s">
        <v>213</v>
      </c>
      <c r="F17" s="22"/>
      <c r="G17" s="258">
        <f>원가!G17</f>
        <v>80582</v>
      </c>
      <c r="H17" s="258">
        <f>원가!G51</f>
        <v>69880</v>
      </c>
      <c r="I17" s="258"/>
      <c r="J17" s="258"/>
      <c r="K17" s="258"/>
      <c r="L17" s="258"/>
      <c r="M17" s="258"/>
      <c r="N17" s="258"/>
      <c r="O17" s="258"/>
    </row>
    <row r="18" spans="1:15" ht="17.100000000000001" customHeight="1">
      <c r="A18" s="494"/>
      <c r="B18" s="495"/>
      <c r="C18" s="499"/>
      <c r="D18" s="20"/>
      <c r="E18" s="22" t="s">
        <v>214</v>
      </c>
      <c r="F18" s="22"/>
      <c r="G18" s="258">
        <f>원가!G18</f>
        <v>12535</v>
      </c>
      <c r="H18" s="258">
        <f>원가!G52</f>
        <v>10870</v>
      </c>
      <c r="I18" s="258"/>
      <c r="J18" s="258"/>
      <c r="K18" s="258"/>
      <c r="L18" s="258"/>
      <c r="M18" s="258"/>
      <c r="N18" s="258"/>
      <c r="O18" s="258"/>
    </row>
    <row r="19" spans="1:15" ht="17.100000000000001" customHeight="1">
      <c r="A19" s="494"/>
      <c r="B19" s="495"/>
      <c r="C19" s="499"/>
      <c r="D19" s="20"/>
      <c r="E19" s="22" t="s">
        <v>215</v>
      </c>
      <c r="F19" s="22"/>
      <c r="G19" s="258">
        <f>원가!G19</f>
        <v>47722</v>
      </c>
      <c r="H19" s="258">
        <f>원가!G53</f>
        <v>41384</v>
      </c>
      <c r="I19" s="258"/>
      <c r="J19" s="258"/>
      <c r="K19" s="258"/>
      <c r="L19" s="258"/>
      <c r="M19" s="258"/>
      <c r="N19" s="258"/>
      <c r="O19" s="258"/>
    </row>
    <row r="20" spans="1:15" ht="17.100000000000001" customHeight="1">
      <c r="A20" s="494"/>
      <c r="B20" s="495"/>
      <c r="C20" s="499"/>
      <c r="D20" s="20"/>
      <c r="E20" s="249" t="s">
        <v>249</v>
      </c>
      <c r="F20" s="22"/>
      <c r="G20" s="258">
        <f>원가!G20</f>
        <v>3125</v>
      </c>
      <c r="H20" s="258">
        <f>원가!G54</f>
        <v>2710</v>
      </c>
      <c r="I20" s="258"/>
      <c r="J20" s="258"/>
      <c r="K20" s="258"/>
      <c r="L20" s="258"/>
      <c r="M20" s="258"/>
      <c r="N20" s="258"/>
      <c r="O20" s="258"/>
    </row>
    <row r="21" spans="1:15" ht="17.100000000000001" customHeight="1">
      <c r="A21" s="494"/>
      <c r="B21" s="495"/>
      <c r="C21" s="499"/>
      <c r="D21" s="20"/>
      <c r="E21" s="22" t="s">
        <v>216</v>
      </c>
      <c r="F21" s="22"/>
      <c r="G21" s="258">
        <f>원가!G21</f>
        <v>1432</v>
      </c>
      <c r="H21" s="258">
        <f>원가!G55</f>
        <v>1242</v>
      </c>
      <c r="I21" s="258"/>
      <c r="J21" s="258"/>
      <c r="K21" s="258"/>
      <c r="L21" s="258"/>
      <c r="M21" s="258"/>
      <c r="N21" s="258"/>
      <c r="O21" s="258"/>
    </row>
    <row r="22" spans="1:15" ht="17.100000000000001" customHeight="1">
      <c r="A22" s="494"/>
      <c r="B22" s="495"/>
      <c r="C22" s="500"/>
      <c r="D22" s="20"/>
      <c r="E22" s="198" t="s">
        <v>6</v>
      </c>
      <c r="F22" s="22"/>
      <c r="G22" s="258">
        <f>원가!G22</f>
        <v>183001</v>
      </c>
      <c r="H22" s="258">
        <f>원가!G56</f>
        <v>158697</v>
      </c>
      <c r="I22" s="258"/>
      <c r="J22" s="258"/>
      <c r="K22" s="258"/>
      <c r="L22" s="258"/>
      <c r="M22" s="258"/>
      <c r="N22" s="258"/>
      <c r="O22" s="258"/>
    </row>
    <row r="23" spans="1:15" ht="17.100000000000001" customHeight="1">
      <c r="A23" s="494"/>
      <c r="B23" s="495"/>
      <c r="C23" s="501" t="s">
        <v>304</v>
      </c>
      <c r="D23" s="20"/>
      <c r="E23" s="22" t="s">
        <v>217</v>
      </c>
      <c r="F23" s="22"/>
      <c r="G23" s="258">
        <f>원가!G23</f>
        <v>115000</v>
      </c>
      <c r="H23" s="258">
        <f>원가!G57</f>
        <v>115000</v>
      </c>
      <c r="I23" s="258"/>
      <c r="J23" s="258"/>
      <c r="K23" s="258"/>
      <c r="L23" s="258"/>
      <c r="M23" s="258"/>
      <c r="N23" s="258"/>
      <c r="O23" s="258"/>
    </row>
    <row r="24" spans="1:15" ht="17.100000000000001" customHeight="1">
      <c r="A24" s="494"/>
      <c r="B24" s="495"/>
      <c r="C24" s="502"/>
      <c r="D24" s="20"/>
      <c r="E24" s="454" t="s">
        <v>380</v>
      </c>
      <c r="F24" s="22"/>
      <c r="G24" s="258"/>
      <c r="H24" s="258"/>
      <c r="I24" s="258"/>
      <c r="J24" s="258"/>
      <c r="K24" s="258"/>
      <c r="L24" s="258"/>
      <c r="M24" s="258"/>
      <c r="N24" s="258"/>
      <c r="O24" s="258"/>
    </row>
    <row r="25" spans="1:15" ht="17.100000000000001" customHeight="1">
      <c r="A25" s="494"/>
      <c r="B25" s="495"/>
      <c r="C25" s="503"/>
      <c r="D25" s="20"/>
      <c r="E25" s="198" t="s">
        <v>6</v>
      </c>
      <c r="F25" s="22"/>
      <c r="G25" s="258">
        <f>원가!G25</f>
        <v>115000</v>
      </c>
      <c r="H25" s="258">
        <f>원가!G58</f>
        <v>115000</v>
      </c>
      <c r="I25" s="258"/>
      <c r="J25" s="258"/>
      <c r="K25" s="258"/>
      <c r="L25" s="258"/>
      <c r="M25" s="258"/>
      <c r="N25" s="258"/>
      <c r="O25" s="258"/>
    </row>
    <row r="26" spans="1:15" ht="17.100000000000001" customHeight="1">
      <c r="A26" s="494"/>
      <c r="B26" s="495"/>
      <c r="C26" s="498" t="s">
        <v>253</v>
      </c>
      <c r="D26" s="20"/>
      <c r="E26" s="455" t="s">
        <v>370</v>
      </c>
      <c r="F26" s="22"/>
      <c r="G26" s="258">
        <f>원가!G26</f>
        <v>0</v>
      </c>
      <c r="H26" s="258">
        <f>원가!G59</f>
        <v>0</v>
      </c>
      <c r="I26" s="258"/>
      <c r="J26" s="258"/>
      <c r="K26" s="258"/>
      <c r="L26" s="258"/>
      <c r="M26" s="258"/>
      <c r="N26" s="258"/>
      <c r="O26" s="258"/>
    </row>
    <row r="27" spans="1:15" ht="17.100000000000001" customHeight="1">
      <c r="A27" s="494"/>
      <c r="B27" s="495"/>
      <c r="C27" s="500"/>
      <c r="D27" s="20"/>
      <c r="E27" s="22" t="s">
        <v>254</v>
      </c>
      <c r="F27" s="22"/>
      <c r="G27" s="258">
        <f>원가!G27</f>
        <v>0</v>
      </c>
      <c r="H27" s="258">
        <f>원가!G60</f>
        <v>0</v>
      </c>
      <c r="I27" s="258"/>
      <c r="J27" s="258"/>
      <c r="K27" s="258"/>
      <c r="L27" s="258"/>
      <c r="M27" s="258"/>
      <c r="N27" s="258"/>
      <c r="O27" s="258"/>
    </row>
    <row r="28" spans="1:15" ht="17.100000000000001" customHeight="1">
      <c r="A28" s="496"/>
      <c r="B28" s="497"/>
      <c r="C28" s="489" t="s">
        <v>212</v>
      </c>
      <c r="D28" s="490"/>
      <c r="E28" s="490"/>
      <c r="F28" s="491"/>
      <c r="G28" s="258">
        <f>원가!G28</f>
        <v>298001</v>
      </c>
      <c r="H28" s="258">
        <f>원가!G61</f>
        <v>273697</v>
      </c>
      <c r="I28" s="258"/>
      <c r="J28" s="258"/>
      <c r="K28" s="258"/>
      <c r="L28" s="258"/>
      <c r="M28" s="258"/>
      <c r="N28" s="258"/>
      <c r="O28" s="258"/>
    </row>
    <row r="29" spans="1:15" ht="17.100000000000001" customHeight="1">
      <c r="A29" s="116"/>
      <c r="B29" s="507" t="s">
        <v>180</v>
      </c>
      <c r="C29" s="507"/>
      <c r="D29" s="507"/>
      <c r="E29" s="507"/>
      <c r="F29" s="202"/>
      <c r="G29" s="258">
        <f>원가!G29</f>
        <v>2088727</v>
      </c>
      <c r="H29" s="258">
        <f>원가!G62</f>
        <v>1951042</v>
      </c>
      <c r="I29" s="258"/>
      <c r="J29" s="258"/>
      <c r="K29" s="258"/>
      <c r="L29" s="258"/>
      <c r="M29" s="258"/>
      <c r="N29" s="258"/>
      <c r="O29" s="258"/>
    </row>
    <row r="30" spans="1:15" ht="17.100000000000001" customHeight="1">
      <c r="A30" s="199"/>
      <c r="B30" s="506" t="s">
        <v>388</v>
      </c>
      <c r="C30" s="507"/>
      <c r="D30" s="507"/>
      <c r="E30" s="507"/>
      <c r="F30" s="203"/>
      <c r="G30" s="258">
        <f>원가!G30</f>
        <v>62661</v>
      </c>
      <c r="H30" s="258">
        <f>원가!G63</f>
        <v>58531</v>
      </c>
      <c r="I30" s="258"/>
      <c r="J30" s="258"/>
      <c r="K30" s="258"/>
      <c r="L30" s="258"/>
      <c r="M30" s="258"/>
      <c r="N30" s="258"/>
      <c r="O30" s="258"/>
    </row>
    <row r="31" spans="1:15" ht="17.100000000000001" customHeight="1">
      <c r="A31" s="199"/>
      <c r="B31" s="506" t="s">
        <v>389</v>
      </c>
      <c r="C31" s="507"/>
      <c r="D31" s="507"/>
      <c r="E31" s="507"/>
      <c r="F31" s="203"/>
      <c r="G31" s="258">
        <f>원가!G31</f>
        <v>107569</v>
      </c>
      <c r="H31" s="258">
        <f>원가!G64</f>
        <v>100478</v>
      </c>
      <c r="I31" s="258"/>
      <c r="J31" s="258"/>
      <c r="K31" s="258"/>
      <c r="L31" s="258"/>
      <c r="M31" s="258"/>
      <c r="N31" s="258"/>
      <c r="O31" s="258"/>
    </row>
    <row r="32" spans="1:15" ht="17.100000000000001" customHeight="1">
      <c r="A32" s="199"/>
      <c r="B32" s="505" t="s">
        <v>294</v>
      </c>
      <c r="C32" s="505"/>
      <c r="D32" s="505"/>
      <c r="E32" s="505"/>
      <c r="F32" s="203"/>
      <c r="G32" s="258">
        <f>원가!G32</f>
        <v>2258957</v>
      </c>
      <c r="H32" s="258">
        <f>원가!G65</f>
        <v>2110051</v>
      </c>
      <c r="I32" s="258"/>
      <c r="J32" s="258"/>
      <c r="K32" s="258"/>
      <c r="L32" s="258"/>
      <c r="M32" s="258"/>
      <c r="N32" s="258"/>
      <c r="O32" s="258"/>
    </row>
    <row r="33" spans="1:15" ht="17.100000000000001" customHeight="1">
      <c r="A33" s="199"/>
      <c r="B33" s="505" t="s">
        <v>295</v>
      </c>
      <c r="C33" s="505"/>
      <c r="D33" s="505"/>
      <c r="E33" s="505"/>
      <c r="F33" s="203"/>
      <c r="G33" s="258">
        <f>원가!G33</f>
        <v>225895</v>
      </c>
      <c r="H33" s="258">
        <f>원가!G66</f>
        <v>211005</v>
      </c>
      <c r="I33" s="258"/>
      <c r="J33" s="258"/>
      <c r="K33" s="258"/>
      <c r="L33" s="258"/>
      <c r="M33" s="258"/>
      <c r="N33" s="258"/>
      <c r="O33" s="258"/>
    </row>
    <row r="34" spans="1:15" ht="17.100000000000001" customHeight="1">
      <c r="A34" s="2"/>
      <c r="B34" s="505" t="s">
        <v>296</v>
      </c>
      <c r="C34" s="505"/>
      <c r="D34" s="505"/>
      <c r="E34" s="505"/>
      <c r="F34" s="203"/>
      <c r="G34" s="258">
        <f>원가!G34</f>
        <v>2484852</v>
      </c>
      <c r="H34" s="258">
        <f>원가!G67</f>
        <v>2321056</v>
      </c>
      <c r="I34" s="258"/>
      <c r="J34" s="258"/>
      <c r="K34" s="258"/>
      <c r="L34" s="258"/>
      <c r="M34" s="258"/>
      <c r="N34" s="258"/>
      <c r="O34" s="258"/>
    </row>
  </sheetData>
  <mergeCells count="17">
    <mergeCell ref="B34:E34"/>
    <mergeCell ref="B33:E33"/>
    <mergeCell ref="B31:E31"/>
    <mergeCell ref="B32:E32"/>
    <mergeCell ref="B29:E29"/>
    <mergeCell ref="B30:E30"/>
    <mergeCell ref="C7:F7"/>
    <mergeCell ref="A7:B15"/>
    <mergeCell ref="C16:C22"/>
    <mergeCell ref="C23:C25"/>
    <mergeCell ref="C8:C12"/>
    <mergeCell ref="C13:F13"/>
    <mergeCell ref="C14:F14"/>
    <mergeCell ref="C15:F15"/>
    <mergeCell ref="A16:B28"/>
    <mergeCell ref="C28:F28"/>
    <mergeCell ref="C26:C27"/>
  </mergeCells>
  <phoneticPr fontId="5" type="noConversion"/>
  <printOptions horizontalCentered="1"/>
  <pageMargins left="0.78740157480314965" right="0.70866141732283472" top="0.78740157480314965" bottom="0.59055118110236227" header="0.51181102362204722" footer="0.39370078740157483"/>
  <pageSetup paperSize="9" scale="77" firstPageNumber="121" orientation="landscape" r:id="rId1"/>
  <headerFooter alignWithMargins="0">
    <oddFooter>&amp;C- &amp;P+2 -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Zeros="0" view="pageBreakPreview" topLeftCell="A7" workbookViewId="0">
      <selection activeCell="G28" sqref="G28"/>
    </sheetView>
  </sheetViews>
  <sheetFormatPr defaultRowHeight="12"/>
  <cols>
    <col min="1" max="1" width="1.7109375" style="95" customWidth="1"/>
    <col min="2" max="2" width="3.7109375" style="9" customWidth="1"/>
    <col min="3" max="3" width="6.7109375" style="95" customWidth="1"/>
    <col min="4" max="4" width="1.7109375" style="95" customWidth="1"/>
    <col min="5" max="5" width="20.7109375" style="9" customWidth="1"/>
    <col min="6" max="6" width="1.7109375" style="9" customWidth="1"/>
    <col min="7" max="7" width="14.7109375" style="32" customWidth="1"/>
    <col min="8" max="8" width="1.7109375" style="31" customWidth="1"/>
    <col min="9" max="9" width="9.28515625" style="32" customWidth="1"/>
    <col min="10" max="10" width="1.28515625" style="31" customWidth="1"/>
    <col min="11" max="11" width="0.85546875" style="32" customWidth="1"/>
    <col min="12" max="12" width="31.140625" style="95" customWidth="1"/>
    <col min="13" max="13" width="11.42578125" style="95" customWidth="1"/>
    <col min="14" max="14" width="10.7109375" style="332" bestFit="1" customWidth="1"/>
    <col min="15" max="15" width="9.28515625" style="332" bestFit="1" customWidth="1"/>
    <col min="16" max="16384" width="9.140625" style="95"/>
  </cols>
  <sheetData>
    <row r="1" spans="1:15" ht="20.100000000000001" customHeight="1">
      <c r="A1" s="153" t="s">
        <v>310</v>
      </c>
      <c r="B1" s="153"/>
      <c r="C1" s="153"/>
      <c r="D1" s="153"/>
      <c r="E1" s="95"/>
      <c r="F1" s="95"/>
      <c r="G1" s="95"/>
      <c r="I1" s="31"/>
      <c r="L1" s="31"/>
      <c r="M1" s="31"/>
      <c r="N1" s="330"/>
      <c r="O1" s="330"/>
    </row>
    <row r="2" spans="1:15" s="108" customFormat="1" ht="39.950000000000003" customHeight="1">
      <c r="A2" s="105" t="s">
        <v>307</v>
      </c>
      <c r="B2" s="106"/>
      <c r="C2" s="154"/>
      <c r="D2" s="154"/>
      <c r="E2" s="155"/>
      <c r="F2" s="155"/>
      <c r="G2" s="107"/>
      <c r="H2" s="96"/>
      <c r="I2" s="27"/>
      <c r="J2" s="28"/>
      <c r="K2" s="27"/>
      <c r="L2" s="105"/>
      <c r="N2" s="331"/>
      <c r="O2" s="331"/>
    </row>
    <row r="3" spans="1:15" ht="20.100000000000001" customHeight="1">
      <c r="A3" s="188"/>
      <c r="B3" s="189"/>
      <c r="C3" s="188"/>
      <c r="D3" s="188"/>
      <c r="E3" s="189"/>
      <c r="F3" s="189"/>
      <c r="G3" s="97"/>
      <c r="H3" s="190"/>
      <c r="I3" s="29"/>
      <c r="J3" s="30"/>
      <c r="K3" s="29"/>
      <c r="L3" s="122"/>
      <c r="O3" s="331"/>
    </row>
    <row r="4" spans="1:15" ht="20.100000000000001" customHeight="1">
      <c r="A4" s="109" t="str">
        <f>"구 분 : "&amp;월기본급!B9&amp;"                       직종명 : "&amp;월기본급!F9&amp;""</f>
        <v>구 분 : 운전기사                       직종명 : 운전직(트레일러공)</v>
      </c>
      <c r="B4" s="110"/>
      <c r="C4" s="109"/>
      <c r="D4" s="109"/>
      <c r="G4" s="111"/>
      <c r="H4" s="111"/>
      <c r="I4" s="111"/>
      <c r="L4" s="191" t="s">
        <v>17</v>
      </c>
      <c r="O4" s="331"/>
    </row>
    <row r="5" spans="1:15" ht="20.100000000000001" customHeight="1">
      <c r="A5" s="192"/>
      <c r="B5" s="193"/>
      <c r="C5" s="193"/>
      <c r="D5" s="193"/>
      <c r="E5" s="194" t="s">
        <v>18</v>
      </c>
      <c r="F5" s="194"/>
      <c r="G5" s="510" t="s">
        <v>19</v>
      </c>
      <c r="H5" s="511"/>
      <c r="I5" s="510" t="s">
        <v>20</v>
      </c>
      <c r="J5" s="511"/>
      <c r="K5" s="510" t="s">
        <v>21</v>
      </c>
      <c r="L5" s="511"/>
      <c r="O5" s="331"/>
    </row>
    <row r="6" spans="1:15" ht="20.100000000000001" customHeight="1">
      <c r="A6" s="195" t="s">
        <v>22</v>
      </c>
      <c r="B6" s="201"/>
      <c r="C6" s="196"/>
      <c r="D6" s="196"/>
      <c r="E6" s="196"/>
      <c r="F6" s="196"/>
      <c r="G6" s="512"/>
      <c r="H6" s="513"/>
      <c r="I6" s="512"/>
      <c r="J6" s="513"/>
      <c r="K6" s="512"/>
      <c r="L6" s="513"/>
    </row>
    <row r="7" spans="1:15" ht="20.100000000000001" customHeight="1">
      <c r="A7" s="492" t="s">
        <v>198</v>
      </c>
      <c r="B7" s="493"/>
      <c r="C7" s="489" t="s">
        <v>23</v>
      </c>
      <c r="D7" s="490"/>
      <c r="E7" s="490"/>
      <c r="F7" s="491"/>
      <c r="G7" s="123">
        <f>단위당인건비!E27</f>
        <v>1197000</v>
      </c>
      <c r="H7" s="161"/>
      <c r="I7" s="123"/>
      <c r="J7" s="161"/>
      <c r="K7" s="204"/>
      <c r="L7" s="19"/>
    </row>
    <row r="8" spans="1:15" ht="20.100000000000001" customHeight="1">
      <c r="A8" s="494"/>
      <c r="B8" s="495"/>
      <c r="C8" s="498" t="s">
        <v>250</v>
      </c>
      <c r="D8" s="20"/>
      <c r="E8" s="22" t="s">
        <v>0</v>
      </c>
      <c r="F8" s="20"/>
      <c r="G8" s="123">
        <f>단위당인건비!E28</f>
        <v>0</v>
      </c>
      <c r="H8" s="161"/>
      <c r="I8" s="123"/>
      <c r="J8" s="161"/>
      <c r="K8" s="204"/>
      <c r="L8" s="19"/>
    </row>
    <row r="9" spans="1:15" ht="20.100000000000001" customHeight="1">
      <c r="A9" s="494"/>
      <c r="B9" s="495"/>
      <c r="C9" s="499"/>
      <c r="D9" s="20"/>
      <c r="E9" s="22" t="s">
        <v>229</v>
      </c>
      <c r="F9" s="197"/>
      <c r="G9" s="123">
        <f>단위당인건비!E29</f>
        <v>137454</v>
      </c>
      <c r="H9" s="161"/>
      <c r="I9" s="123"/>
      <c r="J9" s="161"/>
      <c r="K9" s="204"/>
      <c r="L9" s="19"/>
    </row>
    <row r="10" spans="1:15" ht="20.100000000000001" customHeight="1">
      <c r="A10" s="494"/>
      <c r="B10" s="495"/>
      <c r="C10" s="499"/>
      <c r="D10" s="20"/>
      <c r="E10" s="22" t="s">
        <v>5</v>
      </c>
      <c r="F10" s="197"/>
      <c r="G10" s="123">
        <f>단위당인건비!E30</f>
        <v>57272</v>
      </c>
      <c r="H10" s="161"/>
      <c r="I10" s="123"/>
      <c r="J10" s="161"/>
      <c r="K10" s="204"/>
      <c r="L10" s="19"/>
    </row>
    <row r="11" spans="1:15" ht="20.100000000000001" customHeight="1">
      <c r="A11" s="494"/>
      <c r="B11" s="495"/>
      <c r="C11" s="499"/>
      <c r="D11" s="20"/>
      <c r="E11" s="22" t="s">
        <v>251</v>
      </c>
      <c r="F11" s="197"/>
      <c r="G11" s="123">
        <f>단위당인건비!E31</f>
        <v>0</v>
      </c>
      <c r="H11" s="161"/>
      <c r="I11" s="123"/>
      <c r="J11" s="161"/>
      <c r="K11" s="204"/>
      <c r="L11" s="19"/>
    </row>
    <row r="12" spans="1:15" ht="20.100000000000001" customHeight="1">
      <c r="A12" s="494"/>
      <c r="B12" s="495"/>
      <c r="C12" s="500"/>
      <c r="D12" s="20"/>
      <c r="E12" s="198" t="s">
        <v>24</v>
      </c>
      <c r="F12" s="198"/>
      <c r="G12" s="123">
        <f>단위당인건비!E32</f>
        <v>194726</v>
      </c>
      <c r="H12" s="161"/>
      <c r="I12" s="173"/>
      <c r="J12" s="161"/>
      <c r="K12" s="204"/>
      <c r="L12" s="117"/>
    </row>
    <row r="13" spans="1:15" ht="20.100000000000001" customHeight="1">
      <c r="A13" s="494"/>
      <c r="B13" s="495"/>
      <c r="C13" s="489" t="s">
        <v>25</v>
      </c>
      <c r="D13" s="490"/>
      <c r="E13" s="490"/>
      <c r="F13" s="491"/>
      <c r="G13" s="123">
        <f>단위당인건비!E33</f>
        <v>399000</v>
      </c>
      <c r="H13" s="161"/>
      <c r="I13" s="173"/>
      <c r="J13" s="161"/>
      <c r="K13" s="204"/>
      <c r="L13" s="117"/>
    </row>
    <row r="14" spans="1:15" ht="20.100000000000001" customHeight="1">
      <c r="A14" s="494"/>
      <c r="B14" s="495"/>
      <c r="C14" s="489" t="s">
        <v>26</v>
      </c>
      <c r="D14" s="490"/>
      <c r="E14" s="490"/>
      <c r="F14" s="491"/>
      <c r="G14" s="123">
        <f>단위당인건비!E34</f>
        <v>0</v>
      </c>
      <c r="H14" s="161"/>
      <c r="I14" s="173"/>
      <c r="J14" s="161"/>
      <c r="K14" s="204"/>
      <c r="L14" s="117"/>
    </row>
    <row r="15" spans="1:15" ht="20.100000000000001" customHeight="1">
      <c r="A15" s="496"/>
      <c r="B15" s="497"/>
      <c r="C15" s="489" t="s">
        <v>27</v>
      </c>
      <c r="D15" s="490"/>
      <c r="E15" s="490"/>
      <c r="F15" s="491"/>
      <c r="G15" s="123">
        <f>단위당인건비!E35</f>
        <v>1790726</v>
      </c>
      <c r="H15" s="161"/>
      <c r="I15" s="200">
        <f>TRUNC(G15/$G$32*100,2)</f>
        <v>79.27</v>
      </c>
      <c r="J15" s="161"/>
      <c r="K15" s="204"/>
      <c r="L15" s="117" t="str">
        <f>단위당인건비!$A$1&amp;"참조"</f>
        <v>&lt; 표 : 5 &gt; 참조</v>
      </c>
    </row>
    <row r="16" spans="1:15" ht="20.100000000000001" customHeight="1">
      <c r="A16" s="492" t="s">
        <v>206</v>
      </c>
      <c r="B16" s="493"/>
      <c r="C16" s="498" t="s">
        <v>4</v>
      </c>
      <c r="D16" s="20"/>
      <c r="E16" s="22" t="s">
        <v>28</v>
      </c>
      <c r="F16" s="22"/>
      <c r="G16" s="123">
        <f>경비집계표!E7</f>
        <v>37605</v>
      </c>
      <c r="H16" s="161"/>
      <c r="I16" s="123"/>
      <c r="J16" s="161"/>
      <c r="K16" s="204"/>
      <c r="L16" s="117"/>
      <c r="M16" s="355">
        <f>TRUNC(SUM(G7+G12+G13)*2.1%)</f>
        <v>37605</v>
      </c>
      <c r="N16" s="355">
        <f t="shared" ref="N16:N21" si="0">G16-M16</f>
        <v>0</v>
      </c>
    </row>
    <row r="17" spans="1:14" ht="20.100000000000001" customHeight="1">
      <c r="A17" s="494"/>
      <c r="B17" s="495"/>
      <c r="C17" s="499"/>
      <c r="D17" s="20"/>
      <c r="E17" s="22" t="s">
        <v>29</v>
      </c>
      <c r="F17" s="22"/>
      <c r="G17" s="123">
        <f>경비집계표!E8</f>
        <v>80582</v>
      </c>
      <c r="H17" s="161"/>
      <c r="I17" s="123"/>
      <c r="J17" s="161"/>
      <c r="K17" s="204"/>
      <c r="L17" s="117"/>
      <c r="M17" s="355">
        <f>TRUNC(SUM(G7+G12+G13)*4.5%)</f>
        <v>80582</v>
      </c>
      <c r="N17" s="355">
        <f t="shared" si="0"/>
        <v>0</v>
      </c>
    </row>
    <row r="18" spans="1:14" ht="20.100000000000001" customHeight="1">
      <c r="A18" s="494"/>
      <c r="B18" s="495"/>
      <c r="C18" s="499"/>
      <c r="D18" s="20"/>
      <c r="E18" s="22" t="s">
        <v>30</v>
      </c>
      <c r="F18" s="22"/>
      <c r="G18" s="123">
        <f>경비집계표!E9</f>
        <v>12535</v>
      </c>
      <c r="H18" s="161"/>
      <c r="I18" s="123"/>
      <c r="J18" s="161"/>
      <c r="K18" s="204"/>
      <c r="L18" s="117"/>
      <c r="M18" s="355">
        <f>TRUNC(SUM(G7+G12+G13)*1.15%)</f>
        <v>20593</v>
      </c>
      <c r="N18" s="355">
        <f t="shared" si="0"/>
        <v>-8058</v>
      </c>
    </row>
    <row r="19" spans="1:14" ht="20.100000000000001" customHeight="1">
      <c r="A19" s="494"/>
      <c r="B19" s="495"/>
      <c r="C19" s="499"/>
      <c r="D19" s="20"/>
      <c r="E19" s="22" t="s">
        <v>31</v>
      </c>
      <c r="F19" s="22"/>
      <c r="G19" s="123">
        <f>경비집계표!E10</f>
        <v>47722</v>
      </c>
      <c r="H19" s="161"/>
      <c r="I19" s="123"/>
      <c r="J19" s="161"/>
      <c r="K19" s="204"/>
      <c r="L19" s="117"/>
      <c r="M19" s="355">
        <f>TRUNC(SUM(G7+G12+G13)*2.54%)</f>
        <v>45484</v>
      </c>
      <c r="N19" s="355">
        <f t="shared" si="0"/>
        <v>2238</v>
      </c>
    </row>
    <row r="20" spans="1:14" ht="20.100000000000001" customHeight="1">
      <c r="A20" s="494"/>
      <c r="B20" s="495"/>
      <c r="C20" s="499"/>
      <c r="D20" s="20"/>
      <c r="E20" s="249" t="s">
        <v>249</v>
      </c>
      <c r="F20" s="22"/>
      <c r="G20" s="123">
        <f>경비집계표!E11</f>
        <v>3125</v>
      </c>
      <c r="H20" s="161"/>
      <c r="I20" s="123"/>
      <c r="J20" s="161"/>
      <c r="K20" s="204"/>
      <c r="L20" s="117"/>
      <c r="M20" s="355">
        <f>TRUNC(M19*4.78%)</f>
        <v>2174</v>
      </c>
      <c r="N20" s="355">
        <f t="shared" si="0"/>
        <v>951</v>
      </c>
    </row>
    <row r="21" spans="1:14" ht="20.100000000000001" customHeight="1">
      <c r="A21" s="494"/>
      <c r="B21" s="495"/>
      <c r="C21" s="499"/>
      <c r="D21" s="20"/>
      <c r="E21" s="22" t="s">
        <v>32</v>
      </c>
      <c r="F21" s="22"/>
      <c r="G21" s="123">
        <f>경비집계표!E12</f>
        <v>1432</v>
      </c>
      <c r="H21" s="161"/>
      <c r="I21" s="123"/>
      <c r="J21" s="161"/>
      <c r="K21" s="204"/>
      <c r="L21" s="117"/>
      <c r="M21" s="355">
        <f>TRUNC(SUM(G7+G12+G13)*0.04%)</f>
        <v>716</v>
      </c>
      <c r="N21" s="355">
        <f t="shared" si="0"/>
        <v>716</v>
      </c>
    </row>
    <row r="22" spans="1:14" ht="20.100000000000001" customHeight="1">
      <c r="A22" s="494"/>
      <c r="B22" s="495"/>
      <c r="C22" s="500"/>
      <c r="D22" s="20"/>
      <c r="E22" s="198" t="s">
        <v>24</v>
      </c>
      <c r="F22" s="22"/>
      <c r="G22" s="123">
        <f>경비집계표!E13</f>
        <v>183001</v>
      </c>
      <c r="H22" s="161"/>
      <c r="I22" s="123"/>
      <c r="J22" s="161"/>
      <c r="K22" s="204"/>
      <c r="L22" s="117"/>
      <c r="M22" s="356">
        <f>SUM(M16:M21)</f>
        <v>187154</v>
      </c>
      <c r="N22" s="355">
        <f>G22-M22</f>
        <v>-4153</v>
      </c>
    </row>
    <row r="23" spans="1:14" ht="20.100000000000001" customHeight="1">
      <c r="A23" s="494"/>
      <c r="B23" s="495"/>
      <c r="C23" s="501" t="s">
        <v>304</v>
      </c>
      <c r="D23" s="20"/>
      <c r="E23" s="22" t="s">
        <v>33</v>
      </c>
      <c r="F23" s="22"/>
      <c r="G23" s="123">
        <f>경비집계표!E14</f>
        <v>115000</v>
      </c>
      <c r="H23" s="161"/>
      <c r="I23" s="123"/>
      <c r="J23" s="161"/>
      <c r="K23" s="204"/>
      <c r="L23" s="117"/>
    </row>
    <row r="24" spans="1:14" ht="20.100000000000001" customHeight="1">
      <c r="A24" s="494"/>
      <c r="B24" s="495"/>
      <c r="C24" s="502"/>
      <c r="D24" s="20"/>
      <c r="E24" s="454" t="s">
        <v>380</v>
      </c>
      <c r="F24" s="22"/>
      <c r="G24" s="123"/>
      <c r="H24" s="161"/>
      <c r="I24" s="123"/>
      <c r="J24" s="161"/>
      <c r="K24" s="204"/>
      <c r="L24" s="117"/>
    </row>
    <row r="25" spans="1:14" ht="20.100000000000001" customHeight="1">
      <c r="A25" s="494"/>
      <c r="B25" s="495"/>
      <c r="C25" s="503"/>
      <c r="D25" s="20"/>
      <c r="E25" s="198" t="s">
        <v>24</v>
      </c>
      <c r="F25" s="22"/>
      <c r="G25" s="123">
        <f>SUM(G23:G24)</f>
        <v>115000</v>
      </c>
      <c r="H25" s="161"/>
      <c r="I25" s="123"/>
      <c r="J25" s="161"/>
      <c r="K25" s="204"/>
      <c r="L25" s="117"/>
    </row>
    <row r="26" spans="1:14" ht="20.100000000000001" customHeight="1">
      <c r="A26" s="494"/>
      <c r="B26" s="495"/>
      <c r="C26" s="498" t="s">
        <v>253</v>
      </c>
      <c r="D26" s="20"/>
      <c r="E26" s="454" t="s">
        <v>370</v>
      </c>
      <c r="F26" s="22"/>
      <c r="G26" s="123">
        <f>경비집계표!E17</f>
        <v>0</v>
      </c>
      <c r="H26" s="161"/>
      <c r="I26" s="123"/>
      <c r="J26" s="161"/>
      <c r="K26" s="204"/>
      <c r="L26" s="117"/>
    </row>
    <row r="27" spans="1:14" ht="20.100000000000001" customHeight="1">
      <c r="A27" s="494"/>
      <c r="B27" s="495"/>
      <c r="C27" s="500"/>
      <c r="D27" s="20"/>
      <c r="E27" s="22" t="s">
        <v>254</v>
      </c>
      <c r="F27" s="22"/>
      <c r="G27" s="123">
        <f>경비집계표!E18</f>
        <v>0</v>
      </c>
      <c r="H27" s="161"/>
      <c r="I27" s="123"/>
      <c r="J27" s="161"/>
      <c r="K27" s="204"/>
      <c r="L27" s="117"/>
    </row>
    <row r="28" spans="1:14" ht="20.100000000000001" customHeight="1">
      <c r="A28" s="496"/>
      <c r="B28" s="497"/>
      <c r="C28" s="489" t="s">
        <v>27</v>
      </c>
      <c r="D28" s="490"/>
      <c r="E28" s="490"/>
      <c r="F28" s="491"/>
      <c r="G28" s="123">
        <f>경비집계표!E19</f>
        <v>298001</v>
      </c>
      <c r="H28" s="161"/>
      <c r="I28" s="200">
        <f>TRUNC(G28/$G$32*100,2)</f>
        <v>13.19</v>
      </c>
      <c r="J28" s="161"/>
      <c r="K28" s="204"/>
      <c r="L28" s="117" t="str">
        <f>경비집계표!$A$1&amp;"참조"</f>
        <v>&lt; 표 : 11 &gt; 참조</v>
      </c>
    </row>
    <row r="29" spans="1:14" ht="20.100000000000001" customHeight="1">
      <c r="A29" s="116"/>
      <c r="B29" s="507" t="s">
        <v>180</v>
      </c>
      <c r="C29" s="507"/>
      <c r="D29" s="507"/>
      <c r="E29" s="507"/>
      <c r="F29" s="202"/>
      <c r="G29" s="123">
        <f>SUM(G15,G28)</f>
        <v>2088727</v>
      </c>
      <c r="H29" s="161"/>
      <c r="I29" s="200">
        <f>TRUNC(G29/$G$32*100,2)</f>
        <v>92.46</v>
      </c>
      <c r="J29" s="161"/>
      <c r="K29" s="204"/>
      <c r="L29" s="358" t="s">
        <v>273</v>
      </c>
    </row>
    <row r="30" spans="1:14" ht="20.100000000000001" customHeight="1">
      <c r="A30" s="199"/>
      <c r="B30" s="508" t="s">
        <v>388</v>
      </c>
      <c r="C30" s="509"/>
      <c r="D30" s="509"/>
      <c r="E30" s="509"/>
      <c r="F30" s="471"/>
      <c r="G30" s="472">
        <f>TRUNC(G29*3%,0)</f>
        <v>62661</v>
      </c>
      <c r="H30" s="473"/>
      <c r="I30" s="474">
        <f>TRUNC(G30/$G$32*100,2)</f>
        <v>2.77</v>
      </c>
      <c r="J30" s="473"/>
      <c r="K30" s="475"/>
      <c r="L30" s="476" t="s">
        <v>373</v>
      </c>
    </row>
    <row r="31" spans="1:14" ht="20.100000000000001" customHeight="1">
      <c r="A31" s="199"/>
      <c r="B31" s="508" t="s">
        <v>390</v>
      </c>
      <c r="C31" s="509"/>
      <c r="D31" s="509"/>
      <c r="E31" s="509"/>
      <c r="F31" s="471"/>
      <c r="G31" s="472">
        <f>TRUNC(SUM(G15,G28,G30)*5%,0)</f>
        <v>107569</v>
      </c>
      <c r="H31" s="473"/>
      <c r="I31" s="474">
        <f>TRUNC(G31/$G$32*100,2)</f>
        <v>4.76</v>
      </c>
      <c r="J31" s="473"/>
      <c r="K31" s="475"/>
      <c r="L31" s="476" t="s">
        <v>378</v>
      </c>
    </row>
    <row r="32" spans="1:14" ht="20.100000000000001" customHeight="1">
      <c r="A32" s="199"/>
      <c r="B32" s="507" t="s">
        <v>293</v>
      </c>
      <c r="C32" s="507"/>
      <c r="D32" s="507"/>
      <c r="E32" s="507"/>
      <c r="F32" s="203"/>
      <c r="G32" s="123">
        <f>SUM(G29:G31)</f>
        <v>2258957</v>
      </c>
      <c r="H32" s="161"/>
      <c r="I32" s="200">
        <f>TRUNC(G32/$G$32*100,2)</f>
        <v>100</v>
      </c>
      <c r="J32" s="161"/>
      <c r="K32" s="204"/>
      <c r="L32" s="358" t="s">
        <v>266</v>
      </c>
    </row>
    <row r="33" spans="1:15" ht="20.100000000000001" customHeight="1">
      <c r="A33" s="199"/>
      <c r="B33" s="505" t="s">
        <v>297</v>
      </c>
      <c r="C33" s="505"/>
      <c r="D33" s="505"/>
      <c r="E33" s="505"/>
      <c r="F33" s="396"/>
      <c r="G33" s="352">
        <f>TRUNC(G32*10%)</f>
        <v>225895</v>
      </c>
      <c r="H33" s="393"/>
      <c r="I33" s="395"/>
      <c r="J33" s="393"/>
      <c r="K33" s="394"/>
      <c r="L33" s="358" t="s">
        <v>298</v>
      </c>
    </row>
    <row r="34" spans="1:15" ht="20.100000000000001" customHeight="1">
      <c r="A34" s="199"/>
      <c r="B34" s="505" t="s">
        <v>299</v>
      </c>
      <c r="C34" s="505"/>
      <c r="D34" s="505"/>
      <c r="E34" s="505"/>
      <c r="F34" s="396"/>
      <c r="G34" s="352">
        <f>SUM(G32:G33)</f>
        <v>2484852</v>
      </c>
      <c r="H34" s="393"/>
      <c r="I34" s="395"/>
      <c r="J34" s="393"/>
      <c r="K34" s="394"/>
      <c r="L34" s="358" t="s">
        <v>300</v>
      </c>
    </row>
    <row r="35" spans="1:15" ht="20.100000000000001" customHeight="1">
      <c r="A35" s="153"/>
      <c r="B35" s="153"/>
      <c r="C35" s="153"/>
      <c r="D35" s="153"/>
      <c r="E35" s="95"/>
      <c r="F35" s="95"/>
      <c r="G35" s="95"/>
      <c r="I35" s="31"/>
      <c r="L35" s="31"/>
      <c r="M35" s="31"/>
      <c r="N35" s="330"/>
      <c r="O35" s="330"/>
    </row>
    <row r="36" spans="1:15" s="108" customFormat="1" ht="39.950000000000003" customHeight="1">
      <c r="A36" s="105" t="s">
        <v>308</v>
      </c>
      <c r="B36" s="106"/>
      <c r="C36" s="154"/>
      <c r="D36" s="154"/>
      <c r="E36" s="155"/>
      <c r="F36" s="155"/>
      <c r="G36" s="107"/>
      <c r="H36" s="96"/>
      <c r="I36" s="27"/>
      <c r="J36" s="28"/>
      <c r="K36" s="27"/>
      <c r="L36" s="105"/>
      <c r="N36" s="331"/>
      <c r="O36" s="331"/>
    </row>
    <row r="37" spans="1:15" ht="20.100000000000001" customHeight="1">
      <c r="A37" s="188"/>
      <c r="B37" s="189"/>
      <c r="C37" s="188"/>
      <c r="D37" s="188"/>
      <c r="E37" s="189"/>
      <c r="F37" s="189"/>
      <c r="G37" s="97"/>
      <c r="H37" s="190"/>
      <c r="I37" s="29"/>
      <c r="J37" s="30"/>
      <c r="K37" s="29"/>
      <c r="L37" s="122"/>
      <c r="O37" s="331"/>
    </row>
    <row r="38" spans="1:15" ht="20.100000000000001" customHeight="1">
      <c r="A38" s="109" t="str">
        <f>"구 분 : "&amp;월기본급!B10&amp;"                       직종명 : "&amp;월기본급!F10&amp;""</f>
        <v>구 분 : 사무직                       직종명 : 사무직</v>
      </c>
      <c r="B38" s="110"/>
      <c r="C38" s="109"/>
      <c r="D38" s="109"/>
      <c r="G38" s="111"/>
      <c r="H38" s="111"/>
      <c r="I38" s="111"/>
      <c r="L38" s="191" t="s">
        <v>17</v>
      </c>
      <c r="O38" s="331"/>
    </row>
    <row r="39" spans="1:15" ht="20.100000000000001" customHeight="1">
      <c r="A39" s="192"/>
      <c r="B39" s="193"/>
      <c r="C39" s="193"/>
      <c r="D39" s="193"/>
      <c r="E39" s="194" t="s">
        <v>18</v>
      </c>
      <c r="F39" s="194"/>
      <c r="G39" s="510" t="s">
        <v>19</v>
      </c>
      <c r="H39" s="511"/>
      <c r="I39" s="510" t="s">
        <v>20</v>
      </c>
      <c r="J39" s="511"/>
      <c r="K39" s="205"/>
      <c r="L39" s="511" t="s">
        <v>21</v>
      </c>
      <c r="O39" s="331"/>
    </row>
    <row r="40" spans="1:15" ht="20.100000000000001" customHeight="1">
      <c r="A40" s="195" t="s">
        <v>22</v>
      </c>
      <c r="B40" s="201"/>
      <c r="C40" s="196"/>
      <c r="D40" s="196"/>
      <c r="E40" s="196"/>
      <c r="F40" s="196"/>
      <c r="G40" s="512"/>
      <c r="H40" s="513"/>
      <c r="I40" s="512"/>
      <c r="J40" s="513"/>
      <c r="K40" s="206"/>
      <c r="L40" s="513"/>
    </row>
    <row r="41" spans="1:15" ht="20.100000000000001" customHeight="1">
      <c r="A41" s="492" t="s">
        <v>199</v>
      </c>
      <c r="B41" s="493"/>
      <c r="C41" s="489" t="s">
        <v>23</v>
      </c>
      <c r="D41" s="490"/>
      <c r="E41" s="490"/>
      <c r="F41" s="491"/>
      <c r="G41" s="123">
        <f>단위당인건비!E48</f>
        <v>1038030</v>
      </c>
      <c r="H41" s="161"/>
      <c r="I41" s="123"/>
      <c r="J41" s="161"/>
      <c r="K41" s="204"/>
      <c r="L41" s="19"/>
    </row>
    <row r="42" spans="1:15" ht="20.100000000000001" customHeight="1">
      <c r="A42" s="494"/>
      <c r="B42" s="495"/>
      <c r="C42" s="498" t="s">
        <v>250</v>
      </c>
      <c r="D42" s="20"/>
      <c r="E42" s="22" t="s">
        <v>0</v>
      </c>
      <c r="F42" s="20"/>
      <c r="G42" s="123">
        <f>단위당인건비!E49</f>
        <v>0</v>
      </c>
      <c r="H42" s="161"/>
      <c r="I42" s="123"/>
      <c r="J42" s="161"/>
      <c r="K42" s="204"/>
      <c r="L42" s="19"/>
    </row>
    <row r="43" spans="1:15" ht="20.100000000000001" customHeight="1">
      <c r="A43" s="494"/>
      <c r="B43" s="495"/>
      <c r="C43" s="499"/>
      <c r="D43" s="20"/>
      <c r="E43" s="22" t="s">
        <v>229</v>
      </c>
      <c r="F43" s="197"/>
      <c r="G43" s="123">
        <f>단위당인건비!E50</f>
        <v>119199</v>
      </c>
      <c r="H43" s="161"/>
      <c r="I43" s="123"/>
      <c r="J43" s="161"/>
      <c r="K43" s="204"/>
      <c r="L43" s="19"/>
    </row>
    <row r="44" spans="1:15" ht="20.100000000000001" customHeight="1">
      <c r="A44" s="494"/>
      <c r="B44" s="495"/>
      <c r="C44" s="499"/>
      <c r="D44" s="20"/>
      <c r="E44" s="22" t="s">
        <v>5</v>
      </c>
      <c r="F44" s="197"/>
      <c r="G44" s="123">
        <f>단위당인건비!E51</f>
        <v>49666</v>
      </c>
      <c r="H44" s="161"/>
      <c r="I44" s="123"/>
      <c r="J44" s="161"/>
      <c r="K44" s="204"/>
      <c r="L44" s="19"/>
    </row>
    <row r="45" spans="1:15" ht="20.100000000000001" customHeight="1">
      <c r="A45" s="494"/>
      <c r="B45" s="495"/>
      <c r="C45" s="499"/>
      <c r="D45" s="20"/>
      <c r="E45" s="22" t="s">
        <v>251</v>
      </c>
      <c r="F45" s="197"/>
      <c r="G45" s="123">
        <f>단위당인건비!E52</f>
        <v>0</v>
      </c>
      <c r="H45" s="161"/>
      <c r="I45" s="123"/>
      <c r="J45" s="161"/>
      <c r="K45" s="204"/>
      <c r="L45" s="19"/>
    </row>
    <row r="46" spans="1:15" ht="20.100000000000001" customHeight="1">
      <c r="A46" s="494"/>
      <c r="B46" s="495"/>
      <c r="C46" s="500"/>
      <c r="D46" s="20"/>
      <c r="E46" s="198" t="s">
        <v>24</v>
      </c>
      <c r="F46" s="198"/>
      <c r="G46" s="123">
        <f>단위당인건비!E53</f>
        <v>168865</v>
      </c>
      <c r="H46" s="161"/>
      <c r="I46" s="173"/>
      <c r="J46" s="161"/>
      <c r="K46" s="204"/>
      <c r="L46" s="117"/>
    </row>
    <row r="47" spans="1:15" ht="20.100000000000001" customHeight="1">
      <c r="A47" s="494"/>
      <c r="B47" s="495"/>
      <c r="C47" s="489" t="s">
        <v>25</v>
      </c>
      <c r="D47" s="490"/>
      <c r="E47" s="490"/>
      <c r="F47" s="491"/>
      <c r="G47" s="123">
        <f>단위당인건비!E54</f>
        <v>346010</v>
      </c>
      <c r="H47" s="161"/>
      <c r="I47" s="173"/>
      <c r="J47" s="161"/>
      <c r="K47" s="204"/>
      <c r="L47" s="117"/>
    </row>
    <row r="48" spans="1:15" ht="20.100000000000001" customHeight="1">
      <c r="A48" s="494"/>
      <c r="B48" s="495"/>
      <c r="C48" s="489" t="s">
        <v>26</v>
      </c>
      <c r="D48" s="490"/>
      <c r="E48" s="490"/>
      <c r="F48" s="491"/>
      <c r="G48" s="123">
        <f>단위당인건비!E55</f>
        <v>124440</v>
      </c>
      <c r="H48" s="161"/>
      <c r="I48" s="173"/>
      <c r="J48" s="161"/>
      <c r="K48" s="204"/>
      <c r="L48" s="117"/>
    </row>
    <row r="49" spans="1:14" ht="20.100000000000001" customHeight="1">
      <c r="A49" s="496"/>
      <c r="B49" s="497"/>
      <c r="C49" s="489" t="s">
        <v>27</v>
      </c>
      <c r="D49" s="490"/>
      <c r="E49" s="490"/>
      <c r="F49" s="491"/>
      <c r="G49" s="123">
        <f>단위당인건비!E56</f>
        <v>1677345</v>
      </c>
      <c r="H49" s="161"/>
      <c r="I49" s="200">
        <f>TRUNC(G49/$G$65*100,2)</f>
        <v>79.489999999999995</v>
      </c>
      <c r="J49" s="161"/>
      <c r="K49" s="204"/>
      <c r="L49" s="117" t="str">
        <f>단위당인건비!$A$1&amp;"참조"</f>
        <v>&lt; 표 : 5 &gt; 참조</v>
      </c>
    </row>
    <row r="50" spans="1:14" ht="20.100000000000001" customHeight="1">
      <c r="A50" s="492" t="s">
        <v>206</v>
      </c>
      <c r="B50" s="493"/>
      <c r="C50" s="498" t="s">
        <v>4</v>
      </c>
      <c r="D50" s="20"/>
      <c r="E50" s="22" t="s">
        <v>28</v>
      </c>
      <c r="F50" s="22"/>
      <c r="G50" s="123">
        <f>경비집계표!F7</f>
        <v>32611</v>
      </c>
      <c r="H50" s="161"/>
      <c r="I50" s="123"/>
      <c r="J50" s="161"/>
      <c r="K50" s="204"/>
      <c r="L50" s="117"/>
      <c r="M50" s="355">
        <f>TRUNC(SUM(G41+G46+G47)*2.1%)</f>
        <v>32611</v>
      </c>
      <c r="N50" s="355">
        <f t="shared" ref="N50:N55" si="1">G50-M50</f>
        <v>0</v>
      </c>
    </row>
    <row r="51" spans="1:14" ht="20.100000000000001" customHeight="1">
      <c r="A51" s="494"/>
      <c r="B51" s="495"/>
      <c r="C51" s="499"/>
      <c r="D51" s="20"/>
      <c r="E51" s="22" t="s">
        <v>29</v>
      </c>
      <c r="F51" s="22"/>
      <c r="G51" s="123">
        <f>경비집계표!F8</f>
        <v>69880</v>
      </c>
      <c r="H51" s="161"/>
      <c r="I51" s="123"/>
      <c r="J51" s="161"/>
      <c r="K51" s="204"/>
      <c r="L51" s="117"/>
      <c r="M51" s="355">
        <f>TRUNC(SUM(G41+G46+G47)*4.5%)</f>
        <v>69880</v>
      </c>
      <c r="N51" s="355">
        <f t="shared" si="1"/>
        <v>0</v>
      </c>
    </row>
    <row r="52" spans="1:14" ht="20.100000000000001" customHeight="1">
      <c r="A52" s="494"/>
      <c r="B52" s="495"/>
      <c r="C52" s="499"/>
      <c r="D52" s="20"/>
      <c r="E52" s="22" t="s">
        <v>30</v>
      </c>
      <c r="F52" s="22"/>
      <c r="G52" s="123">
        <f>경비집계표!F9</f>
        <v>10870</v>
      </c>
      <c r="H52" s="161"/>
      <c r="I52" s="123"/>
      <c r="J52" s="161"/>
      <c r="K52" s="204"/>
      <c r="L52" s="117"/>
      <c r="M52" s="355">
        <f>TRUNC(SUM(G41+G46+G47)*1.15%)</f>
        <v>17858</v>
      </c>
      <c r="N52" s="355">
        <f t="shared" si="1"/>
        <v>-6988</v>
      </c>
    </row>
    <row r="53" spans="1:14" ht="20.100000000000001" customHeight="1">
      <c r="A53" s="494"/>
      <c r="B53" s="495"/>
      <c r="C53" s="499"/>
      <c r="D53" s="20"/>
      <c r="E53" s="22" t="s">
        <v>31</v>
      </c>
      <c r="F53" s="22"/>
      <c r="G53" s="123">
        <f>경비집계표!F10</f>
        <v>41384</v>
      </c>
      <c r="H53" s="161"/>
      <c r="I53" s="123"/>
      <c r="J53" s="161"/>
      <c r="K53" s="204"/>
      <c r="L53" s="117"/>
      <c r="M53" s="355">
        <f>TRUNC(SUM(G41+G46+G47)*2.54%)</f>
        <v>39443</v>
      </c>
      <c r="N53" s="355">
        <f t="shared" si="1"/>
        <v>1941</v>
      </c>
    </row>
    <row r="54" spans="1:14" ht="20.100000000000001" customHeight="1">
      <c r="A54" s="494"/>
      <c r="B54" s="495"/>
      <c r="C54" s="499"/>
      <c r="D54" s="20"/>
      <c r="E54" s="249" t="s">
        <v>249</v>
      </c>
      <c r="F54" s="22"/>
      <c r="G54" s="123">
        <f>경비집계표!F11</f>
        <v>2710</v>
      </c>
      <c r="H54" s="161"/>
      <c r="I54" s="123"/>
      <c r="J54" s="161"/>
      <c r="K54" s="204"/>
      <c r="L54" s="117"/>
      <c r="M54" s="355">
        <f>TRUNC(M53*4.78%)</f>
        <v>1885</v>
      </c>
      <c r="N54" s="355">
        <f t="shared" si="1"/>
        <v>825</v>
      </c>
    </row>
    <row r="55" spans="1:14" ht="20.100000000000001" customHeight="1">
      <c r="A55" s="494"/>
      <c r="B55" s="495"/>
      <c r="C55" s="499"/>
      <c r="D55" s="20"/>
      <c r="E55" s="22" t="s">
        <v>32</v>
      </c>
      <c r="F55" s="22"/>
      <c r="G55" s="123">
        <f>경비집계표!F12</f>
        <v>1242</v>
      </c>
      <c r="H55" s="161"/>
      <c r="I55" s="123"/>
      <c r="J55" s="161"/>
      <c r="K55" s="204"/>
      <c r="L55" s="117"/>
      <c r="M55" s="355">
        <f>TRUNC(SUM(G41+G46+G47)*0.04%)</f>
        <v>621</v>
      </c>
      <c r="N55" s="355">
        <f t="shared" si="1"/>
        <v>621</v>
      </c>
    </row>
    <row r="56" spans="1:14" ht="20.100000000000001" customHeight="1">
      <c r="A56" s="494"/>
      <c r="B56" s="495"/>
      <c r="C56" s="500"/>
      <c r="D56" s="20"/>
      <c r="E56" s="198" t="s">
        <v>24</v>
      </c>
      <c r="F56" s="22"/>
      <c r="G56" s="123">
        <f>경비집계표!F13</f>
        <v>158697</v>
      </c>
      <c r="H56" s="161"/>
      <c r="I56" s="123"/>
      <c r="J56" s="161"/>
      <c r="K56" s="204"/>
      <c r="L56" s="117"/>
      <c r="M56" s="356">
        <f>SUM(M50:M55)</f>
        <v>162298</v>
      </c>
      <c r="N56" s="355">
        <f>G56-M56</f>
        <v>-3601</v>
      </c>
    </row>
    <row r="57" spans="1:14" ht="20.100000000000001" customHeight="1">
      <c r="A57" s="494"/>
      <c r="B57" s="495"/>
      <c r="C57" s="501" t="s">
        <v>304</v>
      </c>
      <c r="D57" s="20"/>
      <c r="E57" s="22" t="s">
        <v>33</v>
      </c>
      <c r="F57" s="22"/>
      <c r="G57" s="123">
        <f>경비집계표!F14</f>
        <v>115000</v>
      </c>
      <c r="H57" s="161"/>
      <c r="I57" s="123"/>
      <c r="J57" s="161"/>
      <c r="K57" s="204"/>
      <c r="L57" s="117"/>
    </row>
    <row r="58" spans="1:14" ht="20.100000000000001" customHeight="1">
      <c r="A58" s="494"/>
      <c r="B58" s="495"/>
      <c r="C58" s="503"/>
      <c r="D58" s="20"/>
      <c r="E58" s="198" t="s">
        <v>24</v>
      </c>
      <c r="F58" s="22"/>
      <c r="G58" s="123">
        <f>경비집계표!F16</f>
        <v>115000</v>
      </c>
      <c r="H58" s="161"/>
      <c r="I58" s="123"/>
      <c r="J58" s="161"/>
      <c r="K58" s="204"/>
      <c r="L58" s="117"/>
    </row>
    <row r="59" spans="1:14" ht="20.100000000000001" customHeight="1">
      <c r="A59" s="494"/>
      <c r="B59" s="495"/>
      <c r="C59" s="498" t="s">
        <v>253</v>
      </c>
      <c r="D59" s="20"/>
      <c r="E59" s="454" t="s">
        <v>370</v>
      </c>
      <c r="F59" s="22"/>
      <c r="G59" s="123">
        <f>경비집계표!F17</f>
        <v>0</v>
      </c>
      <c r="H59" s="161"/>
      <c r="I59" s="123"/>
      <c r="J59" s="161"/>
      <c r="K59" s="204"/>
      <c r="L59" s="117"/>
    </row>
    <row r="60" spans="1:14" ht="20.100000000000001" customHeight="1">
      <c r="A60" s="494"/>
      <c r="B60" s="495"/>
      <c r="C60" s="500"/>
      <c r="D60" s="20"/>
      <c r="E60" s="22" t="s">
        <v>254</v>
      </c>
      <c r="F60" s="22"/>
      <c r="G60" s="123">
        <f>경비집계표!F18</f>
        <v>0</v>
      </c>
      <c r="H60" s="161"/>
      <c r="I60" s="123"/>
      <c r="J60" s="161"/>
      <c r="K60" s="204"/>
      <c r="L60" s="117"/>
    </row>
    <row r="61" spans="1:14" ht="20.100000000000001" customHeight="1">
      <c r="A61" s="496"/>
      <c r="B61" s="497"/>
      <c r="C61" s="489" t="s">
        <v>27</v>
      </c>
      <c r="D61" s="490"/>
      <c r="E61" s="490"/>
      <c r="F61" s="491"/>
      <c r="G61" s="123">
        <f>경비집계표!F19</f>
        <v>273697</v>
      </c>
      <c r="H61" s="161"/>
      <c r="I61" s="200">
        <f>ROUNDUP(G61/$G$65*100,1)</f>
        <v>13</v>
      </c>
      <c r="J61" s="161"/>
      <c r="K61" s="204"/>
      <c r="L61" s="117" t="str">
        <f>경비집계표!$A$1&amp;"참조"</f>
        <v>&lt; 표 : 11 &gt; 참조</v>
      </c>
    </row>
    <row r="62" spans="1:14" ht="20.100000000000001" customHeight="1">
      <c r="A62" s="116"/>
      <c r="B62" s="507" t="s">
        <v>180</v>
      </c>
      <c r="C62" s="507"/>
      <c r="D62" s="507"/>
      <c r="E62" s="507"/>
      <c r="F62" s="202"/>
      <c r="G62" s="123">
        <f>SUM(G49,G61)</f>
        <v>1951042</v>
      </c>
      <c r="H62" s="161"/>
      <c r="I62" s="200">
        <f>ROUNDUP(G62/$G$65*100,1)</f>
        <v>92.5</v>
      </c>
      <c r="J62" s="161"/>
      <c r="K62" s="204"/>
      <c r="L62" s="358" t="s">
        <v>273</v>
      </c>
    </row>
    <row r="63" spans="1:14" ht="20.100000000000001" customHeight="1">
      <c r="A63" s="484"/>
      <c r="B63" s="508" t="s">
        <v>388</v>
      </c>
      <c r="C63" s="509"/>
      <c r="D63" s="509"/>
      <c r="E63" s="509"/>
      <c r="F63" s="471"/>
      <c r="G63" s="472">
        <f>TRUNC(G62*3%,0)</f>
        <v>58531</v>
      </c>
      <c r="H63" s="473"/>
      <c r="I63" s="474">
        <f>TRUNC(G63/$G$65*100,2)</f>
        <v>2.77</v>
      </c>
      <c r="J63" s="473"/>
      <c r="K63" s="475"/>
      <c r="L63" s="476" t="s">
        <v>373</v>
      </c>
    </row>
    <row r="64" spans="1:14" ht="20.100000000000001" customHeight="1">
      <c r="A64" s="484"/>
      <c r="B64" s="508" t="s">
        <v>390</v>
      </c>
      <c r="C64" s="509"/>
      <c r="D64" s="509"/>
      <c r="E64" s="509"/>
      <c r="F64" s="471"/>
      <c r="G64" s="472">
        <f>TRUNC(SUM(G49,G61,G63)*5%,0)</f>
        <v>100478</v>
      </c>
      <c r="H64" s="473"/>
      <c r="I64" s="474">
        <f>TRUNC(G64/$G$65*100,2)</f>
        <v>4.76</v>
      </c>
      <c r="J64" s="473"/>
      <c r="K64" s="475"/>
      <c r="L64" s="476" t="s">
        <v>378</v>
      </c>
    </row>
    <row r="65" spans="1:15" ht="20.100000000000001" customHeight="1">
      <c r="A65" s="199"/>
      <c r="B65" s="507" t="s">
        <v>301</v>
      </c>
      <c r="C65" s="507"/>
      <c r="D65" s="507"/>
      <c r="E65" s="507"/>
      <c r="F65" s="203"/>
      <c r="G65" s="123">
        <f>SUM(G62:G64)</f>
        <v>2110051</v>
      </c>
      <c r="H65" s="161"/>
      <c r="I65" s="200">
        <f>TRUNC(G65/$G$65*100,2)</f>
        <v>100</v>
      </c>
      <c r="J65" s="161"/>
      <c r="K65" s="204"/>
      <c r="L65" s="358" t="s">
        <v>267</v>
      </c>
    </row>
    <row r="66" spans="1:15" ht="20.100000000000001" customHeight="1">
      <c r="A66" s="199"/>
      <c r="B66" s="505" t="s">
        <v>297</v>
      </c>
      <c r="C66" s="505"/>
      <c r="D66" s="505"/>
      <c r="E66" s="505"/>
      <c r="F66" s="396"/>
      <c r="G66" s="352">
        <f>TRUNC(G65*10%)</f>
        <v>211005</v>
      </c>
      <c r="H66" s="393"/>
      <c r="I66" s="395"/>
      <c r="J66" s="393"/>
      <c r="K66" s="394"/>
      <c r="L66" s="358" t="s">
        <v>298</v>
      </c>
    </row>
    <row r="67" spans="1:15" ht="20.100000000000001" customHeight="1">
      <c r="A67" s="199"/>
      <c r="B67" s="505" t="s">
        <v>299</v>
      </c>
      <c r="C67" s="505"/>
      <c r="D67" s="505"/>
      <c r="E67" s="505"/>
      <c r="F67" s="396"/>
      <c r="G67" s="352">
        <f>SUM(G65:G66)</f>
        <v>2321056</v>
      </c>
      <c r="H67" s="393"/>
      <c r="I67" s="395"/>
      <c r="J67" s="393"/>
      <c r="K67" s="394"/>
      <c r="L67" s="358" t="s">
        <v>300</v>
      </c>
    </row>
    <row r="68" spans="1:15" ht="20.100000000000001" customHeight="1">
      <c r="A68" s="153"/>
      <c r="B68" s="153"/>
      <c r="C68" s="153"/>
      <c r="D68" s="153"/>
      <c r="E68" s="95"/>
      <c r="F68" s="95"/>
      <c r="G68" s="95"/>
      <c r="I68" s="31"/>
      <c r="L68" s="31"/>
      <c r="M68" s="31"/>
      <c r="N68" s="330"/>
      <c r="O68" s="330"/>
    </row>
  </sheetData>
  <mergeCells count="40">
    <mergeCell ref="C59:C60"/>
    <mergeCell ref="C49:F49"/>
    <mergeCell ref="C50:C56"/>
    <mergeCell ref="A50:B61"/>
    <mergeCell ref="C61:F61"/>
    <mergeCell ref="G39:H40"/>
    <mergeCell ref="I39:J40"/>
    <mergeCell ref="L39:L40"/>
    <mergeCell ref="C57:C58"/>
    <mergeCell ref="B30:E30"/>
    <mergeCell ref="B31:E31"/>
    <mergeCell ref="B32:E32"/>
    <mergeCell ref="B33:E33"/>
    <mergeCell ref="B34:E34"/>
    <mergeCell ref="A41:B49"/>
    <mergeCell ref="C41:F41"/>
    <mergeCell ref="C48:F48"/>
    <mergeCell ref="C42:C46"/>
    <mergeCell ref="C47:F47"/>
    <mergeCell ref="B67:E67"/>
    <mergeCell ref="G5:H6"/>
    <mergeCell ref="I5:J6"/>
    <mergeCell ref="K5:L6"/>
    <mergeCell ref="A7:B15"/>
    <mergeCell ref="C7:F7"/>
    <mergeCell ref="C8:C12"/>
    <mergeCell ref="C13:F13"/>
    <mergeCell ref="C14:F14"/>
    <mergeCell ref="C15:F15"/>
    <mergeCell ref="A16:B28"/>
    <mergeCell ref="C16:C22"/>
    <mergeCell ref="C23:C25"/>
    <mergeCell ref="C26:C27"/>
    <mergeCell ref="C28:F28"/>
    <mergeCell ref="B29:E29"/>
    <mergeCell ref="B62:E62"/>
    <mergeCell ref="B64:E64"/>
    <mergeCell ref="B65:E65"/>
    <mergeCell ref="B63:E63"/>
    <mergeCell ref="B66:E66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13" orientation="portrait" r:id="rId1"/>
  <headerFooter alignWithMargins="0">
    <oddFooter>&amp;C- &amp;P+3 -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showGridLines="0" showZeros="0" view="pageBreakPreview" workbookViewId="0">
      <selection activeCell="A9" sqref="A9:IV16"/>
    </sheetView>
  </sheetViews>
  <sheetFormatPr defaultRowHeight="12"/>
  <cols>
    <col min="1" max="1" width="1.7109375" style="9" customWidth="1"/>
    <col min="2" max="2" width="13.7109375" style="9" customWidth="1"/>
    <col min="3" max="3" width="1.7109375" style="9" customWidth="1"/>
    <col min="4" max="4" width="1.7109375" style="95" customWidth="1"/>
    <col min="5" max="5" width="15.28515625" style="95" customWidth="1"/>
    <col min="6" max="6" width="1.7109375" style="95" customWidth="1"/>
    <col min="7" max="10" width="11.7109375" style="31" customWidth="1"/>
    <col min="11" max="11" width="12.7109375" style="31" customWidth="1"/>
    <col min="12" max="12" width="9.140625" style="31"/>
    <col min="13" max="16384" width="9.140625" style="95"/>
  </cols>
  <sheetData>
    <row r="1" spans="1:12" ht="20.100000000000001" customHeight="1">
      <c r="A1" s="153" t="s">
        <v>311</v>
      </c>
      <c r="B1" s="153"/>
      <c r="C1" s="153"/>
    </row>
    <row r="2" spans="1:12" s="108" customFormat="1" ht="39.950000000000003" customHeight="1">
      <c r="A2" s="106" t="s">
        <v>36</v>
      </c>
      <c r="B2" s="106"/>
      <c r="C2" s="106"/>
      <c r="D2" s="154"/>
      <c r="E2" s="154"/>
      <c r="F2" s="154"/>
      <c r="G2" s="96"/>
      <c r="H2" s="96"/>
      <c r="I2" s="96"/>
      <c r="J2" s="96"/>
      <c r="K2" s="96"/>
      <c r="L2" s="177"/>
    </row>
    <row r="3" spans="1:12" s="108" customFormat="1" ht="20.100000000000001" customHeight="1">
      <c r="A3" s="106"/>
      <c r="B3" s="106"/>
      <c r="C3" s="106"/>
      <c r="D3" s="154"/>
      <c r="E3" s="154"/>
      <c r="F3" s="154"/>
      <c r="G3" s="96"/>
      <c r="H3" s="96"/>
      <c r="I3" s="96"/>
      <c r="J3" s="96"/>
      <c r="K3" s="96"/>
      <c r="L3" s="177"/>
    </row>
    <row r="4" spans="1:12" ht="20.100000000000001" customHeight="1">
      <c r="A4" s="110"/>
      <c r="B4" s="110"/>
      <c r="C4" s="110"/>
      <c r="D4" s="109"/>
      <c r="E4" s="109"/>
      <c r="F4" s="109"/>
      <c r="K4" s="156" t="s">
        <v>37</v>
      </c>
    </row>
    <row r="5" spans="1:12" s="127" customFormat="1" ht="50.1" customHeight="1">
      <c r="A5" s="4"/>
      <c r="B5" s="10" t="s">
        <v>38</v>
      </c>
      <c r="C5" s="3"/>
      <c r="D5" s="4"/>
      <c r="E5" s="6" t="s">
        <v>39</v>
      </c>
      <c r="F5" s="3"/>
      <c r="G5" s="14" t="s">
        <v>40</v>
      </c>
      <c r="H5" s="14" t="s">
        <v>41</v>
      </c>
      <c r="I5" s="14" t="s">
        <v>42</v>
      </c>
      <c r="J5" s="14" t="s">
        <v>43</v>
      </c>
      <c r="K5" s="14" t="s">
        <v>16</v>
      </c>
      <c r="L5" s="101"/>
    </row>
    <row r="6" spans="1:12" s="127" customFormat="1" ht="9.9499999999999993" customHeight="1">
      <c r="A6" s="4"/>
      <c r="B6" s="10"/>
      <c r="C6" s="3"/>
      <c r="D6" s="4"/>
      <c r="E6" s="6"/>
      <c r="F6" s="3"/>
      <c r="G6" s="14"/>
      <c r="H6" s="14"/>
      <c r="I6" s="14"/>
      <c r="J6" s="14"/>
      <c r="K6" s="14"/>
      <c r="L6" s="101"/>
    </row>
    <row r="7" spans="1:12" ht="30" customHeight="1">
      <c r="A7" s="170"/>
      <c r="B7" s="39" t="str">
        <f>월기본급!B9</f>
        <v>운전기사</v>
      </c>
      <c r="C7" s="100"/>
      <c r="D7" s="114"/>
      <c r="E7" s="400" t="str">
        <f>월기본급!F9</f>
        <v>운전직(트레일러공)</v>
      </c>
      <c r="F7" s="104"/>
      <c r="G7" s="103">
        <f>단위당인건비!E27</f>
        <v>1197000</v>
      </c>
      <c r="H7" s="103">
        <f>단위당인건비!E32</f>
        <v>194726</v>
      </c>
      <c r="I7" s="103">
        <f>단위당인건비!E33</f>
        <v>399000</v>
      </c>
      <c r="J7" s="103">
        <f>단위당인건비!E34</f>
        <v>0</v>
      </c>
      <c r="K7" s="103">
        <f>SUM(G7:J7)</f>
        <v>1790726</v>
      </c>
    </row>
    <row r="8" spans="1:12" ht="30" customHeight="1">
      <c r="A8" s="170"/>
      <c r="B8" s="39" t="str">
        <f>월기본급!B10</f>
        <v>사무직</v>
      </c>
      <c r="C8" s="100"/>
      <c r="D8" s="114"/>
      <c r="E8" s="400" t="str">
        <f>월기본급!F10</f>
        <v>사무직</v>
      </c>
      <c r="F8" s="104"/>
      <c r="G8" s="103">
        <f>단위당인건비!E48</f>
        <v>1038030</v>
      </c>
      <c r="H8" s="103">
        <f>단위당인건비!E53</f>
        <v>168865</v>
      </c>
      <c r="I8" s="103">
        <f>단위당인건비!E54</f>
        <v>346010</v>
      </c>
      <c r="J8" s="103">
        <f>단위당인건비!E55</f>
        <v>124440</v>
      </c>
      <c r="K8" s="103">
        <f>SUM(G8:J8)</f>
        <v>1677345</v>
      </c>
    </row>
    <row r="9" spans="1:12" ht="24.95" customHeight="1">
      <c r="A9" s="110" t="str">
        <f>"주) 금액 : "&amp;단위당인건비!A1&amp;단위당인건비!A2&amp;" 참조"</f>
        <v>주) 금액 : &lt; 표 : 5 &gt; 단위(1인)당인건비산출표 참조</v>
      </c>
    </row>
    <row r="10" spans="1:12" ht="24.95" customHeight="1"/>
  </sheetData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30" orientation="portrait" r:id="rId1"/>
  <headerFooter alignWithMargins="0">
    <oddFooter>&amp;C- &amp;P+12 -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showGridLines="0" showZeros="0" view="pageBreakPreview" topLeftCell="A40" workbookViewId="0">
      <selection activeCell="H57" sqref="H57"/>
    </sheetView>
  </sheetViews>
  <sheetFormatPr defaultRowHeight="12"/>
  <cols>
    <col min="1" max="1" width="6.7109375" style="122" customWidth="1"/>
    <col min="2" max="2" width="1.7109375" style="94" customWidth="1"/>
    <col min="3" max="3" width="15.7109375" style="94" customWidth="1"/>
    <col min="4" max="4" width="1.7109375" style="94" customWidth="1"/>
    <col min="5" max="5" width="14.7109375" style="32" customWidth="1"/>
    <col min="6" max="6" width="2.7109375" style="32" customWidth="1"/>
    <col min="7" max="7" width="0.85546875" style="32" customWidth="1"/>
    <col min="8" max="8" width="28.7109375" style="32" customWidth="1"/>
    <col min="9" max="9" width="0.85546875" style="32" customWidth="1"/>
    <col min="10" max="10" width="21.7109375" style="31" customWidth="1"/>
    <col min="11" max="11" width="8.5703125" style="95" customWidth="1"/>
    <col min="12" max="12" width="16.7109375" style="109" customWidth="1"/>
    <col min="13" max="16384" width="9.140625" style="95"/>
  </cols>
  <sheetData>
    <row r="1" spans="1:12" ht="20.100000000000001" customHeight="1">
      <c r="A1" s="125" t="s">
        <v>312</v>
      </c>
      <c r="B1" s="127"/>
      <c r="C1" s="127"/>
      <c r="D1" s="127"/>
    </row>
    <row r="2" spans="1:12" s="108" customFormat="1" ht="39.950000000000003" customHeight="1">
      <c r="A2" s="105" t="s">
        <v>44</v>
      </c>
      <c r="B2" s="106"/>
      <c r="C2" s="106"/>
      <c r="D2" s="106"/>
      <c r="E2" s="107"/>
      <c r="F2" s="107"/>
      <c r="G2" s="107"/>
      <c r="H2" s="27"/>
      <c r="I2" s="27"/>
      <c r="J2" s="28"/>
      <c r="L2" s="178"/>
    </row>
    <row r="3" spans="1:12" s="108" customFormat="1" ht="20.100000000000001" customHeight="1">
      <c r="A3" s="105"/>
      <c r="B3" s="106"/>
      <c r="C3" s="106"/>
      <c r="D3" s="106"/>
      <c r="E3" s="107"/>
      <c r="F3" s="107"/>
      <c r="G3" s="107"/>
      <c r="H3" s="27"/>
      <c r="I3" s="27"/>
      <c r="J3" s="28"/>
      <c r="L3" s="178"/>
    </row>
    <row r="4" spans="1:12" ht="20.100000000000001" hidden="1" customHeight="1">
      <c r="A4" s="109" t="e">
        <f>"구 분 : "&amp;월기본급!#REF!&amp;"                       직종명 : "&amp;월기본급!#REF!&amp;""</f>
        <v>#REF!</v>
      </c>
      <c r="B4" s="110"/>
      <c r="C4" s="110"/>
      <c r="D4" s="110"/>
      <c r="E4" s="120"/>
      <c r="F4" s="120"/>
      <c r="G4" s="120"/>
      <c r="J4" s="156" t="s">
        <v>37</v>
      </c>
      <c r="K4" s="95">
        <v>209</v>
      </c>
      <c r="L4" s="109" t="s">
        <v>45</v>
      </c>
    </row>
    <row r="5" spans="1:12" ht="50.1" hidden="1" customHeight="1">
      <c r="A5" s="489" t="s">
        <v>46</v>
      </c>
      <c r="B5" s="490"/>
      <c r="C5" s="490"/>
      <c r="D5" s="491"/>
      <c r="E5" s="514" t="s">
        <v>47</v>
      </c>
      <c r="F5" s="515"/>
      <c r="G5" s="172" t="s">
        <v>179</v>
      </c>
      <c r="H5" s="171"/>
      <c r="I5" s="172" t="s">
        <v>48</v>
      </c>
      <c r="J5" s="171"/>
    </row>
    <row r="6" spans="1:12" ht="33.950000000000003" hidden="1" customHeight="1">
      <c r="A6" s="489" t="s">
        <v>49</v>
      </c>
      <c r="B6" s="490"/>
      <c r="C6" s="490"/>
      <c r="D6" s="491"/>
      <c r="E6" s="123" t="e">
        <f>월기본급!#REF!</f>
        <v>#REF!</v>
      </c>
      <c r="F6" s="161"/>
      <c r="G6" s="184"/>
      <c r="H6" s="169"/>
      <c r="I6" s="168"/>
      <c r="J6" s="117" t="s">
        <v>50</v>
      </c>
    </row>
    <row r="7" spans="1:12" ht="33.950000000000003" hidden="1" customHeight="1">
      <c r="A7" s="498" t="s">
        <v>252</v>
      </c>
      <c r="B7" s="21"/>
      <c r="C7" s="22" t="s">
        <v>0</v>
      </c>
      <c r="D7" s="19"/>
      <c r="E7" s="357" t="e">
        <f>TRUNC((E6/K4*(4*4.34)*1.25)+(E6/K4*($L$7)*1.5),0)</f>
        <v>#REF!</v>
      </c>
      <c r="F7" s="161"/>
      <c r="G7" s="184"/>
      <c r="H7" s="186" t="s">
        <v>196</v>
      </c>
      <c r="I7" s="179"/>
      <c r="J7" s="117" t="s">
        <v>12</v>
      </c>
      <c r="K7" s="391">
        <f>연장근로!G8</f>
        <v>0</v>
      </c>
      <c r="L7" s="109">
        <f>연장근로!G9</f>
        <v>0</v>
      </c>
    </row>
    <row r="8" spans="1:12" ht="33.950000000000003" hidden="1" customHeight="1">
      <c r="A8" s="499"/>
      <c r="B8" s="21"/>
      <c r="C8" s="22" t="s">
        <v>203</v>
      </c>
      <c r="D8" s="19"/>
      <c r="E8" s="357" t="e">
        <f>TRUNC(E6/K4*K8*1.5,0)</f>
        <v>#REF!</v>
      </c>
      <c r="F8" s="161"/>
      <c r="G8" s="184"/>
      <c r="H8" s="186" t="s">
        <v>196</v>
      </c>
      <c r="I8" s="179"/>
      <c r="J8" s="117" t="s">
        <v>13</v>
      </c>
      <c r="K8" s="391">
        <f>휴일근로!$G$10</f>
        <v>16</v>
      </c>
    </row>
    <row r="9" spans="1:12" ht="33.950000000000003" hidden="1" customHeight="1">
      <c r="A9" s="499"/>
      <c r="B9" s="21"/>
      <c r="C9" s="22" t="s">
        <v>51</v>
      </c>
      <c r="D9" s="19"/>
      <c r="E9" s="123" t="e">
        <f>TRUNC(((E6/K4)*8*15)/12,0)</f>
        <v>#REF!</v>
      </c>
      <c r="F9" s="161"/>
      <c r="G9" s="184"/>
      <c r="H9" s="186" t="s">
        <v>195</v>
      </c>
      <c r="I9" s="179"/>
      <c r="J9" s="117" t="s">
        <v>14</v>
      </c>
    </row>
    <row r="10" spans="1:12" ht="33.950000000000003" hidden="1" customHeight="1">
      <c r="A10" s="499"/>
      <c r="B10" s="21"/>
      <c r="C10" s="22" t="s">
        <v>251</v>
      </c>
      <c r="D10" s="19"/>
      <c r="E10" s="123">
        <v>200000</v>
      </c>
      <c r="F10" s="161"/>
      <c r="G10" s="184"/>
      <c r="H10" s="186"/>
      <c r="I10" s="179"/>
      <c r="J10" s="117" t="s">
        <v>15</v>
      </c>
    </row>
    <row r="11" spans="1:12" ht="33.950000000000003" hidden="1" customHeight="1">
      <c r="A11" s="500"/>
      <c r="B11" s="21"/>
      <c r="C11" s="22" t="s">
        <v>52</v>
      </c>
      <c r="D11" s="19"/>
      <c r="E11" s="123" t="e">
        <f>SUM(E7:E10)</f>
        <v>#REF!</v>
      </c>
      <c r="F11" s="161"/>
      <c r="G11" s="184"/>
      <c r="H11" s="186"/>
      <c r="I11" s="179"/>
      <c r="J11" s="117"/>
    </row>
    <row r="12" spans="1:12" ht="33.950000000000003" hidden="1" customHeight="1">
      <c r="A12" s="489" t="s">
        <v>53</v>
      </c>
      <c r="B12" s="490"/>
      <c r="C12" s="490"/>
      <c r="D12" s="491"/>
      <c r="E12" s="123" t="e">
        <f>TRUNC(E6*4/12,0)</f>
        <v>#REF!</v>
      </c>
      <c r="F12" s="161"/>
      <c r="G12" s="184"/>
      <c r="H12" s="187" t="s">
        <v>230</v>
      </c>
      <c r="I12" s="180"/>
      <c r="J12" s="117" t="s">
        <v>259</v>
      </c>
    </row>
    <row r="13" spans="1:12" ht="33.950000000000003" hidden="1" customHeight="1">
      <c r="A13" s="489" t="s">
        <v>54</v>
      </c>
      <c r="B13" s="490"/>
      <c r="C13" s="490"/>
      <c r="D13" s="491"/>
      <c r="E13" s="123" t="e">
        <f>TRUNC(SUM(E6,E11,E12)/12,0)</f>
        <v>#REF!</v>
      </c>
      <c r="F13" s="161"/>
      <c r="G13" s="184"/>
      <c r="H13" s="186" t="s">
        <v>55</v>
      </c>
      <c r="I13" s="179"/>
      <c r="J13" s="117" t="s">
        <v>260</v>
      </c>
    </row>
    <row r="14" spans="1:12" ht="45" hidden="1" customHeight="1">
      <c r="A14" s="489" t="s">
        <v>56</v>
      </c>
      <c r="B14" s="490"/>
      <c r="C14" s="490"/>
      <c r="D14" s="491"/>
      <c r="E14" s="123" t="e">
        <f>SUM(E6,E11,E12,E13)</f>
        <v>#REF!</v>
      </c>
      <c r="F14" s="161"/>
      <c r="G14" s="184"/>
      <c r="H14" s="5"/>
      <c r="I14" s="12"/>
      <c r="J14" s="11"/>
    </row>
    <row r="15" spans="1:12" s="121" customFormat="1" ht="22.5" hidden="1" customHeight="1">
      <c r="A15" s="158" t="str">
        <f>"주 1) 기본급 : "&amp;월기본급!$A$1&amp;월기본급!$A$2&amp;" 참조"</f>
        <v>주 1) 기본급 : &lt; 표 : 8 &gt; M/M당기본급산출표 참조</v>
      </c>
      <c r="B15" s="158"/>
      <c r="C15" s="158"/>
      <c r="D15" s="158"/>
      <c r="E15" s="119"/>
      <c r="F15" s="119"/>
      <c r="G15" s="119"/>
      <c r="H15" s="119"/>
      <c r="I15" s="119"/>
      <c r="J15" s="119"/>
      <c r="L15" s="160"/>
    </row>
    <row r="16" spans="1:12" s="327" customFormat="1" ht="22.5" hidden="1" customHeight="1">
      <c r="A16" s="322" t="e">
        <f>"   2) 연장근로수당 : ["&amp;FIXED(E6,0)&amp;"(기본급)÷"&amp;K4&amp;"시간(월근로시간)×(4시간×4.34주)×1.25(할증)+"</f>
        <v>#REF!</v>
      </c>
      <c r="B16" s="325"/>
      <c r="C16" s="325"/>
      <c r="D16" s="325"/>
      <c r="E16" s="326"/>
      <c r="F16" s="326"/>
      <c r="G16" s="326"/>
      <c r="H16" s="326"/>
      <c r="I16" s="326"/>
      <c r="J16" s="326"/>
      <c r="L16" s="328"/>
    </row>
    <row r="17" spans="1:13" s="327" customFormat="1" ht="22.5" hidden="1" customHeight="1">
      <c r="A17" s="322" t="e">
        <f>"                    "&amp;FIXED(E6,0)&amp;"(기본급)÷"&amp;K4&amp;"시간(월근로시간)×("&amp;(연장근로!$D$9)&amp;"시간×"&amp;(연장근로!$F$9)&amp;"주)×1.5(할증)]"</f>
        <v>#REF!</v>
      </c>
      <c r="B17" s="325"/>
      <c r="C17" s="325"/>
      <c r="D17" s="325"/>
      <c r="E17" s="326"/>
      <c r="F17" s="326"/>
      <c r="G17" s="326"/>
      <c r="H17" s="326"/>
      <c r="I17" s="326"/>
      <c r="J17" s="326"/>
      <c r="L17" s="328"/>
    </row>
    <row r="18" spans="1:13" s="327" customFormat="1" ht="22.5" hidden="1" customHeight="1">
      <c r="A18" s="324" t="s">
        <v>268</v>
      </c>
      <c r="B18" s="325"/>
      <c r="C18" s="325"/>
      <c r="D18" s="325"/>
      <c r="E18" s="326"/>
      <c r="F18" s="326"/>
      <c r="G18" s="326"/>
      <c r="H18" s="326"/>
      <c r="I18" s="326"/>
      <c r="J18" s="326"/>
      <c r="L18" s="328"/>
    </row>
    <row r="19" spans="1:13" s="121" customFormat="1" ht="22.5" hidden="1" customHeight="1">
      <c r="A19" s="322" t="e">
        <f>"   3) 휴일근로수당 : "&amp;FIXED(E6,0)&amp;"(기본급)÷"&amp;K4&amp;"(월근로시간)×"&amp;K8&amp;"시간(휴일근로시간)×1.5(할증)"</f>
        <v>#REF!</v>
      </c>
      <c r="B19" s="158"/>
      <c r="C19" s="158"/>
      <c r="D19" s="158"/>
      <c r="E19" s="119"/>
      <c r="F19" s="119"/>
      <c r="G19" s="119"/>
      <c r="H19" s="119"/>
      <c r="I19" s="119"/>
      <c r="J19" s="119"/>
      <c r="L19" s="160"/>
    </row>
    <row r="20" spans="1:13" s="121" customFormat="1" ht="22.5" hidden="1" customHeight="1">
      <c r="A20" s="322" t="e">
        <f>"   4) 년차수당 : "&amp;FIXED(E6,0)&amp;"(기본급)÷"&amp;K4&amp;"(월근로시간)×8시간(일근로시간)×15일/년÷12개월"</f>
        <v>#REF!</v>
      </c>
      <c r="B20" s="118"/>
      <c r="C20" s="118"/>
      <c r="D20" s="118"/>
      <c r="E20" s="120"/>
      <c r="F20" s="120"/>
      <c r="G20" s="120"/>
      <c r="H20" s="120"/>
      <c r="I20" s="120"/>
      <c r="J20" s="111"/>
      <c r="L20" s="160"/>
    </row>
    <row r="21" spans="1:13" s="121" customFormat="1" ht="22.5" hidden="1" customHeight="1">
      <c r="A21" s="322" t="s">
        <v>261</v>
      </c>
      <c r="B21" s="118"/>
      <c r="C21" s="118"/>
      <c r="D21" s="118"/>
      <c r="E21" s="120"/>
      <c r="F21" s="120"/>
      <c r="G21" s="120"/>
      <c r="H21" s="120"/>
      <c r="I21" s="120"/>
      <c r="J21" s="111"/>
      <c r="L21" s="160"/>
    </row>
    <row r="22" spans="1:13" ht="22.5" hidden="1" customHeight="1">
      <c r="A22" s="322" t="e">
        <f>"   6) 상여금 : "&amp;FIXED(E6,0)&amp;"(기본급)×4개월(년 400%적용)÷12개월"</f>
        <v>#REF!</v>
      </c>
      <c r="J22" s="32"/>
    </row>
    <row r="23" spans="1:13" ht="22.5" hidden="1" customHeight="1">
      <c r="A23" s="181" t="e">
        <f>"   7) 퇴직급여충당금 : {"&amp;FIXED(E6,0)&amp;"(기본급)+"&amp;FIXED(E11,0)&amp;"(제수당)+"&amp;FIXED(E12,0)&amp;"(상여금)}÷12개월"</f>
        <v>#REF!</v>
      </c>
      <c r="J23" s="32"/>
    </row>
    <row r="24" spans="1:13" ht="23.1" hidden="1" customHeight="1">
      <c r="A24" s="181"/>
      <c r="J24" s="32"/>
    </row>
    <row r="25" spans="1:13" ht="20.100000000000001" customHeight="1">
      <c r="A25" s="109" t="str">
        <f>"구 분 : "&amp;월기본급!B9&amp;"                       직종명 : "&amp;월기본급!F9&amp;""</f>
        <v>구 분 : 운전기사                       직종명 : 운전직(트레일러공)</v>
      </c>
      <c r="B25" s="110"/>
      <c r="C25" s="110"/>
      <c r="D25" s="110"/>
      <c r="E25" s="120"/>
      <c r="F25" s="120"/>
      <c r="G25" s="120"/>
      <c r="J25" s="156" t="s">
        <v>37</v>
      </c>
      <c r="K25" s="95">
        <v>209</v>
      </c>
      <c r="L25" s="109" t="s">
        <v>45</v>
      </c>
    </row>
    <row r="26" spans="1:13" ht="50.1" customHeight="1">
      <c r="A26" s="489" t="s">
        <v>46</v>
      </c>
      <c r="B26" s="490"/>
      <c r="C26" s="490"/>
      <c r="D26" s="491"/>
      <c r="E26" s="514" t="s">
        <v>47</v>
      </c>
      <c r="F26" s="515"/>
      <c r="G26" s="172" t="s">
        <v>179</v>
      </c>
      <c r="H26" s="171"/>
      <c r="I26" s="172" t="s">
        <v>48</v>
      </c>
      <c r="J26" s="171"/>
    </row>
    <row r="27" spans="1:13" ht="35.1" customHeight="1">
      <c r="A27" s="489" t="s">
        <v>49</v>
      </c>
      <c r="B27" s="490"/>
      <c r="C27" s="490"/>
      <c r="D27" s="491"/>
      <c r="E27" s="123">
        <f>월기본급!J9</f>
        <v>1197000</v>
      </c>
      <c r="F27" s="161"/>
      <c r="G27" s="184"/>
      <c r="H27" s="169"/>
      <c r="I27" s="168"/>
      <c r="J27" s="117" t="s">
        <v>50</v>
      </c>
    </row>
    <row r="28" spans="1:13" ht="35.1" customHeight="1">
      <c r="A28" s="498" t="s">
        <v>252</v>
      </c>
      <c r="B28" s="21"/>
      <c r="C28" s="455" t="s">
        <v>372</v>
      </c>
      <c r="D28" s="19"/>
      <c r="E28" s="357"/>
      <c r="F28" s="161"/>
      <c r="G28" s="184"/>
      <c r="H28" s="186" t="s">
        <v>196</v>
      </c>
      <c r="I28" s="179"/>
      <c r="J28" s="117" t="s">
        <v>12</v>
      </c>
      <c r="K28" s="391">
        <f>연장근로!G31</f>
        <v>0</v>
      </c>
      <c r="L28" s="109">
        <f>연장근로!G32</f>
        <v>0</v>
      </c>
      <c r="M28" s="95">
        <v>0</v>
      </c>
    </row>
    <row r="29" spans="1:13" ht="35.1" customHeight="1">
      <c r="A29" s="499"/>
      <c r="B29" s="21"/>
      <c r="C29" s="22" t="s">
        <v>203</v>
      </c>
      <c r="D29" s="19"/>
      <c r="E29" s="357">
        <f>TRUNC(E27/K25*K29*1.5,0)</f>
        <v>137454</v>
      </c>
      <c r="F29" s="161"/>
      <c r="G29" s="184"/>
      <c r="H29" s="186" t="s">
        <v>196</v>
      </c>
      <c r="I29" s="179"/>
      <c r="J29" s="117" t="s">
        <v>13</v>
      </c>
      <c r="K29" s="391">
        <f>휴일근로!$G$10</f>
        <v>16</v>
      </c>
      <c r="M29" s="95">
        <f>연장근로!D8</f>
        <v>0</v>
      </c>
    </row>
    <row r="30" spans="1:13" ht="35.1" customHeight="1">
      <c r="A30" s="499"/>
      <c r="B30" s="21"/>
      <c r="C30" s="22" t="s">
        <v>51</v>
      </c>
      <c r="D30" s="19"/>
      <c r="E30" s="123">
        <f>TRUNC(((E27/K25)*8*15)/12,0)</f>
        <v>57272</v>
      </c>
      <c r="F30" s="161"/>
      <c r="G30" s="184"/>
      <c r="H30" s="186" t="s">
        <v>195</v>
      </c>
      <c r="I30" s="179"/>
      <c r="J30" s="117" t="s">
        <v>14</v>
      </c>
    </row>
    <row r="31" spans="1:13" ht="35.1" customHeight="1">
      <c r="A31" s="499"/>
      <c r="B31" s="21"/>
      <c r="C31" s="22" t="s">
        <v>251</v>
      </c>
      <c r="D31" s="19"/>
      <c r="E31" s="123"/>
      <c r="F31" s="161"/>
      <c r="G31" s="184"/>
      <c r="H31" s="186"/>
      <c r="I31" s="179"/>
      <c r="J31" s="117" t="s">
        <v>15</v>
      </c>
    </row>
    <row r="32" spans="1:13" ht="35.1" customHeight="1">
      <c r="A32" s="500"/>
      <c r="B32" s="21"/>
      <c r="C32" s="22" t="s">
        <v>52</v>
      </c>
      <c r="D32" s="19"/>
      <c r="E32" s="123">
        <f>SUM(E28:E31)</f>
        <v>194726</v>
      </c>
      <c r="F32" s="161"/>
      <c r="G32" s="184"/>
      <c r="H32" s="186"/>
      <c r="I32" s="179"/>
      <c r="J32" s="117"/>
    </row>
    <row r="33" spans="1:12" ht="35.1" customHeight="1">
      <c r="A33" s="489" t="s">
        <v>53</v>
      </c>
      <c r="B33" s="490"/>
      <c r="C33" s="490"/>
      <c r="D33" s="491"/>
      <c r="E33" s="123">
        <f>TRUNC(E27*4/12,0)</f>
        <v>399000</v>
      </c>
      <c r="F33" s="161"/>
      <c r="G33" s="184"/>
      <c r="H33" s="187" t="s">
        <v>230</v>
      </c>
      <c r="I33" s="180"/>
      <c r="J33" s="117" t="s">
        <v>259</v>
      </c>
    </row>
    <row r="34" spans="1:12" ht="35.1" customHeight="1">
      <c r="A34" s="489" t="s">
        <v>54</v>
      </c>
      <c r="B34" s="490"/>
      <c r="C34" s="490"/>
      <c r="D34" s="491"/>
      <c r="E34" s="123"/>
      <c r="F34" s="161"/>
      <c r="G34" s="184"/>
      <c r="H34" s="186" t="s">
        <v>55</v>
      </c>
      <c r="I34" s="179"/>
      <c r="J34" s="117" t="s">
        <v>260</v>
      </c>
    </row>
    <row r="35" spans="1:12" ht="45" customHeight="1">
      <c r="A35" s="489" t="s">
        <v>56</v>
      </c>
      <c r="B35" s="490"/>
      <c r="C35" s="490"/>
      <c r="D35" s="491"/>
      <c r="E35" s="123">
        <f>SUM(E27,E32,E33,E34)</f>
        <v>1790726</v>
      </c>
      <c r="F35" s="161"/>
      <c r="G35" s="184"/>
      <c r="H35" s="5"/>
      <c r="I35" s="12"/>
      <c r="J35" s="11"/>
    </row>
    <row r="36" spans="1:12" s="121" customFormat="1" ht="23.1" customHeight="1">
      <c r="A36" s="158" t="str">
        <f>"주 1) 기본급 : "&amp;월기본급!$A$1&amp;월기본급!$A$2&amp;" 참조"</f>
        <v>주 1) 기본급 : &lt; 표 : 8 &gt; M/M당기본급산출표 참조</v>
      </c>
      <c r="B36" s="158"/>
      <c r="C36" s="158"/>
      <c r="D36" s="158"/>
      <c r="E36" s="119"/>
      <c r="F36" s="119"/>
      <c r="G36" s="119"/>
      <c r="H36" s="119"/>
      <c r="I36" s="119"/>
      <c r="J36" s="119"/>
      <c r="L36" s="160"/>
    </row>
    <row r="37" spans="1:12" s="327" customFormat="1" ht="23.1" customHeight="1">
      <c r="A37" s="322" t="str">
        <f>"   2) 연장근로수당 : ["&amp;FIXED(E27,0)&amp;"(기본급)÷"&amp;K25&amp;"시간(월근로시간)×("&amp;$M$28&amp;"시간×4.34주)×1.25(할증)+"</f>
        <v xml:space="preserve">   2) 연장근로수당 : [1,197,000(기본급)÷209시간(월근로시간)×(0시간×4.34주)×1.25(할증)+</v>
      </c>
      <c r="B37" s="325"/>
      <c r="C37" s="325"/>
      <c r="D37" s="325"/>
      <c r="E37" s="326"/>
      <c r="F37" s="326"/>
      <c r="G37" s="326"/>
      <c r="H37" s="326"/>
      <c r="I37" s="326"/>
      <c r="J37" s="326"/>
      <c r="L37" s="328"/>
    </row>
    <row r="38" spans="1:12" s="327" customFormat="1" ht="23.1" customHeight="1">
      <c r="A38" s="322" t="str">
        <f>"                    "&amp;FIXED(E27,0)&amp;"(기본급)÷"&amp;K25&amp;"시간(월근로시간)×("&amp;(연장근로!$D$9)&amp;"시간×"&amp;(연장근로!$F$9)&amp;"주)×1.5(할증)]"</f>
        <v xml:space="preserve">                    1,197,000(기본급)÷209시간(월근로시간)×(0시간×주)×1.5(할증)]</v>
      </c>
      <c r="B38" s="325"/>
      <c r="C38" s="325"/>
      <c r="D38" s="325"/>
      <c r="E38" s="326"/>
      <c r="F38" s="326"/>
      <c r="G38" s="326"/>
      <c r="H38" s="326"/>
      <c r="I38" s="326"/>
      <c r="J38" s="326"/>
      <c r="L38" s="328"/>
    </row>
    <row r="39" spans="1:12" s="327" customFormat="1" ht="23.1" customHeight="1">
      <c r="A39" s="324" t="s">
        <v>268</v>
      </c>
      <c r="B39" s="325"/>
      <c r="C39" s="325"/>
      <c r="D39" s="325"/>
      <c r="E39" s="326"/>
      <c r="F39" s="326"/>
      <c r="G39" s="326"/>
      <c r="H39" s="326"/>
      <c r="I39" s="326"/>
      <c r="J39" s="326"/>
      <c r="L39" s="328"/>
    </row>
    <row r="40" spans="1:12" s="121" customFormat="1" ht="23.1" customHeight="1">
      <c r="A40" s="322" t="str">
        <f>"   3) 휴일근로수당 : "&amp;FIXED(E27,0)&amp;"(기본급)÷"&amp;K25&amp;"(월근로시간)×"&amp;K29&amp;"시간(휴일근로시간)×1.5(할증)"</f>
        <v xml:space="preserve">   3) 휴일근로수당 : 1,197,000(기본급)÷209(월근로시간)×16시간(휴일근로시간)×1.5(할증)</v>
      </c>
      <c r="B40" s="158"/>
      <c r="C40" s="158"/>
      <c r="D40" s="158"/>
      <c r="E40" s="119"/>
      <c r="F40" s="119"/>
      <c r="G40" s="119"/>
      <c r="H40" s="119"/>
      <c r="I40" s="119"/>
      <c r="J40" s="119"/>
      <c r="L40" s="160"/>
    </row>
    <row r="41" spans="1:12" s="121" customFormat="1" ht="23.1" customHeight="1">
      <c r="A41" s="322" t="str">
        <f>"   4) 년차수당 : "&amp;FIXED(E27,0)&amp;"(기본급)÷"&amp;K25&amp;"(월근로시간)×8시간(일근로시간)×15일/년÷12개월"</f>
        <v xml:space="preserve">   4) 년차수당 : 1,197,000(기본급)÷209(월근로시간)×8시간(일근로시간)×15일/년÷12개월</v>
      </c>
      <c r="B41" s="118"/>
      <c r="C41" s="118"/>
      <c r="D41" s="118"/>
      <c r="E41" s="120"/>
      <c r="F41" s="120"/>
      <c r="G41" s="120"/>
      <c r="H41" s="120"/>
      <c r="I41" s="120"/>
      <c r="J41" s="111"/>
      <c r="L41" s="160"/>
    </row>
    <row r="42" spans="1:12" s="121" customFormat="1" ht="23.1" customHeight="1">
      <c r="A42" s="322" t="s">
        <v>261</v>
      </c>
      <c r="B42" s="118"/>
      <c r="C42" s="118"/>
      <c r="D42" s="118"/>
      <c r="E42" s="120"/>
      <c r="F42" s="120"/>
      <c r="G42" s="120"/>
      <c r="H42" s="120"/>
      <c r="I42" s="120"/>
      <c r="J42" s="111"/>
      <c r="L42" s="160"/>
    </row>
    <row r="43" spans="1:12" ht="23.1" customHeight="1">
      <c r="A43" s="322" t="str">
        <f>"   6) 상여금 : "&amp;FIXED(E27,0)&amp;"(기본급)×4개월(년 400%적용)÷12개월"</f>
        <v xml:space="preserve">   6) 상여금 : 1,197,000(기본급)×4개월(년 400%적용)÷12개월</v>
      </c>
      <c r="J43" s="32"/>
    </row>
    <row r="44" spans="1:12" ht="23.1" customHeight="1">
      <c r="A44" s="181" t="str">
        <f>"   7) 퇴직급여충당금 : {"&amp;FIXED(E27,0)&amp;"(기본급)+"&amp;FIXED(E32,0)&amp;"(제수당)+"&amp;FIXED(E33,0)&amp;"(상여금)}÷12개월"</f>
        <v xml:space="preserve">   7) 퇴직급여충당금 : {1,197,000(기본급)+194,726(제수당)+399,000(상여금)}÷12개월</v>
      </c>
      <c r="J44" s="32"/>
    </row>
    <row r="45" spans="1:12" ht="23.1" customHeight="1">
      <c r="A45" s="181"/>
      <c r="J45" s="32"/>
    </row>
    <row r="46" spans="1:12" ht="20.100000000000001" customHeight="1">
      <c r="A46" s="109" t="str">
        <f>"구 분 : "&amp;월기본급!B10&amp;"                       직종명 : "&amp;월기본급!F10&amp;""</f>
        <v>구 분 : 사무직                       직종명 : 사무직</v>
      </c>
      <c r="B46" s="110"/>
      <c r="C46" s="110"/>
      <c r="D46" s="110"/>
      <c r="E46" s="120"/>
      <c r="F46" s="120"/>
      <c r="G46" s="120"/>
      <c r="J46" s="156" t="s">
        <v>37</v>
      </c>
      <c r="K46" s="323">
        <v>209</v>
      </c>
      <c r="L46" s="109" t="s">
        <v>45</v>
      </c>
    </row>
    <row r="47" spans="1:12" ht="50.1" customHeight="1">
      <c r="A47" s="489" t="s">
        <v>46</v>
      </c>
      <c r="B47" s="490"/>
      <c r="C47" s="490"/>
      <c r="D47" s="491"/>
      <c r="E47" s="514" t="s">
        <v>47</v>
      </c>
      <c r="F47" s="515"/>
      <c r="G47" s="172" t="s">
        <v>179</v>
      </c>
      <c r="H47" s="171"/>
      <c r="I47" s="172" t="s">
        <v>48</v>
      </c>
      <c r="J47" s="171"/>
    </row>
    <row r="48" spans="1:12" ht="35.1" customHeight="1">
      <c r="A48" s="489" t="s">
        <v>49</v>
      </c>
      <c r="B48" s="490"/>
      <c r="C48" s="490"/>
      <c r="D48" s="491"/>
      <c r="E48" s="182">
        <f>월기본급!J10</f>
        <v>1038030</v>
      </c>
      <c r="F48" s="183"/>
      <c r="G48" s="185"/>
      <c r="H48" s="169"/>
      <c r="I48" s="168"/>
      <c r="J48" s="117" t="s">
        <v>50</v>
      </c>
    </row>
    <row r="49" spans="1:12" ht="35.1" customHeight="1">
      <c r="A49" s="498" t="s">
        <v>252</v>
      </c>
      <c r="B49" s="21"/>
      <c r="C49" s="22" t="s">
        <v>0</v>
      </c>
      <c r="D49" s="19"/>
      <c r="E49" s="357">
        <f>TRUNC((E48/K46*($M$29*4.34)*1.25)+(E48/K46*($L$7)*1.5),0)</f>
        <v>0</v>
      </c>
      <c r="F49" s="183"/>
      <c r="G49" s="185"/>
      <c r="H49" s="186" t="s">
        <v>196</v>
      </c>
      <c r="I49" s="179"/>
      <c r="J49" s="117" t="s">
        <v>12</v>
      </c>
      <c r="K49" s="391">
        <f>연장근로!$G$11</f>
        <v>0</v>
      </c>
    </row>
    <row r="50" spans="1:12" ht="35.1" customHeight="1">
      <c r="A50" s="499"/>
      <c r="B50" s="21"/>
      <c r="C50" s="22" t="s">
        <v>203</v>
      </c>
      <c r="D50" s="19"/>
      <c r="E50" s="357">
        <f>TRUNC(E48/K46*K50*1.5,0)</f>
        <v>119199</v>
      </c>
      <c r="F50" s="183"/>
      <c r="G50" s="185"/>
      <c r="H50" s="186" t="s">
        <v>196</v>
      </c>
      <c r="I50" s="179"/>
      <c r="J50" s="117" t="s">
        <v>13</v>
      </c>
      <c r="K50" s="391">
        <f>휴일근로!$G$10</f>
        <v>16</v>
      </c>
    </row>
    <row r="51" spans="1:12" ht="35.1" customHeight="1">
      <c r="A51" s="499"/>
      <c r="B51" s="21"/>
      <c r="C51" s="22" t="s">
        <v>51</v>
      </c>
      <c r="D51" s="19"/>
      <c r="E51" s="182">
        <f>TRUNC(E48/K46*8*15/12,0)</f>
        <v>49666</v>
      </c>
      <c r="F51" s="183"/>
      <c r="G51" s="185"/>
      <c r="H51" s="186" t="s">
        <v>195</v>
      </c>
      <c r="I51" s="179"/>
      <c r="J51" s="117" t="s">
        <v>14</v>
      </c>
    </row>
    <row r="52" spans="1:12" ht="35.1" customHeight="1">
      <c r="A52" s="499"/>
      <c r="B52" s="21"/>
      <c r="C52" s="22" t="s">
        <v>251</v>
      </c>
      <c r="D52" s="19"/>
      <c r="E52" s="123"/>
      <c r="F52" s="161"/>
      <c r="G52" s="184"/>
      <c r="H52" s="186"/>
      <c r="I52" s="179"/>
      <c r="J52" s="117" t="s">
        <v>15</v>
      </c>
    </row>
    <row r="53" spans="1:12" ht="35.1" customHeight="1">
      <c r="A53" s="500"/>
      <c r="B53" s="21"/>
      <c r="C53" s="22" t="s">
        <v>52</v>
      </c>
      <c r="D53" s="19"/>
      <c r="E53" s="182">
        <f>SUM(E49:E52)</f>
        <v>168865</v>
      </c>
      <c r="F53" s="183"/>
      <c r="G53" s="185"/>
      <c r="H53" s="186"/>
      <c r="I53" s="179"/>
      <c r="J53" s="117"/>
    </row>
    <row r="54" spans="1:12" ht="35.1" customHeight="1">
      <c r="A54" s="489" t="s">
        <v>53</v>
      </c>
      <c r="B54" s="490"/>
      <c r="C54" s="490"/>
      <c r="D54" s="491"/>
      <c r="E54" s="182">
        <f>TRUNC(E48*4/12,0)</f>
        <v>346010</v>
      </c>
      <c r="F54" s="183"/>
      <c r="G54" s="185"/>
      <c r="H54" s="187" t="s">
        <v>230</v>
      </c>
      <c r="I54" s="180"/>
      <c r="J54" s="117" t="s">
        <v>259</v>
      </c>
    </row>
    <row r="55" spans="1:12" ht="35.1" customHeight="1">
      <c r="A55" s="489" t="s">
        <v>54</v>
      </c>
      <c r="B55" s="490"/>
      <c r="C55" s="490"/>
      <c r="D55" s="491"/>
      <c r="E55" s="486">
        <v>124440</v>
      </c>
      <c r="F55" s="183"/>
      <c r="G55" s="185"/>
      <c r="H55" s="186" t="s">
        <v>55</v>
      </c>
      <c r="I55" s="179"/>
      <c r="J55" s="117" t="s">
        <v>260</v>
      </c>
    </row>
    <row r="56" spans="1:12" ht="45" customHeight="1">
      <c r="A56" s="489" t="s">
        <v>56</v>
      </c>
      <c r="B56" s="490"/>
      <c r="C56" s="490"/>
      <c r="D56" s="491"/>
      <c r="E56" s="182">
        <f>SUM(E48,E53,E54,E55)</f>
        <v>1677345</v>
      </c>
      <c r="F56" s="183"/>
      <c r="G56" s="185"/>
      <c r="H56" s="5"/>
      <c r="I56" s="12"/>
      <c r="J56" s="11"/>
    </row>
    <row r="57" spans="1:12" s="121" customFormat="1" ht="23.1" customHeight="1">
      <c r="A57" s="158" t="str">
        <f>"주 1) 기본급 : "&amp;월기본급!$A$1&amp;월기본급!$A$2&amp;" 참조"</f>
        <v>주 1) 기본급 : &lt; 표 : 8 &gt; M/M당기본급산출표 참조</v>
      </c>
      <c r="B57" s="158"/>
      <c r="C57" s="158"/>
      <c r="D57" s="158"/>
      <c r="E57" s="119"/>
      <c r="F57" s="119"/>
      <c r="G57" s="119"/>
      <c r="H57" s="119"/>
      <c r="I57" s="119"/>
      <c r="J57" s="119"/>
      <c r="L57" s="160"/>
    </row>
    <row r="58" spans="1:12" s="327" customFormat="1" ht="23.1" customHeight="1">
      <c r="A58" s="322" t="str">
        <f>"   2) 연장근로수당 : ["&amp;FIXED(E48,0)&amp;"(기본급)÷"&amp;K46&amp;"시간(월근로시간)×("&amp;$M$29&amp;"시간×4.34주)×1.25(할증)+"</f>
        <v xml:space="preserve">   2) 연장근로수당 : [1,038,030(기본급)÷209시간(월근로시간)×(0시간×4.34주)×1.25(할증)+</v>
      </c>
      <c r="B58" s="325"/>
      <c r="C58" s="325"/>
      <c r="D58" s="325"/>
      <c r="E58" s="326"/>
      <c r="F58" s="326"/>
      <c r="G58" s="326"/>
      <c r="H58" s="326"/>
      <c r="I58" s="326"/>
      <c r="J58" s="326"/>
      <c r="L58" s="328"/>
    </row>
    <row r="59" spans="1:12" s="327" customFormat="1" ht="23.1" customHeight="1">
      <c r="A59" s="322" t="str">
        <f>"                    "&amp;FIXED(E48,0)&amp;"(기본급)÷"&amp;K46&amp;"시간(월근로시간)×("&amp;(연장근로!$D$9)&amp;"시간×"&amp;(연장근로!$F$9)&amp;"주)×1.5(할증)]"</f>
        <v xml:space="preserve">                    1,038,030(기본급)÷209시간(월근로시간)×(0시간×주)×1.5(할증)]</v>
      </c>
      <c r="B59" s="325"/>
      <c r="C59" s="325"/>
      <c r="D59" s="325"/>
      <c r="E59" s="326"/>
      <c r="F59" s="326"/>
      <c r="G59" s="326"/>
      <c r="H59" s="326"/>
      <c r="I59" s="326"/>
      <c r="J59" s="326"/>
      <c r="L59" s="328"/>
    </row>
    <row r="60" spans="1:12" s="327" customFormat="1" ht="23.1" customHeight="1">
      <c r="A60" s="324" t="s">
        <v>290</v>
      </c>
      <c r="B60" s="325"/>
      <c r="C60" s="325"/>
      <c r="D60" s="325"/>
      <c r="E60" s="326"/>
      <c r="F60" s="326"/>
      <c r="G60" s="326"/>
      <c r="H60" s="326"/>
      <c r="I60" s="326"/>
      <c r="J60" s="326"/>
      <c r="L60" s="328"/>
    </row>
    <row r="61" spans="1:12" s="121" customFormat="1" ht="23.1" customHeight="1">
      <c r="A61" s="322" t="str">
        <f>"   3) 휴일근로수당 : "&amp;FIXED(E48,0)&amp;"(기본급)÷"&amp;K46&amp;"(월근로시간)×"&amp;K50&amp;"시간(휴일근로시간)×1.5(할증)"</f>
        <v xml:space="preserve">   3) 휴일근로수당 : 1,038,030(기본급)÷209(월근로시간)×16시간(휴일근로시간)×1.5(할증)</v>
      </c>
      <c r="B61" s="158"/>
      <c r="C61" s="158"/>
      <c r="D61" s="158"/>
      <c r="E61" s="119"/>
      <c r="F61" s="119"/>
      <c r="G61" s="119"/>
      <c r="H61" s="119"/>
      <c r="I61" s="119"/>
      <c r="J61" s="119"/>
      <c r="L61" s="160"/>
    </row>
    <row r="62" spans="1:12" s="121" customFormat="1" ht="23.1" customHeight="1">
      <c r="A62" s="322" t="str">
        <f>"   4) 년차수당 : "&amp;FIXED(E48,0)&amp;"(기본급)÷"&amp;K46&amp;"(월근로시간)×8시간(일근로시간)×15일/년÷12개월"</f>
        <v xml:space="preserve">   4) 년차수당 : 1,038,030(기본급)÷209(월근로시간)×8시간(일근로시간)×15일/년÷12개월</v>
      </c>
      <c r="B62" s="118"/>
      <c r="C62" s="118"/>
      <c r="D62" s="118"/>
      <c r="E62" s="120"/>
      <c r="F62" s="120"/>
      <c r="G62" s="120"/>
      <c r="H62" s="120"/>
      <c r="I62" s="120"/>
      <c r="J62" s="111"/>
      <c r="L62" s="160"/>
    </row>
    <row r="63" spans="1:12" s="121" customFormat="1" ht="23.1" customHeight="1">
      <c r="A63" s="322" t="s">
        <v>261</v>
      </c>
      <c r="B63" s="118"/>
      <c r="C63" s="118"/>
      <c r="D63" s="118"/>
      <c r="E63" s="120"/>
      <c r="F63" s="120"/>
      <c r="G63" s="120"/>
      <c r="H63" s="120"/>
      <c r="I63" s="120"/>
      <c r="J63" s="111"/>
      <c r="L63" s="160"/>
    </row>
    <row r="64" spans="1:12" ht="23.1" customHeight="1">
      <c r="A64" s="322" t="str">
        <f>"   6) 상여금 : "&amp;FIXED(E48,0)&amp;"(기본급)×4개월(년 400%적용)÷12개월"</f>
        <v xml:space="preserve">   6) 상여금 : 1,038,030(기본급)×4개월(년 400%적용)÷12개월</v>
      </c>
      <c r="J64" s="32"/>
    </row>
    <row r="65" spans="1:10" ht="23.1" customHeight="1">
      <c r="A65" s="181" t="str">
        <f>"   7) 퇴직급여충당금 : {"&amp;FIXED(E48,0)&amp;"(기본급)+"&amp;FIXED(E53,0)&amp;"(제수당)+"&amp;FIXED(E54,0)&amp;"(상여금)}÷12개월"</f>
        <v xml:space="preserve">   7) 퇴직급여충당금 : {1,038,030(기본급)+168,865(제수당)+346,010(상여금)}÷12개월</v>
      </c>
      <c r="J65" s="32"/>
    </row>
    <row r="66" spans="1:10" ht="23.1" customHeight="1">
      <c r="A66" s="181"/>
      <c r="J66" s="32"/>
    </row>
  </sheetData>
  <mergeCells count="21">
    <mergeCell ref="E47:F47"/>
    <mergeCell ref="A47:D47"/>
    <mergeCell ref="A48:D48"/>
    <mergeCell ref="A54:D54"/>
    <mergeCell ref="A55:D55"/>
    <mergeCell ref="A49:A53"/>
    <mergeCell ref="A56:D56"/>
    <mergeCell ref="A33:D33"/>
    <mergeCell ref="A34:D34"/>
    <mergeCell ref="A35:D35"/>
    <mergeCell ref="A26:D26"/>
    <mergeCell ref="E26:F26"/>
    <mergeCell ref="A27:D27"/>
    <mergeCell ref="A28:A32"/>
    <mergeCell ref="A6:D6"/>
    <mergeCell ref="E5:F5"/>
    <mergeCell ref="A5:D5"/>
    <mergeCell ref="A14:D14"/>
    <mergeCell ref="A13:D13"/>
    <mergeCell ref="A12:D12"/>
    <mergeCell ref="A7:A11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&amp;P+13 -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view="pageBreakPreview" topLeftCell="A4" zoomScaleNormal="75" workbookViewId="0">
      <selection activeCell="E28" sqref="E28"/>
    </sheetView>
  </sheetViews>
  <sheetFormatPr defaultColWidth="11.42578125" defaultRowHeight="12"/>
  <cols>
    <col min="1" max="1" width="3.7109375" style="333" customWidth="1"/>
    <col min="2" max="2" width="20.7109375" style="334" customWidth="1"/>
    <col min="3" max="3" width="3.7109375" style="333" customWidth="1"/>
    <col min="4" max="4" width="11.7109375" style="333" customWidth="1"/>
    <col min="5" max="5" width="4.7109375" style="334" customWidth="1"/>
    <col min="6" max="6" width="14.7109375" style="334" customWidth="1"/>
    <col min="7" max="7" width="11.7109375" style="334" customWidth="1"/>
    <col min="8" max="8" width="4.7109375" style="333" customWidth="1"/>
    <col min="9" max="9" width="19.5703125" style="333" customWidth="1"/>
    <col min="10" max="16384" width="11.42578125" style="333"/>
  </cols>
  <sheetData>
    <row r="1" spans="1:9" ht="20.100000000000001" customHeight="1">
      <c r="A1" s="333" t="s">
        <v>313</v>
      </c>
    </row>
    <row r="2" spans="1:9" ht="39.950000000000003" customHeight="1">
      <c r="A2" s="335" t="s">
        <v>288</v>
      </c>
      <c r="B2" s="336"/>
      <c r="C2" s="337"/>
      <c r="D2" s="337"/>
      <c r="E2" s="336"/>
      <c r="F2" s="336"/>
      <c r="G2" s="336"/>
      <c r="H2" s="337"/>
      <c r="I2" s="337"/>
    </row>
    <row r="3" spans="1:9" ht="20.100000000000001" customHeight="1">
      <c r="A3" s="337"/>
      <c r="B3" s="336"/>
      <c r="C3" s="336"/>
      <c r="D3" s="336"/>
      <c r="E3" s="336"/>
      <c r="F3" s="340"/>
      <c r="G3" s="340"/>
      <c r="H3" s="340"/>
      <c r="I3" s="340"/>
    </row>
    <row r="4" spans="1:9" ht="20.100000000000001" customHeight="1">
      <c r="A4" s="341"/>
      <c r="B4" s="342"/>
      <c r="C4" s="342"/>
      <c r="D4" s="342"/>
      <c r="E4" s="342"/>
      <c r="F4" s="343"/>
      <c r="G4" s="343"/>
      <c r="H4" s="343"/>
      <c r="I4" s="344" t="s">
        <v>274</v>
      </c>
    </row>
    <row r="5" spans="1:9" ht="50.1" customHeight="1">
      <c r="A5" s="345"/>
      <c r="B5" s="346" t="s">
        <v>264</v>
      </c>
      <c r="C5" s="347"/>
      <c r="D5" s="367" t="s">
        <v>277</v>
      </c>
      <c r="E5" s="348"/>
      <c r="F5" s="349" t="s">
        <v>278</v>
      </c>
      <c r="G5" s="368" t="s">
        <v>279</v>
      </c>
      <c r="H5" s="348"/>
      <c r="I5" s="349" t="s">
        <v>263</v>
      </c>
    </row>
    <row r="6" spans="1:9" ht="20.100000000000001" customHeight="1">
      <c r="A6" s="369"/>
      <c r="B6" s="370"/>
      <c r="C6" s="371"/>
      <c r="D6" s="372"/>
      <c r="E6" s="373"/>
      <c r="F6" s="374"/>
      <c r="G6" s="375"/>
      <c r="H6" s="373"/>
      <c r="I6" s="374"/>
    </row>
    <row r="7" spans="1:9" ht="60" customHeight="1">
      <c r="A7" s="376"/>
      <c r="B7" s="336"/>
      <c r="C7" s="377"/>
      <c r="D7" s="403" t="s">
        <v>292</v>
      </c>
      <c r="E7" s="340"/>
      <c r="F7" s="378" t="s">
        <v>241</v>
      </c>
      <c r="G7" s="340" t="s">
        <v>238</v>
      </c>
      <c r="H7" s="340"/>
      <c r="I7" s="329"/>
    </row>
    <row r="8" spans="1:9" ht="60" customHeight="1">
      <c r="A8" s="379"/>
      <c r="B8" s="380" t="s">
        <v>280</v>
      </c>
      <c r="C8" s="380"/>
      <c r="D8" s="381">
        <v>0</v>
      </c>
      <c r="E8" s="382"/>
      <c r="F8" s="362"/>
      <c r="G8" s="383">
        <f>TRUNC(D8*F8,2)</f>
        <v>0</v>
      </c>
      <c r="H8" s="382"/>
      <c r="I8" s="406" t="s">
        <v>318</v>
      </c>
    </row>
    <row r="9" spans="1:9" ht="60" customHeight="1">
      <c r="A9" s="379"/>
      <c r="B9" s="380" t="s">
        <v>320</v>
      </c>
      <c r="C9" s="380"/>
      <c r="D9" s="381">
        <v>0</v>
      </c>
      <c r="E9" s="382"/>
      <c r="F9" s="362"/>
      <c r="G9" s="383">
        <f>TRUNC(D9*F9,2)</f>
        <v>0</v>
      </c>
      <c r="H9" s="382"/>
      <c r="I9" s="406" t="s">
        <v>319</v>
      </c>
    </row>
    <row r="10" spans="1:9" ht="60" customHeight="1">
      <c r="A10" s="384"/>
      <c r="B10" s="385"/>
      <c r="C10" s="385"/>
      <c r="D10" s="386"/>
      <c r="E10" s="387"/>
      <c r="F10" s="388"/>
      <c r="G10" s="389"/>
      <c r="H10" s="387"/>
      <c r="I10" s="390"/>
    </row>
    <row r="11" spans="1:9" ht="45" customHeight="1">
      <c r="A11" s="345"/>
      <c r="B11" s="346" t="s">
        <v>265</v>
      </c>
      <c r="C11" s="350"/>
      <c r="D11" s="352"/>
      <c r="E11" s="351"/>
      <c r="F11" s="353"/>
      <c r="G11" s="361">
        <f>SUM(G8:G10)</f>
        <v>0</v>
      </c>
      <c r="H11" s="351"/>
      <c r="I11" s="354"/>
    </row>
    <row r="12" spans="1:9" ht="20.100000000000001" customHeight="1">
      <c r="A12" s="333" t="s">
        <v>281</v>
      </c>
    </row>
    <row r="13" spans="1:9" ht="20.100000000000001" customHeight="1">
      <c r="A13" s="333" t="s">
        <v>282</v>
      </c>
    </row>
    <row r="14" spans="1:9" ht="20.100000000000001" customHeight="1">
      <c r="A14" s="322" t="s">
        <v>283</v>
      </c>
      <c r="B14" s="322"/>
      <c r="C14" s="325"/>
      <c r="D14" s="325"/>
      <c r="E14" s="325"/>
      <c r="F14" s="326"/>
      <c r="G14" s="326"/>
      <c r="H14" s="326"/>
      <c r="I14" s="326"/>
    </row>
  </sheetData>
  <phoneticPr fontId="7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&amp;C- &amp;P+22 -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view="pageBreakPreview" zoomScaleNormal="75" workbookViewId="0">
      <selection activeCell="F9" sqref="F9"/>
    </sheetView>
  </sheetViews>
  <sheetFormatPr defaultColWidth="11.42578125" defaultRowHeight="12"/>
  <cols>
    <col min="1" max="1" width="3.7109375" style="333" customWidth="1"/>
    <col min="2" max="2" width="20.7109375" style="334" customWidth="1"/>
    <col min="3" max="3" width="3.7109375" style="333" customWidth="1"/>
    <col min="4" max="4" width="11.7109375" style="333" customWidth="1"/>
    <col min="5" max="5" width="4.7109375" style="334" customWidth="1"/>
    <col min="6" max="6" width="14.7109375" style="334" customWidth="1"/>
    <col min="7" max="7" width="11.7109375" style="334" customWidth="1"/>
    <col min="8" max="8" width="4.7109375" style="333" customWidth="1"/>
    <col min="9" max="9" width="19.5703125" style="333" customWidth="1"/>
    <col min="10" max="11" width="11.42578125" style="333" customWidth="1"/>
    <col min="12" max="12" width="17" style="333" bestFit="1" customWidth="1"/>
    <col min="13" max="16384" width="11.42578125" style="333"/>
  </cols>
  <sheetData>
    <row r="1" spans="1:11" ht="20.100000000000001" customHeight="1">
      <c r="A1" s="333" t="s">
        <v>314</v>
      </c>
    </row>
    <row r="2" spans="1:11" ht="39.950000000000003" customHeight="1">
      <c r="A2" s="335" t="s">
        <v>289</v>
      </c>
      <c r="B2" s="336"/>
      <c r="C2" s="337"/>
      <c r="D2" s="337"/>
      <c r="E2" s="336"/>
      <c r="F2" s="336"/>
      <c r="G2" s="336"/>
      <c r="H2" s="337"/>
      <c r="I2" s="337"/>
      <c r="J2" s="338"/>
      <c r="K2" s="339"/>
    </row>
    <row r="3" spans="1:11" ht="20.100000000000001" customHeight="1">
      <c r="A3" s="337"/>
      <c r="B3" s="336"/>
      <c r="C3" s="336"/>
      <c r="D3" s="336"/>
      <c r="E3" s="336"/>
      <c r="F3" s="340"/>
      <c r="G3" s="340"/>
      <c r="H3" s="340"/>
      <c r="I3" s="340"/>
      <c r="J3" s="340"/>
      <c r="K3" s="339"/>
    </row>
    <row r="4" spans="1:11" ht="20.100000000000001" customHeight="1">
      <c r="A4" s="341"/>
      <c r="B4" s="342"/>
      <c r="C4" s="342"/>
      <c r="D4" s="342"/>
      <c r="E4" s="342"/>
      <c r="F4" s="343"/>
      <c r="G4" s="343"/>
      <c r="H4" s="343"/>
      <c r="I4" s="344" t="s">
        <v>274</v>
      </c>
      <c r="J4" s="343"/>
      <c r="K4" s="344"/>
    </row>
    <row r="5" spans="1:11" ht="50.1" customHeight="1">
      <c r="A5" s="345"/>
      <c r="B5" s="346" t="s">
        <v>264</v>
      </c>
      <c r="C5" s="347"/>
      <c r="D5" s="367" t="s">
        <v>284</v>
      </c>
      <c r="E5" s="348"/>
      <c r="F5" s="349" t="s">
        <v>278</v>
      </c>
      <c r="G5" s="368" t="s">
        <v>285</v>
      </c>
      <c r="H5" s="348"/>
      <c r="I5" s="349" t="s">
        <v>263</v>
      </c>
    </row>
    <row r="6" spans="1:11" ht="20.100000000000001" customHeight="1">
      <c r="A6" s="369"/>
      <c r="B6" s="370"/>
      <c r="C6" s="371"/>
      <c r="D6" s="372"/>
      <c r="E6" s="373"/>
      <c r="F6" s="374"/>
      <c r="G6" s="375"/>
      <c r="H6" s="373"/>
      <c r="I6" s="374"/>
    </row>
    <row r="7" spans="1:11" ht="60" customHeight="1">
      <c r="A7" s="376"/>
      <c r="B7" s="336"/>
      <c r="C7" s="377"/>
      <c r="D7" s="403" t="s">
        <v>292</v>
      </c>
      <c r="E7" s="340"/>
      <c r="F7" s="378" t="s">
        <v>241</v>
      </c>
      <c r="G7" s="340" t="s">
        <v>238</v>
      </c>
      <c r="H7" s="340"/>
      <c r="I7" s="329"/>
    </row>
    <row r="8" spans="1:11" ht="60" customHeight="1">
      <c r="A8" s="379"/>
      <c r="B8" s="380" t="s">
        <v>280</v>
      </c>
      <c r="C8" s="380"/>
      <c r="D8" s="381">
        <v>8</v>
      </c>
      <c r="E8" s="382"/>
      <c r="F8" s="362">
        <v>2</v>
      </c>
      <c r="G8" s="383">
        <f>TRUNC(D8*F8,2)</f>
        <v>16</v>
      </c>
      <c r="H8" s="382"/>
      <c r="I8" s="329"/>
    </row>
    <row r="9" spans="1:11" ht="60" customHeight="1">
      <c r="A9" s="384"/>
      <c r="B9" s="385"/>
      <c r="C9" s="385"/>
      <c r="D9" s="386"/>
      <c r="E9" s="387"/>
      <c r="F9" s="388"/>
      <c r="G9" s="389"/>
      <c r="H9" s="387"/>
      <c r="I9" s="390"/>
    </row>
    <row r="10" spans="1:11" ht="45" customHeight="1">
      <c r="A10" s="345"/>
      <c r="B10" s="346" t="s">
        <v>265</v>
      </c>
      <c r="C10" s="350"/>
      <c r="D10" s="352"/>
      <c r="E10" s="351"/>
      <c r="F10" s="353"/>
      <c r="G10" s="361">
        <f>SUM(G8:G9)</f>
        <v>16</v>
      </c>
      <c r="H10" s="351"/>
      <c r="I10" s="354"/>
    </row>
    <row r="11" spans="1:11" ht="20.100000000000001" customHeight="1">
      <c r="A11" s="333" t="s">
        <v>286</v>
      </c>
    </row>
    <row r="12" spans="1:11" ht="20.100000000000001" customHeight="1">
      <c r="A12" s="469" t="s">
        <v>374</v>
      </c>
    </row>
    <row r="13" spans="1:11" ht="20.100000000000001" customHeight="1">
      <c r="A13" s="322" t="s">
        <v>287</v>
      </c>
      <c r="B13" s="322"/>
      <c r="C13" s="325"/>
      <c r="D13" s="325"/>
      <c r="E13" s="325"/>
      <c r="F13" s="326"/>
      <c r="G13" s="326"/>
      <c r="H13" s="326"/>
      <c r="I13" s="326"/>
      <c r="J13" s="326"/>
      <c r="K13" s="326"/>
    </row>
  </sheetData>
  <phoneticPr fontId="7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&amp;C- &amp;P+23 -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showZeros="0" view="pageBreakPreview" zoomScale="95" workbookViewId="0">
      <selection activeCell="F19" sqref="F19"/>
    </sheetView>
  </sheetViews>
  <sheetFormatPr defaultRowHeight="12"/>
  <cols>
    <col min="1" max="1" width="1.7109375" style="9" customWidth="1"/>
    <col min="2" max="2" width="13.7109375" style="9" customWidth="1"/>
    <col min="3" max="3" width="1.7109375" style="9" customWidth="1"/>
    <col min="4" max="4" width="10.7109375" style="95" customWidth="1"/>
    <col min="5" max="5" width="1.7109375" style="95" customWidth="1"/>
    <col min="6" max="6" width="16.7109375" style="95" customWidth="1"/>
    <col min="7" max="7" width="1.7109375" style="95" customWidth="1"/>
    <col min="8" max="8" width="11.7109375" style="31" customWidth="1"/>
    <col min="9" max="9" width="9.7109375" style="31" customWidth="1"/>
    <col min="10" max="10" width="13.7109375" style="31" customWidth="1"/>
    <col min="11" max="11" width="12.28515625" style="31" customWidth="1"/>
    <col min="12" max="12" width="9.140625" style="31"/>
    <col min="13" max="16384" width="9.140625" style="95"/>
  </cols>
  <sheetData>
    <row r="1" spans="1:12" ht="20.100000000000001" customHeight="1">
      <c r="A1" s="153" t="s">
        <v>315</v>
      </c>
      <c r="B1" s="153"/>
      <c r="C1" s="153"/>
      <c r="D1" s="152"/>
    </row>
    <row r="2" spans="1:12" s="108" customFormat="1" ht="39.950000000000003" customHeight="1">
      <c r="A2" s="106" t="s">
        <v>57</v>
      </c>
      <c r="B2" s="106"/>
      <c r="C2" s="106"/>
      <c r="D2" s="154"/>
      <c r="E2" s="154"/>
      <c r="F2" s="154"/>
      <c r="G2" s="154"/>
      <c r="H2" s="96"/>
      <c r="I2" s="96"/>
      <c r="J2" s="96"/>
      <c r="K2" s="96"/>
      <c r="L2" s="177"/>
    </row>
    <row r="3" spans="1:12" s="108" customFormat="1" ht="20.100000000000001" customHeight="1">
      <c r="A3" s="106"/>
      <c r="B3" s="106"/>
      <c r="C3" s="106"/>
      <c r="D3" s="154"/>
      <c r="E3" s="154"/>
      <c r="F3" s="154"/>
      <c r="G3" s="154"/>
      <c r="H3" s="96"/>
      <c r="I3" s="96"/>
      <c r="J3" s="96"/>
      <c r="K3" s="96"/>
      <c r="L3" s="177"/>
    </row>
    <row r="4" spans="1:12" ht="20.100000000000001" customHeight="1">
      <c r="A4" s="110"/>
      <c r="B4" s="110"/>
      <c r="C4" s="110"/>
      <c r="D4" s="109"/>
      <c r="E4" s="109"/>
      <c r="F4" s="109"/>
      <c r="G4" s="109"/>
      <c r="K4" s="156" t="s">
        <v>37</v>
      </c>
    </row>
    <row r="5" spans="1:12" s="127" customFormat="1" ht="20.100000000000001" customHeight="1">
      <c r="A5" s="4"/>
      <c r="B5" s="516" t="s">
        <v>58</v>
      </c>
      <c r="C5" s="3"/>
      <c r="D5" s="518" t="s">
        <v>59</v>
      </c>
      <c r="E5" s="4"/>
      <c r="F5" s="520" t="s">
        <v>39</v>
      </c>
      <c r="G5" s="3"/>
      <c r="H5" s="498" t="s">
        <v>232</v>
      </c>
      <c r="I5" s="498" t="s">
        <v>233</v>
      </c>
      <c r="J5" s="498" t="s">
        <v>178</v>
      </c>
      <c r="K5" s="498" t="s">
        <v>204</v>
      </c>
      <c r="L5" s="101"/>
    </row>
    <row r="6" spans="1:12" s="127" customFormat="1" ht="30" customHeight="1">
      <c r="A6" s="114"/>
      <c r="B6" s="517"/>
      <c r="C6" s="104"/>
      <c r="D6" s="519"/>
      <c r="E6" s="114"/>
      <c r="F6" s="521"/>
      <c r="G6" s="104"/>
      <c r="H6" s="499"/>
      <c r="I6" s="500"/>
      <c r="J6" s="499"/>
      <c r="K6" s="499"/>
      <c r="L6" s="101"/>
    </row>
    <row r="7" spans="1:12" s="127" customFormat="1" ht="9.9499999999999993" customHeight="1">
      <c r="A7" s="4"/>
      <c r="B7" s="10"/>
      <c r="C7" s="10"/>
      <c r="D7" s="4"/>
      <c r="E7" s="4"/>
      <c r="F7" s="6"/>
      <c r="G7" s="3"/>
      <c r="H7" s="14"/>
      <c r="I7" s="14"/>
      <c r="J7" s="14"/>
      <c r="K7" s="14"/>
      <c r="L7" s="101"/>
    </row>
    <row r="8" spans="1:12" s="125" customFormat="1" ht="30" customHeight="1">
      <c r="A8" s="114"/>
      <c r="B8" s="9"/>
      <c r="C8" s="9"/>
      <c r="D8" s="114"/>
      <c r="E8" s="174"/>
      <c r="F8" s="127"/>
      <c r="G8" s="175"/>
      <c r="H8" s="7" t="s">
        <v>60</v>
      </c>
      <c r="I8" s="7" t="s">
        <v>12</v>
      </c>
      <c r="J8" s="7"/>
      <c r="K8" s="176"/>
      <c r="L8" s="102"/>
    </row>
    <row r="9" spans="1:12" ht="30" customHeight="1">
      <c r="A9" s="170"/>
      <c r="B9" s="470" t="s">
        <v>375</v>
      </c>
      <c r="C9" s="461"/>
      <c r="D9" s="462"/>
      <c r="E9" s="463"/>
      <c r="F9" s="464" t="s">
        <v>376</v>
      </c>
      <c r="G9" s="465"/>
      <c r="H9" s="466">
        <v>57000</v>
      </c>
      <c r="I9" s="467">
        <v>21</v>
      </c>
      <c r="J9" s="468">
        <f>TRUNC(H9*I9,0)</f>
        <v>1197000</v>
      </c>
      <c r="K9" s="33"/>
    </row>
    <row r="10" spans="1:12" ht="30" customHeight="1">
      <c r="A10" s="170"/>
      <c r="B10" s="470" t="s">
        <v>377</v>
      </c>
      <c r="C10" s="461"/>
      <c r="D10" s="462"/>
      <c r="E10" s="463"/>
      <c r="F10" s="464" t="s">
        <v>377</v>
      </c>
      <c r="G10" s="465"/>
      <c r="H10" s="466">
        <v>49430</v>
      </c>
      <c r="I10" s="467">
        <f>I9</f>
        <v>21</v>
      </c>
      <c r="J10" s="468">
        <f>TRUNC(H10*I10,0)</f>
        <v>1038030</v>
      </c>
      <c r="K10" s="33"/>
    </row>
  </sheetData>
  <mergeCells count="7">
    <mergeCell ref="J5:J6"/>
    <mergeCell ref="K5:K6"/>
    <mergeCell ref="B5:B6"/>
    <mergeCell ref="D5:D6"/>
    <mergeCell ref="F5:F6"/>
    <mergeCell ref="H5:H6"/>
    <mergeCell ref="I5:I6"/>
  </mergeCells>
  <phoneticPr fontId="7" type="noConversion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&amp;P+24 -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view="pageBreakPreview" topLeftCell="A4" workbookViewId="0">
      <selection activeCell="E15" sqref="E15"/>
    </sheetView>
  </sheetViews>
  <sheetFormatPr defaultColWidth="10.28515625" defaultRowHeight="34.15" customHeight="1"/>
  <cols>
    <col min="1" max="1" width="5.7109375" style="130" customWidth="1"/>
    <col min="2" max="2" width="1.7109375" style="129" customWidth="1"/>
    <col min="3" max="3" width="20.7109375" style="129" customWidth="1"/>
    <col min="4" max="4" width="1.7109375" style="129" customWidth="1"/>
    <col min="5" max="8" width="13.7109375" style="130" customWidth="1"/>
    <col min="9" max="9" width="10.5703125" style="130" customWidth="1"/>
    <col min="10" max="10" width="26.28515625" style="129" customWidth="1"/>
    <col min="11" max="16384" width="10.28515625" style="129"/>
  </cols>
  <sheetData>
    <row r="1" spans="1:9" ht="20.100000000000001" customHeight="1">
      <c r="A1" s="129" t="s">
        <v>323</v>
      </c>
    </row>
    <row r="2" spans="1:9" s="133" customFormat="1" ht="39.950000000000003" customHeight="1">
      <c r="A2" s="131" t="s">
        <v>61</v>
      </c>
      <c r="B2" s="131"/>
      <c r="C2" s="131"/>
      <c r="D2" s="131"/>
      <c r="E2" s="132"/>
      <c r="F2" s="132"/>
      <c r="G2" s="132"/>
      <c r="H2" s="132"/>
      <c r="I2" s="132"/>
    </row>
    <row r="3" spans="1:9" ht="20.100000000000001" customHeight="1">
      <c r="A3" s="135"/>
      <c r="B3" s="134"/>
      <c r="C3" s="134"/>
      <c r="D3" s="134"/>
      <c r="E3" s="135"/>
      <c r="F3" s="135"/>
      <c r="G3" s="135"/>
      <c r="H3" s="135"/>
      <c r="I3" s="135"/>
    </row>
    <row r="4" spans="1:9" ht="20.100000000000001" customHeight="1">
      <c r="A4" s="135"/>
      <c r="C4" s="134"/>
      <c r="D4" s="136"/>
      <c r="E4" s="135"/>
      <c r="F4" s="135"/>
      <c r="G4" s="135"/>
      <c r="H4" s="135"/>
      <c r="I4" s="98" t="s">
        <v>34</v>
      </c>
    </row>
    <row r="5" spans="1:9" ht="24.95" customHeight="1">
      <c r="A5" s="530" t="s">
        <v>62</v>
      </c>
      <c r="B5" s="531"/>
      <c r="C5" s="531"/>
      <c r="D5" s="532"/>
      <c r="E5" s="306" t="str">
        <f>인집!B7</f>
        <v>운전기사</v>
      </c>
      <c r="F5" s="306" t="str">
        <f>인집!B8</f>
        <v>사무직</v>
      </c>
      <c r="G5" s="306"/>
      <c r="H5" s="306"/>
      <c r="I5" s="525" t="s">
        <v>242</v>
      </c>
    </row>
    <row r="6" spans="1:9" ht="24.95" customHeight="1">
      <c r="A6" s="533"/>
      <c r="B6" s="534"/>
      <c r="C6" s="534"/>
      <c r="D6" s="535"/>
      <c r="E6" s="404" t="str">
        <f>"("&amp;인집!E7&amp;")"</f>
        <v>(운전직(트레일러공))</v>
      </c>
      <c r="F6" s="404" t="str">
        <f>"("&amp;인집!E8&amp;")"</f>
        <v>(사무직)</v>
      </c>
      <c r="G6" s="404"/>
      <c r="H6" s="404"/>
      <c r="I6" s="526"/>
    </row>
    <row r="7" spans="1:9" ht="35.1" customHeight="1">
      <c r="A7" s="527" t="s">
        <v>63</v>
      </c>
      <c r="B7" s="137"/>
      <c r="C7" s="138" t="s">
        <v>28</v>
      </c>
      <c r="D7" s="139"/>
      <c r="E7" s="162">
        <f>보험료!I9</f>
        <v>37605</v>
      </c>
      <c r="F7" s="162">
        <f>보험료!I29</f>
        <v>32611</v>
      </c>
      <c r="G7" s="162"/>
      <c r="H7" s="162"/>
      <c r="I7" s="165" t="s">
        <v>64</v>
      </c>
    </row>
    <row r="8" spans="1:9" ht="35.1" customHeight="1">
      <c r="A8" s="528"/>
      <c r="B8" s="137"/>
      <c r="C8" s="138" t="s">
        <v>75</v>
      </c>
      <c r="D8" s="139"/>
      <c r="E8" s="162">
        <f>보험료!I10</f>
        <v>80582</v>
      </c>
      <c r="F8" s="162">
        <f>보험료!I30</f>
        <v>69880</v>
      </c>
      <c r="G8" s="162"/>
      <c r="H8" s="162"/>
      <c r="I8" s="166"/>
    </row>
    <row r="9" spans="1:9" ht="35.1" customHeight="1">
      <c r="A9" s="528"/>
      <c r="B9" s="137"/>
      <c r="C9" s="138" t="s">
        <v>184</v>
      </c>
      <c r="D9" s="139"/>
      <c r="E9" s="162">
        <f>보험료!I11</f>
        <v>12535</v>
      </c>
      <c r="F9" s="162">
        <f>보험료!I31</f>
        <v>10870</v>
      </c>
      <c r="G9" s="162"/>
      <c r="H9" s="162"/>
      <c r="I9" s="166"/>
    </row>
    <row r="10" spans="1:9" ht="35.1" customHeight="1">
      <c r="A10" s="528"/>
      <c r="B10" s="137"/>
      <c r="C10" s="138" t="s">
        <v>77</v>
      </c>
      <c r="D10" s="139"/>
      <c r="E10" s="162">
        <f>보험료!I12</f>
        <v>47722</v>
      </c>
      <c r="F10" s="162">
        <f>보험료!I32</f>
        <v>41384</v>
      </c>
      <c r="G10" s="162"/>
      <c r="H10" s="162"/>
      <c r="I10" s="166"/>
    </row>
    <row r="11" spans="1:9" ht="35.1" customHeight="1">
      <c r="A11" s="528"/>
      <c r="B11" s="137"/>
      <c r="C11" s="138" t="s">
        <v>234</v>
      </c>
      <c r="D11" s="139"/>
      <c r="E11" s="162">
        <f>보험료!I13</f>
        <v>3125</v>
      </c>
      <c r="F11" s="162">
        <f>보험료!I33</f>
        <v>2710</v>
      </c>
      <c r="G11" s="162"/>
      <c r="H11" s="162"/>
      <c r="I11" s="166"/>
    </row>
    <row r="12" spans="1:9" ht="35.1" customHeight="1">
      <c r="A12" s="528"/>
      <c r="B12" s="137"/>
      <c r="C12" s="138" t="s">
        <v>78</v>
      </c>
      <c r="D12" s="139"/>
      <c r="E12" s="162">
        <f>보험료!I14</f>
        <v>1432</v>
      </c>
      <c r="F12" s="162">
        <f>보험료!I34</f>
        <v>1242</v>
      </c>
      <c r="G12" s="162"/>
      <c r="H12" s="162"/>
      <c r="I12" s="167"/>
    </row>
    <row r="13" spans="1:9" ht="35.1" customHeight="1">
      <c r="A13" s="529"/>
      <c r="B13" s="137"/>
      <c r="C13" s="250" t="s">
        <v>3</v>
      </c>
      <c r="D13" s="139"/>
      <c r="E13" s="162">
        <f>SUM(E7:E12)</f>
        <v>183001</v>
      </c>
      <c r="F13" s="162">
        <f>SUM(F7:F12)</f>
        <v>158697</v>
      </c>
      <c r="G13" s="162"/>
      <c r="H13" s="162"/>
      <c r="I13" s="166"/>
    </row>
    <row r="14" spans="1:9" ht="35.1" customHeight="1">
      <c r="A14" s="527" t="s">
        <v>65</v>
      </c>
      <c r="B14" s="164"/>
      <c r="C14" s="138" t="s">
        <v>66</v>
      </c>
      <c r="D14" s="139"/>
      <c r="E14" s="162">
        <f>복리후생비!I7</f>
        <v>115000</v>
      </c>
      <c r="F14" s="162">
        <f>복리후생비!G8</f>
        <v>115000</v>
      </c>
      <c r="G14" s="162"/>
      <c r="H14" s="162"/>
      <c r="I14" s="165" t="s">
        <v>67</v>
      </c>
    </row>
    <row r="15" spans="1:9" ht="35.1" customHeight="1">
      <c r="A15" s="528"/>
      <c r="B15" s="164"/>
      <c r="C15" s="485" t="s">
        <v>380</v>
      </c>
      <c r="D15" s="139"/>
      <c r="E15" s="162"/>
      <c r="F15" s="162"/>
      <c r="G15" s="162"/>
      <c r="H15" s="162"/>
      <c r="I15" s="166"/>
    </row>
    <row r="16" spans="1:9" ht="35.1" customHeight="1">
      <c r="A16" s="529"/>
      <c r="B16" s="164"/>
      <c r="C16" s="250" t="s">
        <v>3</v>
      </c>
      <c r="D16" s="139"/>
      <c r="E16" s="162">
        <f>SUM(E14:E15)</f>
        <v>115000</v>
      </c>
      <c r="F16" s="162">
        <f>SUM(F14:F15)</f>
        <v>115000</v>
      </c>
      <c r="G16" s="162"/>
      <c r="H16" s="162"/>
      <c r="I16" s="167"/>
    </row>
    <row r="17" spans="1:9" ht="35.1" customHeight="1">
      <c r="A17" s="522" t="s">
        <v>368</v>
      </c>
      <c r="B17" s="523"/>
      <c r="C17" s="523"/>
      <c r="D17" s="524"/>
      <c r="E17" s="162">
        <f>'지방소득세(종업원분)'!J8</f>
        <v>0</v>
      </c>
      <c r="F17" s="162">
        <f>'지방소득세(종업원분)'!J9</f>
        <v>0</v>
      </c>
      <c r="G17" s="162"/>
      <c r="H17" s="162"/>
      <c r="I17" s="167" t="s">
        <v>207</v>
      </c>
    </row>
    <row r="18" spans="1:9" ht="35.1" customHeight="1">
      <c r="A18" s="522" t="s">
        <v>369</v>
      </c>
      <c r="B18" s="523"/>
      <c r="C18" s="523"/>
      <c r="D18" s="524"/>
      <c r="E18" s="162">
        <f>교육비!J7</f>
        <v>0</v>
      </c>
      <c r="F18" s="162">
        <f>교육비!J8</f>
        <v>0</v>
      </c>
      <c r="G18" s="162"/>
      <c r="H18" s="162"/>
      <c r="I18" s="359" t="s">
        <v>14</v>
      </c>
    </row>
    <row r="19" spans="1:9" ht="39.950000000000003" customHeight="1">
      <c r="A19" s="163" t="s">
        <v>177</v>
      </c>
      <c r="B19" s="137"/>
      <c r="C19" s="164"/>
      <c r="D19" s="139"/>
      <c r="E19" s="162">
        <f>SUM(E13,E16,E17,E18)</f>
        <v>298001</v>
      </c>
      <c r="F19" s="162">
        <f>SUM(F13,F16,F17,F18)</f>
        <v>273697</v>
      </c>
      <c r="G19" s="162"/>
      <c r="H19" s="162"/>
      <c r="I19" s="1"/>
    </row>
    <row r="20" spans="1:9" ht="24.95" customHeight="1">
      <c r="A20" s="140" t="str">
        <f>"주 1) 보험료 : "&amp;보험료!$A$1&amp;보험료!$A$2&amp;" 참조"</f>
        <v>주 1) 보험료 : &lt; 표 : 12 &gt; 보험료산출표 참조</v>
      </c>
    </row>
    <row r="21" spans="1:9" ht="24.95" customHeight="1">
      <c r="A21" s="140" t="str">
        <f>"   2) 복리후생비 : "&amp;복리후생비!$A$1&amp;복리후생비!$A$2&amp;" 참조"</f>
        <v xml:space="preserve">   2) 복리후생비 : &lt; 표 : 15 &gt; 복리후생비집계표 참조</v>
      </c>
    </row>
    <row r="22" spans="1:9" ht="24.95" customHeight="1">
      <c r="A22" s="140" t="str">
        <f>"   3) 사업소세 : "&amp;'지방소득세(종업원분)'!$A$1&amp;'지방소득세(종업원분)'!$A$2&amp;" 참조"</f>
        <v xml:space="preserve">   3) 사업소세 : &lt; 표 : 17 &gt; 지방소득세(종업원분)산출표 참조</v>
      </c>
    </row>
    <row r="23" spans="1:9" ht="24.95" customHeight="1">
      <c r="A23" s="140" t="str">
        <f>"   4) 교육비 : "&amp;교육비!$A$1&amp;교육비!$A$2&amp;" 참조"</f>
        <v xml:space="preserve">   4) 교육비 : &lt; 표 : 18 &gt; 교육비산출표 참조</v>
      </c>
    </row>
    <row r="24" spans="1:9" ht="20.100000000000001" customHeight="1">
      <c r="A24" s="129"/>
    </row>
  </sheetData>
  <mergeCells count="6">
    <mergeCell ref="A18:D18"/>
    <mergeCell ref="I5:I6"/>
    <mergeCell ref="A14:A16"/>
    <mergeCell ref="A7:A13"/>
    <mergeCell ref="A17:D17"/>
    <mergeCell ref="A5:D6"/>
  </mergeCells>
  <phoneticPr fontId="5" type="noConversion"/>
  <printOptions horizontalCentered="1"/>
  <pageMargins left="0.78740157480314965" right="0.78740157480314965" top="0.98425196850393704" bottom="0.78740157480314965" header="0.51181102362204722" footer="0.51181102362204722"/>
  <pageSetup paperSize="9" firstPageNumber="55" orientation="portrait" r:id="rId1"/>
  <headerFooter alignWithMargins="0">
    <oddFooter>&amp;C- &amp;P+27 -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16</vt:i4>
      </vt:variant>
    </vt:vector>
  </HeadingPairs>
  <TitlesOfParts>
    <vt:vector size="35" baseType="lpstr">
      <vt:lpstr>집계</vt:lpstr>
      <vt:lpstr>원가집계</vt:lpstr>
      <vt:lpstr>원가</vt:lpstr>
      <vt:lpstr>인집</vt:lpstr>
      <vt:lpstr>단위당인건비</vt:lpstr>
      <vt:lpstr>연장근로</vt:lpstr>
      <vt:lpstr>휴일근로</vt:lpstr>
      <vt:lpstr>월기본급</vt:lpstr>
      <vt:lpstr>경비집계표</vt:lpstr>
      <vt:lpstr>보험료</vt:lpstr>
      <vt:lpstr>보험료산출기준</vt:lpstr>
      <vt:lpstr>산재비율</vt:lpstr>
      <vt:lpstr>복리후생비</vt:lpstr>
      <vt:lpstr>식대</vt:lpstr>
      <vt:lpstr>지방소득세(종업원분)</vt:lpstr>
      <vt:lpstr>교육비</vt:lpstr>
      <vt:lpstr>일반</vt:lpstr>
      <vt:lpstr>이윤</vt:lpstr>
      <vt:lpstr>이윤율</vt:lpstr>
      <vt:lpstr>경비집계표!Print_Area</vt:lpstr>
      <vt:lpstr>단위당인건비!Print_Area</vt:lpstr>
      <vt:lpstr>보험료!Print_Area</vt:lpstr>
      <vt:lpstr>보험료산출기준!Print_Area</vt:lpstr>
      <vt:lpstr>복리후생비!Print_Area</vt:lpstr>
      <vt:lpstr>식대!Print_Area</vt:lpstr>
      <vt:lpstr>연장근로!Print_Area</vt:lpstr>
      <vt:lpstr>원가!Print_Area</vt:lpstr>
      <vt:lpstr>원가집계!Print_Area</vt:lpstr>
      <vt:lpstr>월기본급!Print_Area</vt:lpstr>
      <vt:lpstr>이윤율!Print_Area</vt:lpstr>
      <vt:lpstr>인집!Print_Area</vt:lpstr>
      <vt:lpstr>집계!Print_Area</vt:lpstr>
      <vt:lpstr>휴일근로!Print_Area</vt:lpstr>
      <vt:lpstr>단위당인건비!Print_Titles</vt:lpstr>
      <vt:lpstr>보험료!Print_Titles</vt:lpstr>
    </vt:vector>
  </TitlesOfParts>
  <Company>연구소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진한식</dc:creator>
  <cp:lastModifiedBy>User</cp:lastModifiedBy>
  <cp:lastPrinted>2010-12-21T09:17:15Z</cp:lastPrinted>
  <dcterms:created xsi:type="dcterms:W3CDTF">2008-01-03T00:35:12Z</dcterms:created>
  <dcterms:modified xsi:type="dcterms:W3CDTF">2010-12-21T11:41:02Z</dcterms:modified>
</cp:coreProperties>
</file>