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240" windowHeight="8445" tabRatio="908" activeTab="10"/>
  </bookViews>
  <sheets>
    <sheet name="심사내역서" sheetId="68" r:id="rId1"/>
    <sheet name="목차" sheetId="22" r:id="rId2"/>
    <sheet name="간지" sheetId="23" r:id="rId3"/>
    <sheet name="간지2" sheetId="24" r:id="rId4"/>
    <sheet name="간지3" sheetId="25" r:id="rId5"/>
    <sheet name="간지3 (2)" sheetId="61" r:id="rId6"/>
    <sheet name="집계" sheetId="1" r:id="rId7"/>
    <sheet name="간지6" sheetId="31" r:id="rId8"/>
    <sheet name="간지6 (7)" sheetId="67" r:id="rId9"/>
    <sheet name="원가집계" sheetId="42" r:id="rId10"/>
    <sheet name="원가" sheetId="2" r:id="rId11"/>
    <sheet name="간지6 (6)" sheetId="66" r:id="rId12"/>
    <sheet name="인집" sheetId="20" r:id="rId13"/>
    <sheet name="단위당인건비" sheetId="19" r:id="rId14"/>
    <sheet name="월기본급" sheetId="18" r:id="rId15"/>
    <sheet name="연장근로" sheetId="50" r:id="rId16"/>
    <sheet name="휴일근로" sheetId="51" r:id="rId17"/>
    <sheet name="산정기준" sheetId="28" r:id="rId18"/>
    <sheet name="근무일수" sheetId="58" r:id="rId19"/>
    <sheet name="투입인원" sheetId="16" r:id="rId20"/>
    <sheet name="간지6 (5)" sheetId="65" r:id="rId21"/>
    <sheet name="경비집계표" sheetId="15" r:id="rId22"/>
    <sheet name="보험료" sheetId="14" r:id="rId23"/>
    <sheet name="보험료산출기준" sheetId="29" r:id="rId24"/>
    <sheet name="산재비율" sheetId="13" r:id="rId25"/>
    <sheet name="복리후생비" sheetId="12" r:id="rId26"/>
    <sheet name="식대" sheetId="11" r:id="rId27"/>
    <sheet name="체력단련비" sheetId="60" r:id="rId28"/>
    <sheet name="사업소세" sheetId="43" r:id="rId29"/>
    <sheet name="교육비" sheetId="44" r:id="rId30"/>
    <sheet name="간지6 (4)" sheetId="64" r:id="rId31"/>
    <sheet name="일반" sheetId="8" r:id="rId32"/>
    <sheet name="일반비율" sheetId="7" r:id="rId33"/>
    <sheet name="간지6 (3)" sheetId="63" r:id="rId34"/>
    <sheet name="이윤" sheetId="6" r:id="rId35"/>
    <sheet name="이윤율" sheetId="5" r:id="rId36"/>
    <sheet name="간지6 (2)" sheetId="62" r:id="rId37"/>
    <sheet name="기업" sheetId="4" r:id="rId38"/>
    <sheet name="Sheet1" sheetId="59" r:id="rId39"/>
    <sheet name="기타경비집계" sheetId="47" r:id="rId40"/>
    <sheet name="소모품" sheetId="46" r:id="rId41"/>
    <sheet name="감가상각" sheetId="49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1">#N/A</definedName>
    <definedName name="_2">#N/A</definedName>
    <definedName name="_3" localSheetId="5">#REF!</definedName>
    <definedName name="_3" localSheetId="36">#REF!</definedName>
    <definedName name="_3" localSheetId="33">#REF!</definedName>
    <definedName name="_3" localSheetId="30">#REF!</definedName>
    <definedName name="_3" localSheetId="20">#REF!</definedName>
    <definedName name="_3" localSheetId="11">#REF!</definedName>
    <definedName name="_3" localSheetId="8">#REF!</definedName>
    <definedName name="_3" localSheetId="27">#REF!</definedName>
    <definedName name="_3">#REF!</definedName>
    <definedName name="_B140007" localSheetId="5">[1]건축!#REF!</definedName>
    <definedName name="_B140007" localSheetId="36">[1]건축!#REF!</definedName>
    <definedName name="_B140007" localSheetId="33">[1]건축!#REF!</definedName>
    <definedName name="_B140007" localSheetId="30">[1]건축!#REF!</definedName>
    <definedName name="_B140007" localSheetId="20">[1]건축!#REF!</definedName>
    <definedName name="_B140007" localSheetId="11">[1]건축!#REF!</definedName>
    <definedName name="_B140007" localSheetId="8">[1]건축!#REF!</definedName>
    <definedName name="_B140007" localSheetId="27">[1]건축!#REF!</definedName>
    <definedName name="_B140007">[1]건축!#REF!</definedName>
    <definedName name="_Fill" localSheetId="5" hidden="1">#REF!</definedName>
    <definedName name="_Fill" localSheetId="36" hidden="1">#REF!</definedName>
    <definedName name="_Fill" localSheetId="33" hidden="1">#REF!</definedName>
    <definedName name="_Fill" localSheetId="30" hidden="1">#REF!</definedName>
    <definedName name="_Fill" localSheetId="20" hidden="1">#REF!</definedName>
    <definedName name="_Fill" localSheetId="11" hidden="1">#REF!</definedName>
    <definedName name="_Fill" localSheetId="8" hidden="1">#REF!</definedName>
    <definedName name="_Fill" localSheetId="27" hidden="1">#REF!</definedName>
    <definedName name="_Fill" hidden="1">#REF!</definedName>
    <definedName name="_Key1" localSheetId="5" hidden="1">#REF!</definedName>
    <definedName name="_Key1" localSheetId="36" hidden="1">#REF!</definedName>
    <definedName name="_Key1" localSheetId="33" hidden="1">#REF!</definedName>
    <definedName name="_Key1" localSheetId="30" hidden="1">#REF!</definedName>
    <definedName name="_Key1" localSheetId="20" hidden="1">#REF!</definedName>
    <definedName name="_Key1" localSheetId="11" hidden="1">#REF!</definedName>
    <definedName name="_Key1" localSheetId="8" hidden="1">#REF!</definedName>
    <definedName name="_Key1" localSheetId="27" hidden="1">#REF!</definedName>
    <definedName name="_Key1" hidden="1">#REF!</definedName>
    <definedName name="_Key2" localSheetId="5" hidden="1">#REF!</definedName>
    <definedName name="_Key2" localSheetId="36" hidden="1">#REF!</definedName>
    <definedName name="_Key2" localSheetId="33" hidden="1">#REF!</definedName>
    <definedName name="_Key2" localSheetId="30" hidden="1">#REF!</definedName>
    <definedName name="_Key2" localSheetId="20" hidden="1">#REF!</definedName>
    <definedName name="_Key2" localSheetId="11" hidden="1">#REF!</definedName>
    <definedName name="_Key2" localSheetId="8" hidden="1">#REF!</definedName>
    <definedName name="_Key2" localSheetId="27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36" hidden="1">#REF!</definedName>
    <definedName name="_Sort" localSheetId="33" hidden="1">#REF!</definedName>
    <definedName name="_Sort" localSheetId="30" hidden="1">#REF!</definedName>
    <definedName name="_Sort" localSheetId="20" hidden="1">#REF!</definedName>
    <definedName name="_Sort" localSheetId="11" hidden="1">#REF!</definedName>
    <definedName name="_Sort" localSheetId="8" hidden="1">#REF!</definedName>
    <definedName name="_Sort" localSheetId="27" hidden="1">#REF!</definedName>
    <definedName name="_Sort" hidden="1">#REF!</definedName>
    <definedName name="\a">#N/A</definedName>
    <definedName name="\z">#N/A</definedName>
    <definedName name="經費">#REF!</definedName>
    <definedName name="기" localSheetId="5">[2]경산!#REF!</definedName>
    <definedName name="기" localSheetId="36">[2]경산!#REF!</definedName>
    <definedName name="기" localSheetId="33">[2]경산!#REF!</definedName>
    <definedName name="기" localSheetId="30">[2]경산!#REF!</definedName>
    <definedName name="기" localSheetId="20">[2]경산!#REF!</definedName>
    <definedName name="기" localSheetId="11">[2]경산!#REF!</definedName>
    <definedName name="기" localSheetId="8">[2]경산!#REF!</definedName>
    <definedName name="기" localSheetId="27">[2]경산!#REF!</definedName>
    <definedName name="기">[2]경산!#REF!</definedName>
    <definedName name="勞務費">#REF!</definedName>
    <definedName name="ㅁ" localSheetId="5">[3]경산!#REF!</definedName>
    <definedName name="ㅁ" localSheetId="36">[3]경산!#REF!</definedName>
    <definedName name="ㅁ" localSheetId="33">[3]경산!#REF!</definedName>
    <definedName name="ㅁ" localSheetId="30">[3]경산!#REF!</definedName>
    <definedName name="ㅁ" localSheetId="20">[3]경산!#REF!</definedName>
    <definedName name="ㅁ" localSheetId="11">[3]경산!#REF!</definedName>
    <definedName name="ㅁ" localSheetId="8">[3]경산!#REF!</definedName>
    <definedName name="ㅁ" localSheetId="27">[3]경산!#REF!</definedName>
    <definedName name="ㅁ">[3]경산!#REF!</definedName>
    <definedName name="ㅁ1" localSheetId="5">[4]경산!#REF!</definedName>
    <definedName name="ㅁ1" localSheetId="36">[4]경산!#REF!</definedName>
    <definedName name="ㅁ1" localSheetId="33">[4]경산!#REF!</definedName>
    <definedName name="ㅁ1" localSheetId="30">[4]경산!#REF!</definedName>
    <definedName name="ㅁ1" localSheetId="20">[4]경산!#REF!</definedName>
    <definedName name="ㅁ1" localSheetId="11">[4]경산!#REF!</definedName>
    <definedName name="ㅁ1" localSheetId="8">[4]경산!#REF!</definedName>
    <definedName name="ㅁ1" localSheetId="27">[4]경산!#REF!</definedName>
    <definedName name="ㅁ1">[4]경산!#REF!</definedName>
    <definedName name="ㅁ384K5" localSheetId="5">[1]건축!#REF!</definedName>
    <definedName name="ㅁ384K5" localSheetId="36">[1]건축!#REF!</definedName>
    <definedName name="ㅁ384K5" localSheetId="33">[1]건축!#REF!</definedName>
    <definedName name="ㅁ384K5" localSheetId="30">[1]건축!#REF!</definedName>
    <definedName name="ㅁ384K5" localSheetId="20">[1]건축!#REF!</definedName>
    <definedName name="ㅁ384K5" localSheetId="11">[1]건축!#REF!</definedName>
    <definedName name="ㅁ384K5" localSheetId="8">[1]건축!#REF!</definedName>
    <definedName name="ㅁ384K5" localSheetId="27">[1]건축!#REF!</definedName>
    <definedName name="ㅁ384K5">[1]건축!#REF!</definedName>
    <definedName name="ㅁ60" localSheetId="5">[5]직노!#REF!</definedName>
    <definedName name="ㅁ60" localSheetId="36">[5]직노!#REF!</definedName>
    <definedName name="ㅁ60" localSheetId="33">[5]직노!#REF!</definedName>
    <definedName name="ㅁ60" localSheetId="30">[5]직노!#REF!</definedName>
    <definedName name="ㅁ60" localSheetId="20">[5]직노!#REF!</definedName>
    <definedName name="ㅁ60" localSheetId="11">[5]직노!#REF!</definedName>
    <definedName name="ㅁ60" localSheetId="8">[5]직노!#REF!</definedName>
    <definedName name="ㅁ60" localSheetId="27">[5]직노!#REF!</definedName>
    <definedName name="ㅁ60">[5]직노!#REF!</definedName>
    <definedName name="ㅂㅂㅂ" localSheetId="5">[6]직노!#REF!</definedName>
    <definedName name="ㅂㅂㅂ" localSheetId="36">[6]직노!#REF!</definedName>
    <definedName name="ㅂㅂㅂ" localSheetId="33">[6]직노!#REF!</definedName>
    <definedName name="ㅂㅂㅂ" localSheetId="30">[6]직노!#REF!</definedName>
    <definedName name="ㅂㅂㅂ" localSheetId="20">[6]직노!#REF!</definedName>
    <definedName name="ㅂㅂㅂ" localSheetId="11">[6]직노!#REF!</definedName>
    <definedName name="ㅂㅂㅂ" localSheetId="8">[6]직노!#REF!</definedName>
    <definedName name="ㅂㅂㅂ" localSheetId="27">[6]직노!#REF!</definedName>
    <definedName name="ㅂㅂㅂ">[6]직노!#REF!</definedName>
    <definedName name="보" localSheetId="5">[7]직노!#REF!</definedName>
    <definedName name="보" localSheetId="36">[7]직노!#REF!</definedName>
    <definedName name="보" localSheetId="33">[7]직노!#REF!</definedName>
    <definedName name="보" localSheetId="30">[7]직노!#REF!</definedName>
    <definedName name="보" localSheetId="20">[7]직노!#REF!</definedName>
    <definedName name="보" localSheetId="11">[7]직노!#REF!</definedName>
    <definedName name="보" localSheetId="8">[7]직노!#REF!</definedName>
    <definedName name="보" localSheetId="27">[7]직노!#REF!</definedName>
    <definedName name="보">[7]직노!#REF!</definedName>
    <definedName name="附加價値稅">#REF!</definedName>
    <definedName name="사인">#REF!</definedName>
    <definedName name="純工事原價">#REF!</definedName>
    <definedName name="利潤">#REF!</definedName>
    <definedName name="一般管理費">#REF!</definedName>
    <definedName name="일위대가">'[8] HIT-&gt;HMC 견적(3900)'!$J$31</definedName>
    <definedName name="일의01" localSheetId="5">[9]직노!#REF!</definedName>
    <definedName name="일의01" localSheetId="36">[9]직노!#REF!</definedName>
    <definedName name="일의01" localSheetId="33">[9]직노!#REF!</definedName>
    <definedName name="일의01" localSheetId="30">[9]직노!#REF!</definedName>
    <definedName name="일의01" localSheetId="20">[9]직노!#REF!</definedName>
    <definedName name="일의01" localSheetId="11">[9]직노!#REF!</definedName>
    <definedName name="일의01" localSheetId="8">[9]직노!#REF!</definedName>
    <definedName name="일의01" localSheetId="27">[9]직노!#REF!</definedName>
    <definedName name="일의01">[9]직노!#REF!</definedName>
    <definedName name="材料費">#REF!</definedName>
    <definedName name="直接人件費">#REF!</definedName>
    <definedName name="청마총괄" localSheetId="5">[10]직노!#REF!</definedName>
    <definedName name="청마총괄" localSheetId="36">[10]직노!#REF!</definedName>
    <definedName name="청마총괄" localSheetId="33">[10]직노!#REF!</definedName>
    <definedName name="청마총괄" localSheetId="30">[10]직노!#REF!</definedName>
    <definedName name="청마총괄" localSheetId="20">[10]직노!#REF!</definedName>
    <definedName name="청마총괄" localSheetId="11">[10]직노!#REF!</definedName>
    <definedName name="청마총괄" localSheetId="8">[10]직노!#REF!</definedName>
    <definedName name="청마총괄" localSheetId="27">[10]직노!#REF!</definedName>
    <definedName name="청마총괄">[10]직노!#REF!</definedName>
    <definedName name="총괄표" localSheetId="5">[10]직노!#REF!</definedName>
    <definedName name="총괄표" localSheetId="36">[10]직노!#REF!</definedName>
    <definedName name="총괄표" localSheetId="33">[10]직노!#REF!</definedName>
    <definedName name="총괄표" localSheetId="30">[10]직노!#REF!</definedName>
    <definedName name="총괄표" localSheetId="20">[10]직노!#REF!</definedName>
    <definedName name="총괄표" localSheetId="11">[10]직노!#REF!</definedName>
    <definedName name="총괄표" localSheetId="8">[10]직노!#REF!</definedName>
    <definedName name="총괄표" localSheetId="27">[10]직노!#REF!</definedName>
    <definedName name="총괄표">[10]직노!#REF!</definedName>
    <definedName name="總原價">#REF!</definedName>
    <definedName name="총집계">#REF!</definedName>
    <definedName name="ㅎ314" localSheetId="5">#REF!</definedName>
    <definedName name="ㅎ314" localSheetId="36">#REF!</definedName>
    <definedName name="ㅎ314" localSheetId="33">#REF!</definedName>
    <definedName name="ㅎ314" localSheetId="30">#REF!</definedName>
    <definedName name="ㅎ314" localSheetId="20">#REF!</definedName>
    <definedName name="ㅎ314" localSheetId="11">#REF!</definedName>
    <definedName name="ㅎ314" localSheetId="8">#REF!</definedName>
    <definedName name="ㅎ314" localSheetId="27">#REF!</definedName>
    <definedName name="ㅎ314">#REF!</definedName>
    <definedName name="A">#N/A</definedName>
    <definedName name="AA" localSheetId="5">[11]경산!#REF!</definedName>
    <definedName name="AA" localSheetId="36">[11]경산!#REF!</definedName>
    <definedName name="AA" localSheetId="33">[11]경산!#REF!</definedName>
    <definedName name="AA" localSheetId="30">[11]경산!#REF!</definedName>
    <definedName name="AA" localSheetId="20">[11]경산!#REF!</definedName>
    <definedName name="AA" localSheetId="11">[11]경산!#REF!</definedName>
    <definedName name="AA" localSheetId="8">[11]경산!#REF!</definedName>
    <definedName name="AA" localSheetId="27">[11]경산!#REF!</definedName>
    <definedName name="AA">[11]경산!#REF!</definedName>
    <definedName name="CODE">#REF!</definedName>
    <definedName name="DATA">#REF!</definedName>
    <definedName name="_xlnm.Database">#REF!</definedName>
    <definedName name="DEMO" localSheetId="5">#REF!</definedName>
    <definedName name="DEMO" localSheetId="36">#REF!</definedName>
    <definedName name="DEMO" localSheetId="33">#REF!</definedName>
    <definedName name="DEMO" localSheetId="30">#REF!</definedName>
    <definedName name="DEMO" localSheetId="20">#REF!</definedName>
    <definedName name="DEMO" localSheetId="11">#REF!</definedName>
    <definedName name="DEMO" localSheetId="8">#REF!</definedName>
    <definedName name="DEMO" localSheetId="27">#REF!</definedName>
    <definedName name="DEMO">#REF!</definedName>
    <definedName name="HIT">'[12]2F 회의실견적(5_14 일대)'!$J$31</definedName>
    <definedName name="_xlnm.Print_Area" localSheetId="41">감가상각!$A$1:$J$139</definedName>
    <definedName name="_xlnm.Print_Area" localSheetId="21">경비집계표!$A$1:$G$23</definedName>
    <definedName name="_xlnm.Print_Area" localSheetId="18">근무일수!$A$1:$O$12</definedName>
    <definedName name="_xlnm.Print_Area" localSheetId="37">기업!$A$1:$H$54</definedName>
    <definedName name="_xlnm.Print_Area" localSheetId="39">기타경비집계!$A$1:$H$26</definedName>
    <definedName name="_xlnm.Print_Area" localSheetId="13">단위당인건비!$A$1:$J$41</definedName>
    <definedName name="_xlnm.Print_Area" localSheetId="22">보험료!$A$1:$J$41</definedName>
    <definedName name="_xlnm.Print_Area" localSheetId="23">보험료산출기준!$A$1:$H$12</definedName>
    <definedName name="_xlnm.Print_Area" localSheetId="25">복리후생비!$A$1:$N$11</definedName>
    <definedName name="_xlnm.Print_Area" localSheetId="24">산재비율!$A$1:$H$43</definedName>
    <definedName name="_xlnm.Print_Area" localSheetId="17">산정기준!$A$1:$G$12</definedName>
    <definedName name="_xlnm.Print_Area" localSheetId="40">소모품!$A$1:$J$162</definedName>
    <definedName name="_xlnm.Print_Area" localSheetId="26">식대!$A$1:$K$11</definedName>
    <definedName name="_xlnm.Print_Area" localSheetId="15">연장근로!$A$1:$G$13</definedName>
    <definedName name="_xlnm.Print_Area" localSheetId="10">원가!$A$1:$L$68</definedName>
    <definedName name="_xlnm.Print_Area" localSheetId="9">원가집계!$A$1:$I$34</definedName>
    <definedName name="_xlnm.Print_Area" localSheetId="14">월기본급!$A$1:$K$13</definedName>
    <definedName name="_xlnm.Print_Area" localSheetId="35">이윤율!$A$1:$F$13</definedName>
    <definedName name="_xlnm.Print_Area" localSheetId="12">인집!$A$1:$K$10</definedName>
    <definedName name="_xlnm.Print_Area" localSheetId="32">일반비율!$A$1:$I$23</definedName>
    <definedName name="_xlnm.Print_Area" localSheetId="6">집계!$A$1:$N$15</definedName>
    <definedName name="_xlnm.Print_Area" localSheetId="27">체력단련비!$A$1:$K$11</definedName>
    <definedName name="_xlnm.Print_Area" localSheetId="19">투입인원!$A$1:$J$12</definedName>
    <definedName name="_xlnm.Print_Area" localSheetId="16">휴일근로!$A$1:$G$13</definedName>
    <definedName name="_xlnm.Print_Area">#REF!</definedName>
    <definedName name="_xlnm.Print_Titles" localSheetId="41">감가상각!$2:$5</definedName>
    <definedName name="_xlnm.Print_Titles" localSheetId="39">기타경비집계!$2:$5</definedName>
    <definedName name="_xlnm.Print_Titles" localSheetId="13">단위당인건비!$2:$3</definedName>
    <definedName name="_xlnm.Print_Titles" localSheetId="22">보험료!$2:$3</definedName>
    <definedName name="_xlnm.Print_Titles" localSheetId="40">소모품!$2:$5</definedName>
    <definedName name="T">#N/A</definedName>
    <definedName name="UNIT">#REF!</definedName>
    <definedName name="WW" localSheetId="5">[6]직노!#REF!</definedName>
    <definedName name="WW" localSheetId="36">[6]직노!#REF!</definedName>
    <definedName name="WW" localSheetId="33">[6]직노!#REF!</definedName>
    <definedName name="WW" localSheetId="30">[6]직노!#REF!</definedName>
    <definedName name="WW" localSheetId="20">[6]직노!#REF!</definedName>
    <definedName name="WW" localSheetId="11">[6]직노!#REF!</definedName>
    <definedName name="WW" localSheetId="8">[6]직노!#REF!</definedName>
    <definedName name="WW" localSheetId="27">[6]직노!#REF!</definedName>
    <definedName name="WW">[6]직노!#REF!</definedName>
  </definedNames>
  <calcPr calcId="125725"/>
</workbook>
</file>

<file path=xl/calcChain.xml><?xml version="1.0" encoding="utf-8"?>
<calcChain xmlns="http://schemas.openxmlformats.org/spreadsheetml/2006/main">
  <c r="E8" i="15"/>
  <c r="G17" i="2" s="1"/>
  <c r="E31" i="19"/>
  <c r="E32" s="1"/>
  <c r="L14" i="2"/>
  <c r="E13" i="19"/>
  <c r="I8" i="44"/>
  <c r="A11" i="68"/>
  <c r="A10"/>
  <c r="H8"/>
  <c r="H7"/>
  <c r="D8" i="67"/>
  <c r="D7"/>
  <c r="A1"/>
  <c r="D14" i="66"/>
  <c r="D13"/>
  <c r="D12"/>
  <c r="D11"/>
  <c r="D10"/>
  <c r="D9"/>
  <c r="D8"/>
  <c r="D7"/>
  <c r="A1"/>
  <c r="D13" i="65"/>
  <c r="D12"/>
  <c r="D11"/>
  <c r="D10"/>
  <c r="D9"/>
  <c r="D8"/>
  <c r="D7"/>
  <c r="A1"/>
  <c r="D8" i="64"/>
  <c r="D7"/>
  <c r="A1"/>
  <c r="D8" i="63"/>
  <c r="D7"/>
  <c r="A1"/>
  <c r="D7" i="62"/>
  <c r="A1"/>
  <c r="A1" i="61"/>
  <c r="A11" i="12"/>
  <c r="A10"/>
  <c r="A10" i="60"/>
  <c r="G8"/>
  <c r="G7"/>
  <c r="K8"/>
  <c r="K7"/>
  <c r="I7"/>
  <c r="K7" i="12"/>
  <c r="E15" i="15" s="1"/>
  <c r="G24" i="2" s="1"/>
  <c r="G24" i="42" s="1"/>
  <c r="H29" i="14"/>
  <c r="I10" i="18"/>
  <c r="J10"/>
  <c r="E25" i="19"/>
  <c r="J9" i="18"/>
  <c r="A1" i="31"/>
  <c r="A1" i="25"/>
  <c r="A1" i="24"/>
  <c r="K9" i="6"/>
  <c r="J9" i="8"/>
  <c r="H10" i="14"/>
  <c r="H30" s="1"/>
  <c r="H11"/>
  <c r="H31" s="1"/>
  <c r="H12"/>
  <c r="H13"/>
  <c r="H33" s="1"/>
  <c r="H14"/>
  <c r="H34" s="1"/>
  <c r="H9"/>
  <c r="H6" i="29"/>
  <c r="H8" i="1"/>
  <c r="H7"/>
  <c r="F11" i="16"/>
  <c r="A11" i="1"/>
  <c r="A10"/>
  <c r="G7" i="28"/>
  <c r="L7" i="19"/>
  <c r="K8" i="50"/>
  <c r="A13" i="18"/>
  <c r="N8" i="58"/>
  <c r="N9"/>
  <c r="N10"/>
  <c r="N11" s="1"/>
  <c r="N7"/>
  <c r="M11"/>
  <c r="L11"/>
  <c r="K11"/>
  <c r="J11"/>
  <c r="I11"/>
  <c r="H11"/>
  <c r="G11"/>
  <c r="F11"/>
  <c r="E11"/>
  <c r="D11"/>
  <c r="C11"/>
  <c r="B11"/>
  <c r="B7" i="20"/>
  <c r="C8" i="68" s="1"/>
  <c r="B6" i="20"/>
  <c r="B7" i="44" s="1"/>
  <c r="B7" i="60"/>
  <c r="Q7" i="58"/>
  <c r="M7" i="11"/>
  <c r="M8"/>
  <c r="F8" i="50"/>
  <c r="F10" s="1"/>
  <c r="F8" i="51"/>
  <c r="F10"/>
  <c r="J8" i="50"/>
  <c r="L8" s="1"/>
  <c r="E7" i="20"/>
  <c r="F8" i="68" s="1"/>
  <c r="F8" i="1"/>
  <c r="L7" i="11"/>
  <c r="J7" i="44"/>
  <c r="E18" i="15" s="1"/>
  <c r="G27" i="2" s="1"/>
  <c r="G27" i="42" s="1"/>
  <c r="H32" i="14"/>
  <c r="G9" i="7"/>
  <c r="G7"/>
  <c r="G52" i="4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K26" i="19"/>
  <c r="H28" i="46"/>
  <c r="H38"/>
  <c r="H43"/>
  <c r="H44"/>
  <c r="H85"/>
  <c r="H31" i="49"/>
  <c r="H95" s="1"/>
  <c r="E17" i="47" s="1"/>
  <c r="H32" i="49"/>
  <c r="H40"/>
  <c r="H41"/>
  <c r="H42"/>
  <c r="H43"/>
  <c r="H44"/>
  <c r="H45"/>
  <c r="H46"/>
  <c r="H47"/>
  <c r="H48"/>
  <c r="H49"/>
  <c r="H50"/>
  <c r="H51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4"/>
  <c r="H75"/>
  <c r="H76"/>
  <c r="H77"/>
  <c r="H78"/>
  <c r="H79"/>
  <c r="H80"/>
  <c r="H81"/>
  <c r="H82"/>
  <c r="H83"/>
  <c r="H84"/>
  <c r="E6" i="20"/>
  <c r="E7" i="44" s="1"/>
  <c r="A23" i="15"/>
  <c r="H8" i="46"/>
  <c r="H11"/>
  <c r="H14"/>
  <c r="H15"/>
  <c r="H19"/>
  <c r="H20"/>
  <c r="H22"/>
  <c r="H29"/>
  <c r="H30"/>
  <c r="H32"/>
  <c r="H33"/>
  <c r="H34"/>
  <c r="H42"/>
  <c r="H51"/>
  <c r="H52"/>
  <c r="H53"/>
  <c r="H57"/>
  <c r="H75"/>
  <c r="H76"/>
  <c r="H77"/>
  <c r="H78"/>
  <c r="H82"/>
  <c r="H83"/>
  <c r="H86"/>
  <c r="H87"/>
  <c r="H88"/>
  <c r="H89"/>
  <c r="H90"/>
  <c r="H92"/>
  <c r="H93"/>
  <c r="H94"/>
  <c r="H95"/>
  <c r="H100"/>
  <c r="H105"/>
  <c r="H111"/>
  <c r="H115"/>
  <c r="H116"/>
  <c r="H121"/>
  <c r="H122"/>
  <c r="H125"/>
  <c r="H126"/>
  <c r="H131"/>
  <c r="H132"/>
  <c r="H136"/>
  <c r="H137"/>
  <c r="H138"/>
  <c r="H139"/>
  <c r="H140"/>
  <c r="H141"/>
  <c r="D19" i="47"/>
  <c r="D18"/>
  <c r="D17"/>
  <c r="D16"/>
  <c r="D11"/>
  <c r="D10"/>
  <c r="D9"/>
  <c r="D8"/>
  <c r="D7"/>
  <c r="G8" i="49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31"/>
  <c r="G32"/>
  <c r="G33"/>
  <c r="H33"/>
  <c r="G34"/>
  <c r="H34"/>
  <c r="G35"/>
  <c r="H35"/>
  <c r="G36"/>
  <c r="H36"/>
  <c r="G37"/>
  <c r="H37"/>
  <c r="G38"/>
  <c r="H38"/>
  <c r="G39"/>
  <c r="H39"/>
  <c r="G40"/>
  <c r="G41"/>
  <c r="G42"/>
  <c r="G43"/>
  <c r="G44"/>
  <c r="G45"/>
  <c r="G46"/>
  <c r="G47"/>
  <c r="G48"/>
  <c r="G49"/>
  <c r="G50"/>
  <c r="G51"/>
  <c r="G52"/>
  <c r="H52"/>
  <c r="G53"/>
  <c r="H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H72"/>
  <c r="G73"/>
  <c r="H73"/>
  <c r="G74"/>
  <c r="G75"/>
  <c r="G76"/>
  <c r="G77"/>
  <c r="G78"/>
  <c r="G79"/>
  <c r="G80"/>
  <c r="G81"/>
  <c r="G82"/>
  <c r="G83"/>
  <c r="G84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9"/>
  <c r="H119"/>
  <c r="G120"/>
  <c r="H120"/>
  <c r="G121"/>
  <c r="H121"/>
  <c r="G122"/>
  <c r="H122"/>
  <c r="G123"/>
  <c r="H123"/>
  <c r="G124"/>
  <c r="H124"/>
  <c r="G125"/>
  <c r="H125"/>
  <c r="G126"/>
  <c r="H126"/>
  <c r="H151" i="46"/>
  <c r="H152"/>
  <c r="H153"/>
  <c r="H162" s="1"/>
  <c r="E11" i="47" s="1"/>
  <c r="H154" i="46"/>
  <c r="H155"/>
  <c r="H156"/>
  <c r="H157"/>
  <c r="H158"/>
  <c r="H120"/>
  <c r="H149" s="1"/>
  <c r="E10" i="47" s="1"/>
  <c r="H123" i="46"/>
  <c r="H124"/>
  <c r="H127"/>
  <c r="H128"/>
  <c r="H129"/>
  <c r="H130"/>
  <c r="H133"/>
  <c r="H134"/>
  <c r="H135"/>
  <c r="H142"/>
  <c r="H143"/>
  <c r="H144"/>
  <c r="H145"/>
  <c r="H146"/>
  <c r="H74"/>
  <c r="H79"/>
  <c r="H80"/>
  <c r="H81"/>
  <c r="H118" s="1"/>
  <c r="E9" i="47" s="1"/>
  <c r="H84" i="46"/>
  <c r="H91"/>
  <c r="H96"/>
  <c r="H97"/>
  <c r="H98"/>
  <c r="H99"/>
  <c r="H101"/>
  <c r="H102"/>
  <c r="H103"/>
  <c r="H104"/>
  <c r="H106"/>
  <c r="H107"/>
  <c r="H108"/>
  <c r="H109"/>
  <c r="H110"/>
  <c r="H112"/>
  <c r="H113"/>
  <c r="H114"/>
  <c r="H54"/>
  <c r="H55"/>
  <c r="H56"/>
  <c r="H58"/>
  <c r="H72" s="1"/>
  <c r="E8" i="47" s="1"/>
  <c r="H59" i="46"/>
  <c r="H60"/>
  <c r="H61"/>
  <c r="H62"/>
  <c r="H9"/>
  <c r="H10"/>
  <c r="H12"/>
  <c r="H13"/>
  <c r="H16"/>
  <c r="H17"/>
  <c r="H49" s="1"/>
  <c r="E7" i="47" s="1"/>
  <c r="H18" i="46"/>
  <c r="H21"/>
  <c r="H23"/>
  <c r="H31"/>
  <c r="H35"/>
  <c r="H36"/>
  <c r="H37"/>
  <c r="H39"/>
  <c r="H40"/>
  <c r="H41"/>
  <c r="H45"/>
  <c r="H46"/>
  <c r="G158"/>
  <c r="G157"/>
  <c r="G156"/>
  <c r="G155"/>
  <c r="G154"/>
  <c r="G153"/>
  <c r="G152"/>
  <c r="G151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62"/>
  <c r="G61"/>
  <c r="G60"/>
  <c r="G59"/>
  <c r="G58"/>
  <c r="G57"/>
  <c r="G56"/>
  <c r="G55"/>
  <c r="G54"/>
  <c r="G53"/>
  <c r="G52"/>
  <c r="G5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/>
  <c r="G21"/>
  <c r="G20"/>
  <c r="G19"/>
  <c r="G18"/>
  <c r="G17"/>
  <c r="G16"/>
  <c r="G15"/>
  <c r="G14"/>
  <c r="G13"/>
  <c r="G12"/>
  <c r="G11"/>
  <c r="G10"/>
  <c r="G9"/>
  <c r="G8"/>
  <c r="A4" i="42"/>
  <c r="G11" i="7"/>
  <c r="G12"/>
  <c r="G13"/>
  <c r="G14"/>
  <c r="G15"/>
  <c r="G16"/>
  <c r="A22"/>
  <c r="G11" i="2"/>
  <c r="G11" i="42" s="1"/>
  <c r="G45" i="2"/>
  <c r="H11" i="42" s="1"/>
  <c r="H6"/>
  <c r="G5"/>
  <c r="B8" i="12"/>
  <c r="B7"/>
  <c r="B9" i="8"/>
  <c r="B9" i="6" s="1"/>
  <c r="F6" i="15"/>
  <c r="F5"/>
  <c r="A22"/>
  <c r="A21"/>
  <c r="A20"/>
  <c r="A10" i="43"/>
  <c r="A13" i="8"/>
  <c r="A12"/>
  <c r="A11"/>
  <c r="B7" i="43"/>
  <c r="A38" i="2"/>
  <c r="A24" i="14" s="1"/>
  <c r="A4" i="2"/>
  <c r="A4" i="14" s="1"/>
  <c r="A23" i="19"/>
  <c r="L62" i="2"/>
  <c r="L49"/>
  <c r="A34" i="19"/>
  <c r="A38" i="14"/>
  <c r="A37"/>
  <c r="A10" i="11"/>
  <c r="A4" i="19"/>
  <c r="A9" i="20"/>
  <c r="A18" i="14"/>
  <c r="A12" i="6"/>
  <c r="A17" i="14"/>
  <c r="A14" i="6"/>
  <c r="A13"/>
  <c r="A11"/>
  <c r="E8" i="8"/>
  <c r="E8" i="6"/>
  <c r="A19" i="7"/>
  <c r="A15" i="19"/>
  <c r="L28" i="2"/>
  <c r="L15"/>
  <c r="E7" i="11"/>
  <c r="F7" i="1"/>
  <c r="C7"/>
  <c r="E8" i="43"/>
  <c r="K7" i="11"/>
  <c r="G7"/>
  <c r="I7" s="1"/>
  <c r="G7" i="12" s="1"/>
  <c r="J8" i="44"/>
  <c r="F18" i="15"/>
  <c r="G61" i="2" s="1"/>
  <c r="H27" i="42" s="1"/>
  <c r="B8" i="11"/>
  <c r="H9" i="1"/>
  <c r="E8" i="11"/>
  <c r="L8"/>
  <c r="K8" s="1"/>
  <c r="E8" i="12"/>
  <c r="E8" i="44"/>
  <c r="E6" i="19"/>
  <c r="E12" s="1"/>
  <c r="B8" i="43"/>
  <c r="B8" i="44"/>
  <c r="I8" i="60"/>
  <c r="K8" i="12" s="1"/>
  <c r="F15" i="15" s="1"/>
  <c r="G58" i="2" s="1"/>
  <c r="H24" i="42" s="1"/>
  <c r="G7" i="20"/>
  <c r="E28" i="19"/>
  <c r="G44" i="2" s="1"/>
  <c r="H10" i="42" s="1"/>
  <c r="H25" i="49"/>
  <c r="E16" i="47" s="1"/>
  <c r="C8" i="1"/>
  <c r="H139" i="49"/>
  <c r="E19" i="47"/>
  <c r="H117" i="49"/>
  <c r="E18" i="47"/>
  <c r="A35" i="19"/>
  <c r="E8" i="60"/>
  <c r="E26" i="19"/>
  <c r="E30" s="1"/>
  <c r="K8"/>
  <c r="E8"/>
  <c r="G9" i="2" s="1"/>
  <c r="G9" i="42" s="1"/>
  <c r="K27" i="19"/>
  <c r="A37" s="1"/>
  <c r="E27"/>
  <c r="G43" i="2" s="1"/>
  <c r="H9" i="42" s="1"/>
  <c r="D29" i="14"/>
  <c r="D30" s="1"/>
  <c r="I7" i="20"/>
  <c r="F29" i="14" s="1"/>
  <c r="F30" s="1"/>
  <c r="F31" s="1"/>
  <c r="F32" s="1"/>
  <c r="F34" s="1"/>
  <c r="A38" i="19"/>
  <c r="G41" i="2"/>
  <c r="A40" i="19"/>
  <c r="H7" i="42"/>
  <c r="E14" i="47" l="1"/>
  <c r="E22"/>
  <c r="E23" s="1"/>
  <c r="E25" s="1"/>
  <c r="E26" s="1"/>
  <c r="G10" i="7"/>
  <c r="G8" s="1"/>
  <c r="G18" s="1"/>
  <c r="A23" s="1"/>
  <c r="G6" i="20"/>
  <c r="D9" i="14" s="1"/>
  <c r="D10" s="1"/>
  <c r="D11" s="1"/>
  <c r="H9" i="68"/>
  <c r="G8" i="11"/>
  <c r="I8" s="1"/>
  <c r="G8" i="12" s="1"/>
  <c r="A21" i="19"/>
  <c r="A19"/>
  <c r="C7" i="68"/>
  <c r="G46" i="2"/>
  <c r="E33" i="19"/>
  <c r="A41"/>
  <c r="H7" i="20"/>
  <c r="I6"/>
  <c r="F9" i="14" s="1"/>
  <c r="F10" s="1"/>
  <c r="F11" s="1"/>
  <c r="F12" s="1"/>
  <c r="F14" s="1"/>
  <c r="G13" i="2"/>
  <c r="G13" i="42" s="1"/>
  <c r="E14" i="15"/>
  <c r="I7" i="12"/>
  <c r="D31" i="14"/>
  <c r="I8" i="12"/>
  <c r="F14" i="15"/>
  <c r="E24" i="47"/>
  <c r="E9" i="19"/>
  <c r="G10" i="2" s="1"/>
  <c r="G10" i="42" s="1"/>
  <c r="E7" i="19"/>
  <c r="B7" i="11"/>
  <c r="B8" i="8"/>
  <c r="B8" i="6" s="1"/>
  <c r="E7" i="12"/>
  <c r="E7" i="60"/>
  <c r="F7" i="68"/>
  <c r="G47" i="2"/>
  <c r="H13" i="42" s="1"/>
  <c r="E7" i="43"/>
  <c r="G42" i="2"/>
  <c r="H8" i="42" s="1"/>
  <c r="E5" i="15"/>
  <c r="A18" i="19"/>
  <c r="G7" i="2"/>
  <c r="E6" i="15"/>
  <c r="E9" i="8"/>
  <c r="E9" i="6" s="1"/>
  <c r="G6" i="42"/>
  <c r="A16" i="19"/>
  <c r="H5" i="42"/>
  <c r="B8" i="60"/>
  <c r="D12" i="14" l="1"/>
  <c r="G7" i="42"/>
  <c r="M55" i="2"/>
  <c r="M53"/>
  <c r="M54" s="1"/>
  <c r="M50"/>
  <c r="H12" i="42"/>
  <c r="M51" i="2"/>
  <c r="M52"/>
  <c r="E16" i="15"/>
  <c r="G25" i="2" s="1"/>
  <c r="G25" i="42" s="1"/>
  <c r="G23" i="2"/>
  <c r="G23" i="42" s="1"/>
  <c r="G48" i="2"/>
  <c r="H14" i="42" s="1"/>
  <c r="J7" i="20"/>
  <c r="K7" s="1"/>
  <c r="D32" i="14"/>
  <c r="E29"/>
  <c r="G8" i="2"/>
  <c r="G8" i="42" s="1"/>
  <c r="E11" i="19"/>
  <c r="G49" i="2"/>
  <c r="L48" s="1"/>
  <c r="L7" i="20"/>
  <c r="G57" i="2"/>
  <c r="H23" i="42" s="1"/>
  <c r="F16" i="15"/>
  <c r="G59" i="2" s="1"/>
  <c r="H25" i="42" s="1"/>
  <c r="N48" i="2" l="1"/>
  <c r="G8" i="43"/>
  <c r="J8" s="1"/>
  <c r="F17" i="15" s="1"/>
  <c r="G60" i="2" s="1"/>
  <c r="H26" i="42" s="1"/>
  <c r="G9" i="8"/>
  <c r="M7" i="20"/>
  <c r="G12" i="2"/>
  <c r="H6" i="20"/>
  <c r="E14" i="19"/>
  <c r="A22"/>
  <c r="H15" i="42"/>
  <c r="D14" i="14"/>
  <c r="M56" i="2"/>
  <c r="D34" i="14"/>
  <c r="G29"/>
  <c r="I29" s="1"/>
  <c r="E30"/>
  <c r="G15" i="2" l="1"/>
  <c r="L6" i="20"/>
  <c r="G9" i="6"/>
  <c r="F7" i="15"/>
  <c r="E31" i="14"/>
  <c r="G30"/>
  <c r="I30" s="1"/>
  <c r="F8" i="15" s="1"/>
  <c r="G51" i="2" s="1"/>
  <c r="G12" i="42"/>
  <c r="M17" i="2"/>
  <c r="M19"/>
  <c r="M20" s="1"/>
  <c r="M18"/>
  <c r="M21"/>
  <c r="M16"/>
  <c r="E9" i="14"/>
  <c r="J6" i="20"/>
  <c r="K6" s="1"/>
  <c r="G14" i="2"/>
  <c r="G14" i="42" s="1"/>
  <c r="G7" i="43" l="1"/>
  <c r="J7" s="1"/>
  <c r="E17" i="15" s="1"/>
  <c r="G26" i="2" s="1"/>
  <c r="G26" i="42" s="1"/>
  <c r="M6" i="20"/>
  <c r="G8" i="8"/>
  <c r="E10" i="14"/>
  <c r="G9"/>
  <c r="I9" s="1"/>
  <c r="E32"/>
  <c r="G31"/>
  <c r="I31" s="1"/>
  <c r="F9" i="15" s="1"/>
  <c r="G52" i="2" s="1"/>
  <c r="H17" i="42"/>
  <c r="N51" i="2"/>
  <c r="G15" i="42"/>
  <c r="G50" i="2"/>
  <c r="M22"/>
  <c r="G8" i="6" l="1"/>
  <c r="E11" i="14"/>
  <c r="G10"/>
  <c r="I10" s="1"/>
  <c r="E7" i="15"/>
  <c r="E34" i="14"/>
  <c r="G34" s="1"/>
  <c r="I34" s="1"/>
  <c r="F12" i="15" s="1"/>
  <c r="G55" i="2" s="1"/>
  <c r="G32" i="14"/>
  <c r="I32" s="1"/>
  <c r="H16" i="42"/>
  <c r="N50" i="2"/>
  <c r="H18" i="42"/>
  <c r="N52" i="2"/>
  <c r="N17" l="1"/>
  <c r="G17" i="42"/>
  <c r="G16" i="2"/>
  <c r="E12" i="14"/>
  <c r="G11"/>
  <c r="I11" s="1"/>
  <c r="E9" i="15" s="1"/>
  <c r="G18" i="2" s="1"/>
  <c r="N55"/>
  <c r="H21" i="42"/>
  <c r="F10" i="15"/>
  <c r="I33" i="14"/>
  <c r="F11" i="15" s="1"/>
  <c r="G54" i="2" s="1"/>
  <c r="N54" l="1"/>
  <c r="H20" i="42"/>
  <c r="E14" i="14"/>
  <c r="G14" s="1"/>
  <c r="I14" s="1"/>
  <c r="E12" i="15" s="1"/>
  <c r="G21" i="2" s="1"/>
  <c r="G12" i="14"/>
  <c r="I12" s="1"/>
  <c r="I36"/>
  <c r="G18" i="42"/>
  <c r="N18" i="2"/>
  <c r="G53"/>
  <c r="F13" i="15"/>
  <c r="N16" i="2"/>
  <c r="G16" i="42"/>
  <c r="G56" i="2" l="1"/>
  <c r="F19" i="15"/>
  <c r="E10"/>
  <c r="I13" i="14"/>
  <c r="E11" i="15" s="1"/>
  <c r="G20" i="2" s="1"/>
  <c r="N21"/>
  <c r="G21" i="42"/>
  <c r="N53" i="2"/>
  <c r="H19" i="42"/>
  <c r="H22" l="1"/>
  <c r="N56" i="2"/>
  <c r="N20"/>
  <c r="G20" i="42"/>
  <c r="I16" i="14"/>
  <c r="H9" i="8"/>
  <c r="G62" i="2"/>
  <c r="G19"/>
  <c r="E13" i="15"/>
  <c r="H28" i="42" l="1"/>
  <c r="G63" i="2"/>
  <c r="G22"/>
  <c r="E19" i="15"/>
  <c r="H9" i="6"/>
  <c r="I9" i="8"/>
  <c r="K9" s="1"/>
  <c r="I9" i="6" s="1"/>
  <c r="N19" i="2"/>
  <c r="G19" i="42"/>
  <c r="N22" i="2" l="1"/>
  <c r="G22" i="42"/>
  <c r="H8" i="8"/>
  <c r="G28" i="2"/>
  <c r="G64"/>
  <c r="H29" i="42"/>
  <c r="J9" i="6"/>
  <c r="L9" s="1"/>
  <c r="G28" i="42" l="1"/>
  <c r="G29" i="2"/>
  <c r="H30" i="42"/>
  <c r="G65" i="2"/>
  <c r="G66" s="1"/>
  <c r="I64" s="1"/>
  <c r="H8" i="6"/>
  <c r="I8" i="8"/>
  <c r="K8" s="1"/>
  <c r="I8" i="6" s="1"/>
  <c r="G29" i="42" l="1"/>
  <c r="G30" i="2"/>
  <c r="H31" i="42"/>
  <c r="I65" i="2"/>
  <c r="H32" i="42"/>
  <c r="G67" i="2"/>
  <c r="H33" i="42" s="1"/>
  <c r="I66" i="2"/>
  <c r="I49"/>
  <c r="I62"/>
  <c r="I63"/>
  <c r="J8" i="6"/>
  <c r="L8" s="1"/>
  <c r="G30" i="42" l="1"/>
  <c r="G31" i="2"/>
  <c r="G32" s="1"/>
  <c r="G68"/>
  <c r="G33" l="1"/>
  <c r="G33" i="42" s="1"/>
  <c r="I32" i="2"/>
  <c r="G32" i="42"/>
  <c r="I15" i="2"/>
  <c r="I28"/>
  <c r="I29"/>
  <c r="I30"/>
  <c r="I31"/>
  <c r="G31" i="42"/>
  <c r="J8" i="68"/>
  <c r="K8" s="1"/>
  <c r="O8" s="1"/>
  <c r="P8" s="1"/>
  <c r="Q8" s="1"/>
  <c r="J8" i="1"/>
  <c r="K8" s="1"/>
  <c r="N8" s="1"/>
  <c r="H34" i="42"/>
  <c r="G34" i="2" l="1"/>
  <c r="J7" i="68" s="1"/>
  <c r="K7" s="1"/>
  <c r="O7" s="1"/>
  <c r="J7" i="1" l="1"/>
  <c r="K7" s="1"/>
  <c r="N7" s="1"/>
  <c r="N9" s="1"/>
  <c r="G34" i="42"/>
  <c r="O9" i="68"/>
  <c r="P9" s="1"/>
  <c r="Q9" s="1"/>
  <c r="P7"/>
  <c r="Q7" s="1"/>
</calcChain>
</file>

<file path=xl/sharedStrings.xml><?xml version="1.0" encoding="utf-8"?>
<sst xmlns="http://schemas.openxmlformats.org/spreadsheetml/2006/main" count="1357" uniqueCount="976">
  <si>
    <t>연장근로수당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</si>
  <si>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</si>
  <si>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</si>
  <si>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</si>
  <si>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</si>
  <si>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</si>
  <si>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월간용역비</t>
    <phoneticPr fontId="7" type="noConversion"/>
  </si>
  <si>
    <t>적용
개월수</t>
    <phoneticPr fontId="7" type="noConversion"/>
  </si>
  <si>
    <t>년간용역비</t>
    <phoneticPr fontId="7" type="noConversion"/>
  </si>
  <si>
    <t>주 1)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</si>
  <si>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</si>
  <si>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</si>
  <si>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</si>
  <si>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</si>
  <si>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</si>
  <si>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</si>
  <si>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</si>
  <si>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</si>
  <si>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</si>
  <si>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</si>
  <si>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</si>
  <si>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</si>
  <si>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년차수당</t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</si>
  <si>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</si>
  <si>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</si>
  <si>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</si>
  <si>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</si>
  <si>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</si>
  <si>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</si>
  <si>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</si>
  <si>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</si>
  <si>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</si>
  <si>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</si>
  <si>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</si>
  <si>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</si>
  <si>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</si>
  <si>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</si>
  <si>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</si>
  <si>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</si>
  <si>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</si>
  <si>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</si>
  <si>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</si>
  <si>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</si>
  <si>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</si>
  <si>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</si>
  <si>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</si>
  <si>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</si>
  <si>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</si>
  <si>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</si>
  <si>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</si>
  <si>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</si>
  <si>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</si>
  <si>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</si>
  <si>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</si>
  <si>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</si>
  <si>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</si>
  <si>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</si>
  <si>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</si>
  <si>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</si>
  <si>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</si>
  <si>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적용직종 및 소요인원산정표</t>
    <phoneticPr fontId="16" type="noConversion"/>
  </si>
  <si>
    <t>구  분</t>
    <phoneticPr fontId="7" type="noConversion"/>
  </si>
  <si>
    <t>계</t>
    <phoneticPr fontId="16" type="noConversion"/>
  </si>
  <si>
    <t>경비집계표</t>
    <phoneticPr fontId="7" type="noConversion"/>
  </si>
  <si>
    <t>비          목</t>
    <phoneticPr fontId="5" type="noConversion"/>
  </si>
  <si>
    <t>주 1)</t>
    <phoneticPr fontId="5" type="noConversion"/>
  </si>
  <si>
    <t>복리후생비</t>
    <phoneticPr fontId="5" type="noConversion"/>
  </si>
  <si>
    <t>식대</t>
    <phoneticPr fontId="5" type="noConversion"/>
  </si>
  <si>
    <t>주 2)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</si>
  <si>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</si>
  <si>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</si>
  <si>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</si>
  <si>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</si>
  <si>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</si>
  <si>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</si>
  <si>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</si>
  <si>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</si>
  <si>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</si>
  <si>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</si>
  <si>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</si>
  <si>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 xml:space="preserve">   석탄광업</t>
  </si>
  <si>
    <t xml:space="preserve">   금속 및 비금속광업</t>
  </si>
  <si>
    <t xml:space="preserve">   선박건조 및 수리업</t>
  </si>
  <si>
    <t xml:space="preserve">   석회석광업</t>
  </si>
  <si>
    <t xml:space="preserve">   수제품 제조업</t>
  </si>
  <si>
    <t xml:space="preserve">   기타제조업</t>
  </si>
  <si>
    <t>2. 제조업</t>
  </si>
  <si>
    <t xml:space="preserve">   식료품제조업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</si>
  <si>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</si>
  <si>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</si>
  <si>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</si>
  <si>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</si>
  <si>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</si>
  <si>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자동차여객운수업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</si>
  <si>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</si>
  <si>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</si>
  <si>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</si>
  <si>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항공운수업</t>
  </si>
  <si>
    <t xml:space="preserve">   운수관련 서비스업</t>
  </si>
  <si>
    <t xml:space="preserve">   화학제품 제조업</t>
  </si>
  <si>
    <t xml:space="preserve">   의약품 및 화장품 향료 제조업</t>
  </si>
  <si>
    <t xml:space="preserve">   코크스 및 석탄가스 제조업</t>
  </si>
  <si>
    <t xml:space="preserve">   고무제품 제조업</t>
  </si>
  <si>
    <t xml:space="preserve">   도자기제품 제조업</t>
  </si>
  <si>
    <t xml:space="preserve">   유리 제조업</t>
  </si>
  <si>
    <t xml:space="preserve">   요업 또는 토석제품 제조업</t>
  </si>
  <si>
    <t>9. 기타의사업</t>
  </si>
  <si>
    <t xml:space="preserve">   시멘트 제조업</t>
  </si>
  <si>
    <t xml:space="preserve">   농수산물위탁판매업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</si>
  <si>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</si>
  <si>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</si>
  <si>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</si>
  <si>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</si>
  <si>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골프장 및 경마장운영업</t>
  </si>
  <si>
    <t xml:space="preserve">   기계기구 제조업</t>
  </si>
  <si>
    <t xml:space="preserve">   기타의 각종사업</t>
  </si>
  <si>
    <t xml:space="preserve">   전기기계기구 제조업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</si>
  <si>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</si>
  <si>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</si>
  <si>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</si>
  <si>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</si>
  <si>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</si>
  <si>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</si>
  <si>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</si>
  <si>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</si>
  <si>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</si>
  <si>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</si>
  <si>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</si>
  <si>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-</t>
  </si>
  <si>
    <t>이윤비율표</t>
    <phoneticPr fontId="21" type="noConversion"/>
  </si>
  <si>
    <t>구          분</t>
    <phoneticPr fontId="7" type="noConversion"/>
  </si>
  <si>
    <t>회계예규
기준비율(%)</t>
    <phoneticPr fontId="7" type="noConversion"/>
  </si>
  <si>
    <t>조사적용
비율(%)</t>
    <phoneticPr fontId="7" type="noConversion"/>
  </si>
  <si>
    <t>비       고</t>
    <phoneticPr fontId="19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</si>
  <si>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</si>
  <si>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</si>
  <si>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</si>
  <si>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</si>
  <si>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</si>
  <si>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CODE NO.</t>
  </si>
  <si>
    <t>금     액</t>
  </si>
  <si>
    <t>"</t>
  </si>
  <si>
    <t>매출원가</t>
    <phoneticPr fontId="7" type="noConversion"/>
  </si>
  <si>
    <t>판매비와일반관리비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</si>
  <si>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</si>
  <si>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</si>
  <si>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</si>
  <si>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</si>
  <si>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</si>
  <si>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</si>
  <si>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</si>
  <si>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</si>
  <si>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</si>
  <si>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</si>
  <si>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</si>
  <si>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</si>
  <si>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</si>
  <si>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일반관리비율산출표</t>
    <phoneticPr fontId="7" type="noConversion"/>
  </si>
  <si>
    <t>1. 회계예규기준과 기업경영분석자료 비교</t>
    <phoneticPr fontId="7" type="noConversion"/>
  </si>
  <si>
    <t>비                  목</t>
    <phoneticPr fontId="14" type="noConversion"/>
  </si>
  <si>
    <t>회계예규기준</t>
    <phoneticPr fontId="7" type="noConversion"/>
  </si>
  <si>
    <t>비    고</t>
    <phoneticPr fontId="14" type="noConversion"/>
  </si>
  <si>
    <t>1)</t>
    <phoneticPr fontId="7" type="noConversion"/>
  </si>
  <si>
    <t xml:space="preserve"> 주 1)</t>
    <phoneticPr fontId="7" type="noConversion"/>
  </si>
  <si>
    <t>2)</t>
    <phoneticPr fontId="7" type="noConversion"/>
  </si>
  <si>
    <t>동기간의 일반관리비</t>
    <phoneticPr fontId="7" type="noConversion"/>
  </si>
  <si>
    <t>불인금액</t>
    <phoneticPr fontId="7" type="noConversion"/>
  </si>
  <si>
    <t>① 접대비</t>
    <phoneticPr fontId="7" type="noConversion"/>
  </si>
  <si>
    <t>② 광고선전비</t>
    <phoneticPr fontId="7" type="noConversion"/>
  </si>
  <si>
    <t>③ 운반비</t>
    <phoneticPr fontId="7" type="noConversion"/>
  </si>
  <si>
    <t>④ 대손상각비</t>
    <phoneticPr fontId="7" type="noConversion"/>
  </si>
  <si>
    <t>⑤ 무형자산상각비</t>
    <phoneticPr fontId="7" type="noConversion"/>
  </si>
  <si>
    <t>⑥ 기타판매비와관리비</t>
    <phoneticPr fontId="7" type="noConversion"/>
  </si>
  <si>
    <t>3)</t>
    <phoneticPr fontId="7" type="noConversion"/>
  </si>
  <si>
    <t>일반관리비율(%)</t>
    <phoneticPr fontId="7" type="noConversion"/>
  </si>
  <si>
    <t xml:space="preserve"> 주 2)</t>
    <phoneticPr fontId="7" type="noConversion"/>
  </si>
  <si>
    <t>기업경영분석
자료(백만원)</t>
    <phoneticPr fontId="14" type="noConversion"/>
  </si>
  <si>
    <t>비    목</t>
    <phoneticPr fontId="7" type="noConversion"/>
  </si>
  <si>
    <t xml:space="preserve">   2) 단가 : 시중유통거래가격 참조</t>
    <phoneticPr fontId="7" type="noConversion"/>
  </si>
  <si>
    <t>3. 전기·가스 및 상수도업</t>
  </si>
  <si>
    <t xml:space="preserve">   어업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</si>
  <si>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</si>
  <si>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</si>
  <si>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</si>
  <si>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</si>
  <si>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적용직종</t>
    <phoneticPr fontId="16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</si>
  <si>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</si>
  <si>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</si>
  <si>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</si>
  <si>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단위 : 원</t>
    <phoneticPr fontId="5" type="noConversion"/>
  </si>
  <si>
    <t xml:space="preserve">   5) 년간용역비 : 월간용역비 × 적용개월수</t>
    <phoneticPr fontId="5" type="noConversion"/>
  </si>
  <si>
    <t>목       차</t>
    <phoneticPr fontId="6" type="noConversion"/>
  </si>
  <si>
    <t>Ⅰ.</t>
    <phoneticPr fontId="6" type="noConversion"/>
  </si>
  <si>
    <t>예정원가조사보고서 ----------------------------------------------------</t>
    <phoneticPr fontId="6" type="noConversion"/>
  </si>
  <si>
    <t>Ⅱ.</t>
    <phoneticPr fontId="6" type="noConversion"/>
  </si>
  <si>
    <t>원가조사의 개요 -------------------------------------------------------</t>
    <phoneticPr fontId="6" type="noConversion"/>
  </si>
  <si>
    <t>Ⅲ.</t>
    <phoneticPr fontId="6" type="noConversion"/>
  </si>
  <si>
    <t>Ⅳ.</t>
    <phoneticPr fontId="6" type="noConversion"/>
  </si>
  <si>
    <t>원가비목별계산기준 ----------------------------------------------------</t>
    <phoneticPr fontId="6" type="noConversion"/>
  </si>
  <si>
    <t>비       목</t>
    <phoneticPr fontId="7" type="noConversion"/>
  </si>
  <si>
    <t>관  련  법  규</t>
    <phoneticPr fontId="7" type="noConversion"/>
  </si>
  <si>
    <t>산     정     기     준</t>
    <phoneticPr fontId="7" type="noConversion"/>
  </si>
  <si>
    <t>적  용  방  법</t>
    <phoneticPr fontId="7" type="noConversion"/>
  </si>
  <si>
    <t>기     본     급</t>
    <phoneticPr fontId="7" type="noConversion"/>
  </si>
  <si>
    <t>상       여       금</t>
    <phoneticPr fontId="6" type="noConversion"/>
  </si>
  <si>
    <t>퇴 직 급 여 충 당 금</t>
    <phoneticPr fontId="6" type="noConversion"/>
  </si>
  <si>
    <t>(기본급+제수당+상여금)÷12개월</t>
    <phoneticPr fontId="7" type="noConversion"/>
  </si>
  <si>
    <t>인건비산정기준 및 관련법규</t>
    <phoneticPr fontId="16" type="noConversion"/>
  </si>
  <si>
    <t>고용보험료</t>
  </si>
  <si>
    <t>비 고</t>
    <phoneticPr fontId="7" type="noConversion"/>
  </si>
  <si>
    <t>사용자는 1년간 8할 이상 출근한 근로자에게 15일의 유급휴가를 주어야 한다.</t>
    <phoneticPr fontId="5" type="noConversion"/>
  </si>
  <si>
    <t>퇴직금제도를 설정하고자 하는 사용자는 계속근로기간 1년에 대하여 30일분
 이상의 평균임금을 퇴직금으로 퇴직하는 근로자에게 지급할 수 있는 제도를
 설정하여야 한다.</t>
    <phoneticPr fontId="5" type="noConversion"/>
  </si>
  <si>
    <t>근로기준법 제60조</t>
    <phoneticPr fontId="7" type="noConversion"/>
  </si>
  <si>
    <t>근로기준법 제56조</t>
    <phoneticPr fontId="7" type="noConversion"/>
  </si>
  <si>
    <t>근로기준법 제60조</t>
    <phoneticPr fontId="5" type="noConversion"/>
  </si>
  <si>
    <t>근로기준법 제34조
 근로자퇴직급여 보장법 제8조</t>
    <phoneticPr fontId="5" type="noConversion"/>
  </si>
  <si>
    <t>인
건
비</t>
    <phoneticPr fontId="6" type="noConversion"/>
  </si>
  <si>
    <t>인
건
비</t>
    <phoneticPr fontId="6" type="noConversion"/>
  </si>
  <si>
    <t>연장근로에 대하여 통상임금의 100분의 50이상을 가산하여 지급하여야 한다.</t>
    <phoneticPr fontId="5" type="noConversion"/>
  </si>
  <si>
    <t>기본급÷월근로시간×일근로시간×15일/년
 ÷12개월</t>
    <phoneticPr fontId="7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</si>
  <si>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</si>
  <si>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</si>
  <si>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</si>
  <si>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</si>
  <si>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비  고</t>
    <phoneticPr fontId="7" type="noConversion"/>
  </si>
  <si>
    <t>보험료산출표</t>
    <phoneticPr fontId="15" type="noConversion"/>
  </si>
  <si>
    <t>보통인부</t>
    <phoneticPr fontId="7" type="noConversion"/>
  </si>
  <si>
    <t>경
비</t>
    <phoneticPr fontId="6" type="noConversion"/>
  </si>
  <si>
    <t>제
수
당</t>
    <phoneticPr fontId="7" type="noConversion"/>
  </si>
  <si>
    <t>휴일근로수당</t>
    <phoneticPr fontId="5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</si>
  <si>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</si>
  <si>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</si>
  <si>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</si>
  <si>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</si>
  <si>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</si>
  <si>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</si>
  <si>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</si>
  <si>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</si>
  <si>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</si>
  <si>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</si>
  <si>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</si>
  <si>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</si>
  <si>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 xml:space="preserve">   자동차 및 모터사이클 수리업</t>
  </si>
  <si>
    <t xml:space="preserve">   전문기술서비스업</t>
  </si>
  <si>
    <t>휴일근로에 대하여 통상임금의 100분의 50이상을 가산하여 지급하여야 한다.</t>
    <phoneticPr fontId="5" type="noConversion"/>
  </si>
  <si>
    <t>휴일근로수당</t>
    <phoneticPr fontId="5" type="noConversion"/>
  </si>
  <si>
    <t xml:space="preserve">   2) 일반관리비율 = (동기간의 일반관리비 ÷ 매출원가) × 100</t>
    <phoneticPr fontId="7" type="noConversion"/>
  </si>
  <si>
    <t>2. 일반관리비 적용비율</t>
    <phoneticPr fontId="7" type="noConversion"/>
  </si>
  <si>
    <t>경
비</t>
    <phoneticPr fontId="6" type="noConversion"/>
  </si>
  <si>
    <t>M/D당
임율</t>
    <phoneticPr fontId="6" type="noConversion"/>
  </si>
  <si>
    <t>월근무
일수</t>
    <phoneticPr fontId="6" type="noConversion"/>
  </si>
  <si>
    <t>1.</t>
    <phoneticPr fontId="5" type="noConversion"/>
  </si>
  <si>
    <t>2.</t>
    <phoneticPr fontId="5" type="noConversion"/>
  </si>
  <si>
    <t>자격기준</t>
    <phoneticPr fontId="5" type="noConversion"/>
  </si>
  <si>
    <t>소요
인원</t>
    <phoneticPr fontId="16" type="noConversion"/>
  </si>
  <si>
    <t>노인장기요양보험료</t>
    <phoneticPr fontId="5" type="noConversion"/>
  </si>
  <si>
    <t>사     업     소     세</t>
    <phoneticPr fontId="5" type="noConversion"/>
  </si>
  <si>
    <t>적용직종명</t>
    <phoneticPr fontId="7" type="noConversion"/>
  </si>
  <si>
    <t>금  액</t>
    <phoneticPr fontId="7" type="noConversion"/>
  </si>
  <si>
    <t>사업소세산출표</t>
    <phoneticPr fontId="21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</si>
  <si>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</si>
  <si>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</si>
  <si>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</si>
  <si>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비    고</t>
    <phoneticPr fontId="7" type="noConversion"/>
  </si>
  <si>
    <t>주 2)</t>
    <phoneticPr fontId="7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</si>
  <si>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</si>
  <si>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</si>
  <si>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</si>
  <si>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주 1)</t>
    <phoneticPr fontId="5" type="noConversion"/>
  </si>
  <si>
    <t>구분</t>
    <phoneticPr fontId="7" type="noConversion"/>
  </si>
  <si>
    <t>적용직종명</t>
    <phoneticPr fontId="7" type="noConversion"/>
  </si>
  <si>
    <t>담당업무</t>
    <phoneticPr fontId="5" type="noConversion"/>
  </si>
  <si>
    <t>노인장기요양보험료</t>
    <phoneticPr fontId="5" type="noConversion"/>
  </si>
  <si>
    <t>제
수
당</t>
    <phoneticPr fontId="7" type="noConversion"/>
  </si>
  <si>
    <t>직책수당</t>
    <phoneticPr fontId="5" type="noConversion"/>
  </si>
  <si>
    <t>제
수
당</t>
    <phoneticPr fontId="6" type="noConversion"/>
  </si>
  <si>
    <t>교         육        비</t>
    <phoneticPr fontId="5" type="noConversion"/>
  </si>
  <si>
    <t>기
타</t>
    <phoneticPr fontId="7" type="noConversion"/>
  </si>
  <si>
    <t>교육비</t>
    <phoneticPr fontId="7" type="noConversion"/>
  </si>
  <si>
    <t>사업소세</t>
    <phoneticPr fontId="7" type="noConversion"/>
  </si>
  <si>
    <t>교육비산출표</t>
    <phoneticPr fontId="21" type="noConversion"/>
  </si>
  <si>
    <t>적용
개월수</t>
    <phoneticPr fontId="18" type="noConversion"/>
  </si>
  <si>
    <t>년간비용</t>
    <phoneticPr fontId="7" type="noConversion"/>
  </si>
  <si>
    <t>월간비용</t>
    <phoneticPr fontId="7" type="noConversion"/>
  </si>
  <si>
    <t>기본급÷월근로시간×휴일근로시간×휴일할증</t>
    <phoneticPr fontId="7" type="noConversion"/>
  </si>
  <si>
    <t>주 6)</t>
    <phoneticPr fontId="7" type="noConversion"/>
  </si>
  <si>
    <t>주 7)</t>
  </si>
  <si>
    <t xml:space="preserve">   5) 직책수당 : 적용직종별 등급을 감안</t>
    <phoneticPr fontId="5" type="noConversion"/>
  </si>
  <si>
    <t xml:space="preserve">                    월근로시간 = {(40시간(월~금)+8시간(일요일))÷7일}×(365일/12개월) = 209시간</t>
    <phoneticPr fontId="5" type="noConversion"/>
  </si>
  <si>
    <t>순용역원가 + 일반관리비 + 이윤</t>
    <phoneticPr fontId="5" type="noConversion"/>
  </si>
  <si>
    <t>구분</t>
    <phoneticPr fontId="5" type="noConversion"/>
  </si>
  <si>
    <t>항    목</t>
    <phoneticPr fontId="5" type="noConversion"/>
  </si>
  <si>
    <t>수량</t>
    <phoneticPr fontId="5" type="noConversion"/>
  </si>
  <si>
    <t>금    액</t>
    <phoneticPr fontId="5" type="noConversion"/>
  </si>
  <si>
    <t>단  가</t>
    <phoneticPr fontId="5" type="noConversion"/>
  </si>
  <si>
    <t>좀약</t>
    <phoneticPr fontId="5" type="noConversion"/>
  </si>
  <si>
    <t>세제</t>
    <phoneticPr fontId="5" type="noConversion"/>
  </si>
  <si>
    <t>규조토</t>
    <phoneticPr fontId="5" type="noConversion"/>
  </si>
  <si>
    <t>휴지</t>
    <phoneticPr fontId="5" type="noConversion"/>
  </si>
  <si>
    <t>세면비누</t>
    <phoneticPr fontId="5" type="noConversion"/>
  </si>
  <si>
    <t>세탁비누</t>
    <phoneticPr fontId="5" type="noConversion"/>
  </si>
  <si>
    <t>마포</t>
    <phoneticPr fontId="5" type="noConversion"/>
  </si>
  <si>
    <t>마포대</t>
    <phoneticPr fontId="5" type="noConversion"/>
  </si>
  <si>
    <t>기름걸래</t>
    <phoneticPr fontId="5" type="noConversion"/>
  </si>
  <si>
    <t>고무장갑</t>
    <phoneticPr fontId="5" type="noConversion"/>
  </si>
  <si>
    <t>면장갑</t>
    <phoneticPr fontId="5" type="noConversion"/>
  </si>
  <si>
    <t>광약</t>
    <phoneticPr fontId="5" type="noConversion"/>
  </si>
  <si>
    <t>왁스</t>
    <phoneticPr fontId="5" type="noConversion"/>
  </si>
  <si>
    <t>물비누</t>
    <phoneticPr fontId="5" type="noConversion"/>
  </si>
  <si>
    <t>헤라</t>
    <phoneticPr fontId="5" type="noConversion"/>
  </si>
  <si>
    <t>압축기</t>
    <phoneticPr fontId="5" type="noConversion"/>
  </si>
  <si>
    <t>변기솔</t>
    <phoneticPr fontId="5" type="noConversion"/>
  </si>
  <si>
    <t>사각솔</t>
    <phoneticPr fontId="5" type="noConversion"/>
  </si>
  <si>
    <t>신나</t>
    <phoneticPr fontId="5" type="noConversion"/>
  </si>
  <si>
    <t>수세미</t>
    <phoneticPr fontId="5" type="noConversion"/>
  </si>
  <si>
    <t>유한락스(1ℓ)</t>
    <phoneticPr fontId="5" type="noConversion"/>
  </si>
  <si>
    <t>트리오(1Kg)</t>
    <phoneticPr fontId="5" type="noConversion"/>
  </si>
  <si>
    <t>하이타이(5Kg)</t>
    <phoneticPr fontId="5" type="noConversion"/>
  </si>
  <si>
    <t>대빗자루</t>
    <phoneticPr fontId="5" type="noConversion"/>
  </si>
  <si>
    <t>쓰레받이</t>
    <phoneticPr fontId="5" type="noConversion"/>
  </si>
  <si>
    <t>유리창청소장비</t>
    <phoneticPr fontId="5" type="noConversion"/>
  </si>
  <si>
    <t>수수비</t>
    <phoneticPr fontId="5" type="noConversion"/>
  </si>
  <si>
    <t>나이론비</t>
    <phoneticPr fontId="5" type="noConversion"/>
  </si>
  <si>
    <t>장목비</t>
    <phoneticPr fontId="5" type="noConversion"/>
  </si>
  <si>
    <t>바가지</t>
    <phoneticPr fontId="5" type="noConversion"/>
  </si>
  <si>
    <t>양동이</t>
    <phoneticPr fontId="5" type="noConversion"/>
  </si>
  <si>
    <t>우산비닐(대)</t>
    <phoneticPr fontId="5" type="noConversion"/>
  </si>
  <si>
    <t>우산비닐(소)</t>
    <phoneticPr fontId="5" type="noConversion"/>
  </si>
  <si>
    <t>1)</t>
    <phoneticPr fontId="5" type="noConversion"/>
  </si>
  <si>
    <t>2)</t>
  </si>
  <si>
    <t>3)</t>
  </si>
  <si>
    <t>4)</t>
  </si>
  <si>
    <t>5)</t>
  </si>
  <si>
    <t>6)</t>
  </si>
  <si>
    <t>7)</t>
  </si>
  <si>
    <t>8)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</si>
  <si>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</si>
  <si>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</si>
  <si>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</si>
  <si>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</si>
  <si>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</si>
  <si>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</si>
  <si>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</si>
  <si>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</si>
  <si>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</si>
  <si>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</si>
  <si>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형광등(40W)</t>
    <phoneticPr fontId="5" type="noConversion"/>
  </si>
  <si>
    <t>형광등(10W)</t>
    <phoneticPr fontId="5" type="noConversion"/>
  </si>
  <si>
    <t>안정기</t>
    <phoneticPr fontId="5" type="noConversion"/>
  </si>
  <si>
    <t>백열등</t>
    <phoneticPr fontId="5" type="noConversion"/>
  </si>
  <si>
    <t>차단기</t>
    <phoneticPr fontId="5" type="noConversion"/>
  </si>
  <si>
    <t>콘센트</t>
    <phoneticPr fontId="5" type="noConversion"/>
  </si>
  <si>
    <t>스위치</t>
    <phoneticPr fontId="5" type="noConversion"/>
  </si>
  <si>
    <t>마그네트</t>
    <phoneticPr fontId="5" type="noConversion"/>
  </si>
  <si>
    <t>패킹</t>
    <phoneticPr fontId="5" type="noConversion"/>
  </si>
  <si>
    <t>베어링</t>
    <phoneticPr fontId="5" type="noConversion"/>
  </si>
  <si>
    <t>오일</t>
    <phoneticPr fontId="5" type="noConversion"/>
  </si>
  <si>
    <t>사무용품</t>
    <phoneticPr fontId="5" type="noConversion"/>
  </si>
  <si>
    <t>화스너</t>
    <phoneticPr fontId="5" type="noConversion"/>
  </si>
  <si>
    <t>황화일</t>
    <phoneticPr fontId="5" type="noConversion"/>
  </si>
  <si>
    <t>사인펜</t>
    <phoneticPr fontId="5" type="noConversion"/>
  </si>
  <si>
    <t>칼라펜</t>
    <phoneticPr fontId="5" type="noConversion"/>
  </si>
  <si>
    <t>연필</t>
    <phoneticPr fontId="5" type="noConversion"/>
  </si>
  <si>
    <t>노트</t>
    <phoneticPr fontId="5" type="noConversion"/>
  </si>
  <si>
    <t>철끈</t>
    <phoneticPr fontId="5" type="noConversion"/>
  </si>
  <si>
    <t>스템프</t>
    <phoneticPr fontId="5" type="noConversion"/>
  </si>
  <si>
    <t>핀</t>
    <phoneticPr fontId="5" type="noConversion"/>
  </si>
  <si>
    <t>전출지</t>
    <phoneticPr fontId="5" type="noConversion"/>
  </si>
  <si>
    <t>자</t>
    <phoneticPr fontId="5" type="noConversion"/>
  </si>
  <si>
    <t>송곳</t>
    <phoneticPr fontId="5" type="noConversion"/>
  </si>
  <si>
    <t>인주</t>
    <phoneticPr fontId="5" type="noConversion"/>
  </si>
  <si>
    <t>압핀</t>
    <phoneticPr fontId="5" type="noConversion"/>
  </si>
  <si>
    <t>크립</t>
    <phoneticPr fontId="5" type="noConversion"/>
  </si>
  <si>
    <t>흑표지</t>
    <phoneticPr fontId="5" type="noConversion"/>
  </si>
  <si>
    <t>매직</t>
    <phoneticPr fontId="5" type="noConversion"/>
  </si>
  <si>
    <t>고무지우개</t>
    <phoneticPr fontId="5" type="noConversion"/>
  </si>
  <si>
    <t>볼펜</t>
    <phoneticPr fontId="5" type="noConversion"/>
  </si>
  <si>
    <t>프러스펜</t>
    <phoneticPr fontId="5" type="noConversion"/>
  </si>
  <si>
    <t>스카치테이프</t>
    <phoneticPr fontId="5" type="noConversion"/>
  </si>
  <si>
    <t>청테이프</t>
    <phoneticPr fontId="5" type="noConversion"/>
  </si>
  <si>
    <t>호치켓(대) 및 심</t>
    <phoneticPr fontId="5" type="noConversion"/>
  </si>
  <si>
    <t>캇타칼 및 날</t>
    <phoneticPr fontId="5" type="noConversion"/>
  </si>
  <si>
    <t>풀</t>
    <phoneticPr fontId="5" type="noConversion"/>
  </si>
  <si>
    <t>수정액</t>
    <phoneticPr fontId="5" type="noConversion"/>
  </si>
  <si>
    <t>모조지(16절지)</t>
    <phoneticPr fontId="5" type="noConversion"/>
  </si>
  <si>
    <t>총계정원장</t>
    <phoneticPr fontId="5" type="noConversion"/>
  </si>
  <si>
    <t>원부</t>
    <phoneticPr fontId="5" type="noConversion"/>
  </si>
  <si>
    <t>금전출납부</t>
    <phoneticPr fontId="5" type="noConversion"/>
  </si>
  <si>
    <t>보조부</t>
    <phoneticPr fontId="5" type="noConversion"/>
  </si>
  <si>
    <t>펀치</t>
    <phoneticPr fontId="5" type="noConversion"/>
  </si>
  <si>
    <t>고리</t>
    <phoneticPr fontId="5" type="noConversion"/>
  </si>
  <si>
    <t>출근부표지</t>
    <phoneticPr fontId="5" type="noConversion"/>
  </si>
  <si>
    <t>출근부용지</t>
    <phoneticPr fontId="5" type="noConversion"/>
  </si>
  <si>
    <t>모조전지</t>
    <phoneticPr fontId="5" type="noConversion"/>
  </si>
  <si>
    <t>칠판지우개</t>
    <phoneticPr fontId="5" type="noConversion"/>
  </si>
  <si>
    <t>형광펜</t>
    <phoneticPr fontId="5" type="noConversion"/>
  </si>
  <si>
    <t>가위</t>
    <phoneticPr fontId="5" type="noConversion"/>
  </si>
  <si>
    <t>샤프</t>
    <phoneticPr fontId="5" type="noConversion"/>
  </si>
  <si>
    <t>샤프심</t>
    <phoneticPr fontId="5" type="noConversion"/>
  </si>
  <si>
    <t>보드마카</t>
    <phoneticPr fontId="5" type="noConversion"/>
  </si>
  <si>
    <t>결재판</t>
    <phoneticPr fontId="5" type="noConversion"/>
  </si>
  <si>
    <t>인쇄물</t>
    <phoneticPr fontId="5" type="noConversion"/>
  </si>
  <si>
    <t>관리비선수금영수증</t>
    <phoneticPr fontId="5" type="noConversion"/>
  </si>
  <si>
    <t>입금전표</t>
    <phoneticPr fontId="5" type="noConversion"/>
  </si>
  <si>
    <t>출금전표</t>
    <phoneticPr fontId="5" type="noConversion"/>
  </si>
  <si>
    <t>관리비입금명세서</t>
    <phoneticPr fontId="5" type="noConversion"/>
  </si>
  <si>
    <t>대체대차변전표</t>
    <phoneticPr fontId="5" type="noConversion"/>
  </si>
  <si>
    <t>일계표</t>
    <phoneticPr fontId="5" type="noConversion"/>
  </si>
  <si>
    <t>지출결의서</t>
    <phoneticPr fontId="5" type="noConversion"/>
  </si>
  <si>
    <t>시설카드</t>
    <phoneticPr fontId="5" type="noConversion"/>
  </si>
  <si>
    <t>급료지급명세서</t>
    <phoneticPr fontId="5" type="noConversion"/>
  </si>
  <si>
    <t>하자접수대장</t>
    <phoneticPr fontId="5" type="noConversion"/>
  </si>
  <si>
    <t>작업지시서</t>
    <phoneticPr fontId="5" type="noConversion"/>
  </si>
  <si>
    <t>기안용지(갑)</t>
    <phoneticPr fontId="5" type="noConversion"/>
  </si>
  <si>
    <t>기안용지(을)</t>
    <phoneticPr fontId="5" type="noConversion"/>
  </si>
  <si>
    <t>독촉장</t>
    <phoneticPr fontId="5" type="noConversion"/>
  </si>
  <si>
    <t>선수금잡부대장</t>
    <phoneticPr fontId="5" type="noConversion"/>
  </si>
  <si>
    <t>년도관리비원부</t>
    <phoneticPr fontId="5" type="noConversion"/>
  </si>
  <si>
    <t>업무일지</t>
    <phoneticPr fontId="5" type="noConversion"/>
  </si>
  <si>
    <t>숙직일지</t>
    <phoneticPr fontId="5" type="noConversion"/>
  </si>
  <si>
    <t>작업일지(전기,시설)</t>
    <phoneticPr fontId="5" type="noConversion"/>
  </si>
  <si>
    <t>전기일지</t>
    <phoneticPr fontId="5" type="noConversion"/>
  </si>
  <si>
    <t>기관일지</t>
    <phoneticPr fontId="5" type="noConversion"/>
  </si>
  <si>
    <t>입주점검표(설비)</t>
    <phoneticPr fontId="5" type="noConversion"/>
  </si>
  <si>
    <t>입주점검표(건축)</t>
    <phoneticPr fontId="5" type="noConversion"/>
  </si>
  <si>
    <t>입주점검표(전기)</t>
    <phoneticPr fontId="5" type="noConversion"/>
  </si>
  <si>
    <t>전기검침카드</t>
    <phoneticPr fontId="5" type="noConversion"/>
  </si>
  <si>
    <t>온수, 냉수 카드</t>
    <phoneticPr fontId="5" type="noConversion"/>
  </si>
  <si>
    <t>각종 도장 및 직인현판</t>
    <phoneticPr fontId="5" type="noConversion"/>
  </si>
  <si>
    <t>직인</t>
    <phoneticPr fontId="5" type="noConversion"/>
  </si>
  <si>
    <t>인장</t>
    <phoneticPr fontId="5" type="noConversion"/>
  </si>
  <si>
    <t>접수, 발송, 영수인</t>
    <phoneticPr fontId="5" type="noConversion"/>
  </si>
  <si>
    <t>계정과목인</t>
    <phoneticPr fontId="5" type="noConversion"/>
  </si>
  <si>
    <t>명판</t>
    <phoneticPr fontId="5" type="noConversion"/>
  </si>
  <si>
    <t>결재고무인</t>
    <phoneticPr fontId="5" type="noConversion"/>
  </si>
  <si>
    <t>검수인</t>
    <phoneticPr fontId="5" type="noConversion"/>
  </si>
  <si>
    <t>인장함</t>
    <phoneticPr fontId="5" type="noConversion"/>
  </si>
  <si>
    <t>책상(양수)</t>
    <phoneticPr fontId="5" type="noConversion"/>
  </si>
  <si>
    <t>책상(편수)</t>
    <phoneticPr fontId="5" type="noConversion"/>
  </si>
  <si>
    <t>의자(양수)</t>
    <phoneticPr fontId="5" type="noConversion"/>
  </si>
  <si>
    <t>의자(편수)</t>
    <phoneticPr fontId="5" type="noConversion"/>
  </si>
  <si>
    <t>의자(경비)</t>
    <phoneticPr fontId="5" type="noConversion"/>
  </si>
  <si>
    <t>캐비닛</t>
    <phoneticPr fontId="5" type="noConversion"/>
  </si>
  <si>
    <t>전화기</t>
    <phoneticPr fontId="5" type="noConversion"/>
  </si>
  <si>
    <t>수제금고</t>
    <phoneticPr fontId="5" type="noConversion"/>
  </si>
  <si>
    <t>칠판(행사용)</t>
    <phoneticPr fontId="5" type="noConversion"/>
  </si>
  <si>
    <t>칠판</t>
    <phoneticPr fontId="5" type="noConversion"/>
  </si>
  <si>
    <t>계산기</t>
    <phoneticPr fontId="5" type="noConversion"/>
  </si>
  <si>
    <t>컴퓨터</t>
    <phoneticPr fontId="5" type="noConversion"/>
  </si>
  <si>
    <t>랜턴</t>
    <phoneticPr fontId="5" type="noConversion"/>
  </si>
  <si>
    <t>책꽃이</t>
    <phoneticPr fontId="5" type="noConversion"/>
  </si>
  <si>
    <t>쇼파</t>
    <phoneticPr fontId="5" type="noConversion"/>
  </si>
  <si>
    <t>공기구 비품</t>
    <phoneticPr fontId="5" type="noConversion"/>
  </si>
  <si>
    <t>양수기</t>
    <phoneticPr fontId="5" type="noConversion"/>
  </si>
  <si>
    <t>양수기 호스</t>
    <phoneticPr fontId="5" type="noConversion"/>
  </si>
  <si>
    <t>용접봉</t>
    <phoneticPr fontId="5" type="noConversion"/>
  </si>
  <si>
    <t>용접고데</t>
    <phoneticPr fontId="5" type="noConversion"/>
  </si>
  <si>
    <t>용접면</t>
    <phoneticPr fontId="5" type="noConversion"/>
  </si>
  <si>
    <t>흑유리</t>
    <phoneticPr fontId="5" type="noConversion"/>
  </si>
  <si>
    <t>백유리</t>
    <phoneticPr fontId="5" type="noConversion"/>
  </si>
  <si>
    <t>용접장갑</t>
    <phoneticPr fontId="5" type="noConversion"/>
  </si>
  <si>
    <t>다운도란스</t>
    <phoneticPr fontId="5" type="noConversion"/>
  </si>
  <si>
    <t>뿌라야</t>
    <phoneticPr fontId="5" type="noConversion"/>
  </si>
  <si>
    <t>라디오뺀지</t>
    <phoneticPr fontId="5" type="noConversion"/>
  </si>
  <si>
    <t>리빠</t>
    <phoneticPr fontId="5" type="noConversion"/>
  </si>
  <si>
    <t>뺀지</t>
    <phoneticPr fontId="5" type="noConversion"/>
  </si>
  <si>
    <t>겸용드라이버</t>
    <phoneticPr fontId="5" type="noConversion"/>
  </si>
  <si>
    <t>전공칼</t>
    <phoneticPr fontId="5" type="noConversion"/>
  </si>
  <si>
    <t>권총고데</t>
    <phoneticPr fontId="5" type="noConversion"/>
  </si>
  <si>
    <t>오일시시</t>
    <phoneticPr fontId="5" type="noConversion"/>
  </si>
  <si>
    <t>사다리</t>
    <phoneticPr fontId="5" type="noConversion"/>
  </si>
  <si>
    <t>빠루망치</t>
    <phoneticPr fontId="5" type="noConversion"/>
  </si>
  <si>
    <t>오함마</t>
    <phoneticPr fontId="5" type="noConversion"/>
  </si>
  <si>
    <t>함마</t>
    <phoneticPr fontId="5" type="noConversion"/>
  </si>
  <si>
    <t>각삽</t>
    <phoneticPr fontId="5" type="noConversion"/>
  </si>
  <si>
    <t>양날톱</t>
    <phoneticPr fontId="5" type="noConversion"/>
  </si>
  <si>
    <t>접톱</t>
    <phoneticPr fontId="5" type="noConversion"/>
  </si>
  <si>
    <t>실납</t>
    <phoneticPr fontId="5" type="noConversion"/>
  </si>
  <si>
    <t>검전 드라이버</t>
    <phoneticPr fontId="5" type="noConversion"/>
  </si>
  <si>
    <t>메가테스터</t>
    <phoneticPr fontId="5" type="noConversion"/>
  </si>
  <si>
    <t>후크메타</t>
    <phoneticPr fontId="5" type="noConversion"/>
  </si>
  <si>
    <t>멀티테스터</t>
    <phoneticPr fontId="5" type="noConversion"/>
  </si>
  <si>
    <t>자석드라이버</t>
    <phoneticPr fontId="5" type="noConversion"/>
  </si>
  <si>
    <t>공구함</t>
    <phoneticPr fontId="5" type="noConversion"/>
  </si>
  <si>
    <t>첼리</t>
    <phoneticPr fontId="5" type="noConversion"/>
  </si>
  <si>
    <t>탁상그리인더</t>
    <phoneticPr fontId="5" type="noConversion"/>
  </si>
  <si>
    <t>탁상바이스</t>
    <phoneticPr fontId="5" type="noConversion"/>
  </si>
  <si>
    <t>크리너</t>
    <phoneticPr fontId="5" type="noConversion"/>
  </si>
  <si>
    <t>전선</t>
    <phoneticPr fontId="5" type="noConversion"/>
  </si>
  <si>
    <t>바이스뿌라야</t>
    <phoneticPr fontId="5" type="noConversion"/>
  </si>
  <si>
    <t>전기함마드릴</t>
    <phoneticPr fontId="5" type="noConversion"/>
  </si>
  <si>
    <t>기리</t>
    <phoneticPr fontId="5" type="noConversion"/>
  </si>
  <si>
    <t>복수소켓</t>
    <phoneticPr fontId="5" type="noConversion"/>
  </si>
  <si>
    <t>톱틀</t>
    <phoneticPr fontId="5" type="noConversion"/>
  </si>
  <si>
    <t>줄자</t>
    <phoneticPr fontId="5" type="noConversion"/>
  </si>
  <si>
    <t>메가네</t>
    <phoneticPr fontId="5" type="noConversion"/>
  </si>
  <si>
    <t>체인부록</t>
    <phoneticPr fontId="5" type="noConversion"/>
  </si>
  <si>
    <t>호각 및 줄</t>
    <phoneticPr fontId="5" type="noConversion"/>
  </si>
  <si>
    <t>방망이</t>
    <phoneticPr fontId="5" type="noConversion"/>
  </si>
  <si>
    <t>완장</t>
    <phoneticPr fontId="5" type="noConversion"/>
  </si>
  <si>
    <t>요대</t>
    <phoneticPr fontId="5" type="noConversion"/>
  </si>
  <si>
    <t>명찰</t>
    <phoneticPr fontId="5" type="noConversion"/>
  </si>
  <si>
    <t>후레쉬</t>
    <phoneticPr fontId="5" type="noConversion"/>
  </si>
  <si>
    <t>밧데리</t>
    <phoneticPr fontId="5" type="noConversion"/>
  </si>
  <si>
    <t>전기히터</t>
    <phoneticPr fontId="5" type="noConversion"/>
  </si>
  <si>
    <t>전기장판</t>
    <phoneticPr fontId="5" type="noConversion"/>
  </si>
  <si>
    <t>가스총</t>
    <phoneticPr fontId="5" type="noConversion"/>
  </si>
  <si>
    <t>충전액</t>
    <phoneticPr fontId="5" type="noConversion"/>
  </si>
  <si>
    <t>순찰시계</t>
    <phoneticPr fontId="5" type="noConversion"/>
  </si>
  <si>
    <t>계급장</t>
    <phoneticPr fontId="5" type="noConversion"/>
  </si>
  <si>
    <t>흉장</t>
    <phoneticPr fontId="5" type="noConversion"/>
  </si>
  <si>
    <t>정모</t>
    <phoneticPr fontId="5" type="noConversion"/>
  </si>
  <si>
    <t>무전기</t>
    <phoneticPr fontId="5" type="noConversion"/>
  </si>
  <si>
    <t>충전기</t>
    <phoneticPr fontId="5" type="noConversion"/>
  </si>
  <si>
    <t>카페트세척기</t>
    <phoneticPr fontId="5" type="noConversion"/>
  </si>
  <si>
    <t>유리창세척기</t>
    <phoneticPr fontId="5" type="noConversion"/>
  </si>
  <si>
    <t>파이언세라믹</t>
    <phoneticPr fontId="5" type="noConversion"/>
  </si>
  <si>
    <t>진공청소기</t>
    <phoneticPr fontId="5" type="noConversion"/>
  </si>
  <si>
    <t>2)</t>
    <phoneticPr fontId="5" type="noConversion"/>
  </si>
  <si>
    <t>3)</t>
    <phoneticPr fontId="5" type="noConversion"/>
  </si>
  <si>
    <t>4)</t>
    <phoneticPr fontId="5" type="noConversion"/>
  </si>
  <si>
    <t>5)</t>
    <phoneticPr fontId="5" type="noConversion"/>
  </si>
  <si>
    <t>6)</t>
    <phoneticPr fontId="5" type="noConversion"/>
  </si>
  <si>
    <t>7)</t>
    <phoneticPr fontId="5" type="noConversion"/>
  </si>
  <si>
    <t>8)</t>
    <phoneticPr fontId="5" type="noConversion"/>
  </si>
  <si>
    <t>9)</t>
    <phoneticPr fontId="5" type="noConversion"/>
  </si>
  <si>
    <t>10)</t>
    <phoneticPr fontId="5" type="noConversion"/>
  </si>
  <si>
    <t>11)</t>
    <phoneticPr fontId="5" type="noConversion"/>
  </si>
  <si>
    <t>12)</t>
    <phoneticPr fontId="5" type="noConversion"/>
  </si>
  <si>
    <t>13)</t>
    <phoneticPr fontId="5" type="noConversion"/>
  </si>
  <si>
    <t>14)</t>
    <phoneticPr fontId="5" type="noConversion"/>
  </si>
  <si>
    <t>15)</t>
    <phoneticPr fontId="5" type="noConversion"/>
  </si>
  <si>
    <t>16)</t>
    <phoneticPr fontId="5" type="noConversion"/>
  </si>
  <si>
    <t>17)</t>
    <phoneticPr fontId="5" type="noConversion"/>
  </si>
  <si>
    <t>18)</t>
    <phoneticPr fontId="5" type="noConversion"/>
  </si>
  <si>
    <t>19)</t>
    <phoneticPr fontId="5" type="noConversion"/>
  </si>
  <si>
    <t>20)</t>
    <phoneticPr fontId="5" type="noConversion"/>
  </si>
  <si>
    <t>21)</t>
    <phoneticPr fontId="5" type="noConversion"/>
  </si>
  <si>
    <t>22)</t>
    <phoneticPr fontId="5" type="noConversion"/>
  </si>
  <si>
    <t>23)</t>
    <phoneticPr fontId="5" type="noConversion"/>
  </si>
  <si>
    <t>24)</t>
    <phoneticPr fontId="5" type="noConversion"/>
  </si>
  <si>
    <t>25)</t>
    <phoneticPr fontId="5" type="noConversion"/>
  </si>
  <si>
    <t>26)</t>
    <phoneticPr fontId="5" type="noConversion"/>
  </si>
  <si>
    <t>27)</t>
    <phoneticPr fontId="5" type="noConversion"/>
  </si>
  <si>
    <t>28)</t>
    <phoneticPr fontId="5" type="noConversion"/>
  </si>
  <si>
    <t>29)</t>
    <phoneticPr fontId="5" type="noConversion"/>
  </si>
  <si>
    <t>30)</t>
    <phoneticPr fontId="5" type="noConversion"/>
  </si>
  <si>
    <t>31)</t>
    <phoneticPr fontId="5" type="noConversion"/>
  </si>
  <si>
    <t>32)</t>
    <phoneticPr fontId="5" type="noConversion"/>
  </si>
  <si>
    <t>33)</t>
    <phoneticPr fontId="5" type="noConversion"/>
  </si>
  <si>
    <t>34)</t>
    <phoneticPr fontId="5" type="noConversion"/>
  </si>
  <si>
    <t>35)</t>
    <phoneticPr fontId="5" type="noConversion"/>
  </si>
  <si>
    <t>형광등(20W)</t>
    <phoneticPr fontId="5" type="noConversion"/>
  </si>
  <si>
    <t>36)</t>
    <phoneticPr fontId="5" type="noConversion"/>
  </si>
  <si>
    <t>37)</t>
    <phoneticPr fontId="5" type="noConversion"/>
  </si>
  <si>
    <t>38)</t>
    <phoneticPr fontId="5" type="noConversion"/>
  </si>
  <si>
    <t>39)</t>
    <phoneticPr fontId="5" type="noConversion"/>
  </si>
  <si>
    <t>40)</t>
    <phoneticPr fontId="5" type="noConversion"/>
  </si>
  <si>
    <t>41)</t>
    <phoneticPr fontId="5" type="noConversion"/>
  </si>
  <si>
    <t>42)</t>
    <phoneticPr fontId="5" type="noConversion"/>
  </si>
  <si>
    <t>43)</t>
    <phoneticPr fontId="5" type="noConversion"/>
  </si>
  <si>
    <t>쓰레기수거봉투(50매)</t>
    <phoneticPr fontId="5" type="noConversion"/>
  </si>
  <si>
    <t>쓰레기수거봉투(100매)</t>
    <phoneticPr fontId="5" type="noConversion"/>
  </si>
  <si>
    <t>비   고</t>
    <phoneticPr fontId="5" type="noConversion"/>
  </si>
  <si>
    <t>경비일지</t>
    <phoneticPr fontId="5" type="noConversion"/>
  </si>
  <si>
    <t>비   고</t>
    <phoneticPr fontId="5" type="noConversion"/>
  </si>
  <si>
    <t>2)</t>
    <phoneticPr fontId="5" type="noConversion"/>
  </si>
  <si>
    <t>3)</t>
    <phoneticPr fontId="5" type="noConversion"/>
  </si>
  <si>
    <t>4)</t>
    <phoneticPr fontId="5" type="noConversion"/>
  </si>
  <si>
    <t>5)</t>
    <phoneticPr fontId="5" type="noConversion"/>
  </si>
  <si>
    <t>6)</t>
    <phoneticPr fontId="5" type="noConversion"/>
  </si>
  <si>
    <t>7)</t>
    <phoneticPr fontId="5" type="noConversion"/>
  </si>
  <si>
    <t>8)</t>
    <phoneticPr fontId="5" type="noConversion"/>
  </si>
  <si>
    <t>9)</t>
    <phoneticPr fontId="5" type="noConversion"/>
  </si>
  <si>
    <t>10)</t>
    <phoneticPr fontId="5" type="noConversion"/>
  </si>
  <si>
    <t>11)</t>
    <phoneticPr fontId="5" type="noConversion"/>
  </si>
  <si>
    <t>12)</t>
    <phoneticPr fontId="5" type="noConversion"/>
  </si>
  <si>
    <t>13)</t>
    <phoneticPr fontId="5" type="noConversion"/>
  </si>
  <si>
    <t>14)</t>
    <phoneticPr fontId="5" type="noConversion"/>
  </si>
  <si>
    <t>15)</t>
    <phoneticPr fontId="5" type="noConversion"/>
  </si>
  <si>
    <t>16)</t>
    <phoneticPr fontId="5" type="noConversion"/>
  </si>
  <si>
    <t>17)</t>
    <phoneticPr fontId="5" type="noConversion"/>
  </si>
  <si>
    <t>18)</t>
    <phoneticPr fontId="5" type="noConversion"/>
  </si>
  <si>
    <t>19)</t>
    <phoneticPr fontId="5" type="noConversion"/>
  </si>
  <si>
    <t>20)</t>
    <phoneticPr fontId="5" type="noConversion"/>
  </si>
  <si>
    <t>21)</t>
    <phoneticPr fontId="5" type="noConversion"/>
  </si>
  <si>
    <t>22)</t>
    <phoneticPr fontId="5" type="noConversion"/>
  </si>
  <si>
    <t>23)</t>
    <phoneticPr fontId="5" type="noConversion"/>
  </si>
  <si>
    <t>24)</t>
    <phoneticPr fontId="5" type="noConversion"/>
  </si>
  <si>
    <t>25)</t>
    <phoneticPr fontId="5" type="noConversion"/>
  </si>
  <si>
    <t>26)</t>
    <phoneticPr fontId="5" type="noConversion"/>
  </si>
  <si>
    <t>27)</t>
    <phoneticPr fontId="5" type="noConversion"/>
  </si>
  <si>
    <t>28)</t>
    <phoneticPr fontId="5" type="noConversion"/>
  </si>
  <si>
    <t>29)</t>
    <phoneticPr fontId="5" type="noConversion"/>
  </si>
  <si>
    <t>30)</t>
    <phoneticPr fontId="5" type="noConversion"/>
  </si>
  <si>
    <t>31)</t>
    <phoneticPr fontId="5" type="noConversion"/>
  </si>
  <si>
    <t>32)</t>
    <phoneticPr fontId="5" type="noConversion"/>
  </si>
  <si>
    <t>33)</t>
    <phoneticPr fontId="5" type="noConversion"/>
  </si>
  <si>
    <t>34)</t>
    <phoneticPr fontId="5" type="noConversion"/>
  </si>
  <si>
    <t>35)</t>
    <phoneticPr fontId="5" type="noConversion"/>
  </si>
  <si>
    <t>36)</t>
    <phoneticPr fontId="5" type="noConversion"/>
  </si>
  <si>
    <t>37)</t>
    <phoneticPr fontId="5" type="noConversion"/>
  </si>
  <si>
    <t>38)</t>
    <phoneticPr fontId="5" type="noConversion"/>
  </si>
  <si>
    <t>39)</t>
    <phoneticPr fontId="5" type="noConversion"/>
  </si>
  <si>
    <t>40)</t>
    <phoneticPr fontId="5" type="noConversion"/>
  </si>
  <si>
    <t>41)</t>
    <phoneticPr fontId="5" type="noConversion"/>
  </si>
  <si>
    <t>42)</t>
    <phoneticPr fontId="5" type="noConversion"/>
  </si>
  <si>
    <t>43)</t>
    <phoneticPr fontId="5" type="noConversion"/>
  </si>
  <si>
    <t>44)</t>
    <phoneticPr fontId="5" type="noConversion"/>
  </si>
  <si>
    <t>45)</t>
    <phoneticPr fontId="5" type="noConversion"/>
  </si>
  <si>
    <t>46)</t>
    <phoneticPr fontId="5" type="noConversion"/>
  </si>
  <si>
    <t>47)</t>
    <phoneticPr fontId="5" type="noConversion"/>
  </si>
  <si>
    <t>48)</t>
    <phoneticPr fontId="5" type="noConversion"/>
  </si>
  <si>
    <t>49)</t>
    <phoneticPr fontId="5" type="noConversion"/>
  </si>
  <si>
    <t>50)</t>
    <phoneticPr fontId="5" type="noConversion"/>
  </si>
  <si>
    <t>51)</t>
    <phoneticPr fontId="5" type="noConversion"/>
  </si>
  <si>
    <t>52)</t>
    <phoneticPr fontId="5" type="noConversion"/>
  </si>
  <si>
    <t>사다리(대)</t>
    <phoneticPr fontId="5" type="noConversion"/>
  </si>
  <si>
    <t>사다리(중)</t>
    <phoneticPr fontId="5" type="noConversion"/>
  </si>
  <si>
    <t>왁스머쉰(16")</t>
    <phoneticPr fontId="5" type="noConversion"/>
  </si>
  <si>
    <t>왁스머쉰(14")</t>
    <phoneticPr fontId="5" type="noConversion"/>
  </si>
  <si>
    <t>몽키(대)</t>
    <phoneticPr fontId="5" type="noConversion"/>
  </si>
  <si>
    <t>몽키(중)</t>
    <phoneticPr fontId="5" type="noConversion"/>
  </si>
  <si>
    <t>파이프렌치(소)</t>
    <phoneticPr fontId="5" type="noConversion"/>
  </si>
  <si>
    <t>파이프렌치(중)</t>
    <phoneticPr fontId="5" type="noConversion"/>
  </si>
  <si>
    <t>파이프렌치(대)</t>
    <phoneticPr fontId="5" type="noConversion"/>
  </si>
  <si>
    <t>콘크리트기리(소)</t>
    <phoneticPr fontId="5" type="noConversion"/>
  </si>
  <si>
    <t>콘크리트기리(중)</t>
    <phoneticPr fontId="5" type="noConversion"/>
  </si>
  <si>
    <t>콘크리트기리(대)</t>
    <phoneticPr fontId="5" type="noConversion"/>
  </si>
  <si>
    <t>53)</t>
  </si>
  <si>
    <t>54)</t>
  </si>
  <si>
    <t>감가상각비산출표</t>
    <phoneticPr fontId="5" type="noConversion"/>
  </si>
  <si>
    <t>상  각
개월수</t>
    <phoneticPr fontId="5" type="noConversion"/>
  </si>
  <si>
    <t>주 4)</t>
    <phoneticPr fontId="5" type="noConversion"/>
  </si>
  <si>
    <t>소모품비산출표</t>
    <phoneticPr fontId="5" type="noConversion"/>
  </si>
  <si>
    <t>주 1) 수량 : 유지관리 업체 실적에 의한 수량 적용</t>
    <phoneticPr fontId="5" type="noConversion"/>
  </si>
  <si>
    <t xml:space="preserve">   2) 단가 : 물가지 가격 및 시중유통거래가격</t>
    <phoneticPr fontId="5" type="noConversion"/>
  </si>
  <si>
    <t xml:space="preserve">   3) 사용개월수 : 유지관리 업체 사용실적 적용</t>
    <phoneticPr fontId="5" type="noConversion"/>
  </si>
  <si>
    <t>사  용
개월수</t>
    <phoneticPr fontId="5" type="noConversion"/>
  </si>
  <si>
    <t xml:space="preserve">   4) 금액 : 수량 × 단가 ÷ 사용개월수</t>
    <phoneticPr fontId="5" type="noConversion"/>
  </si>
  <si>
    <t>소모품비</t>
    <phoneticPr fontId="5" type="noConversion"/>
  </si>
  <si>
    <t>감가상각비</t>
    <phoneticPr fontId="5" type="noConversion"/>
  </si>
  <si>
    <t>일  반  관  리  비</t>
    <phoneticPr fontId="5" type="noConversion"/>
  </si>
  <si>
    <t>이              윤</t>
    <phoneticPr fontId="5" type="noConversion"/>
  </si>
  <si>
    <t>합              계</t>
    <phoneticPr fontId="5" type="noConversion"/>
  </si>
  <si>
    <t>소모품및감가상각비집계표</t>
    <phoneticPr fontId="5" type="noConversion"/>
  </si>
  <si>
    <t>청소용품</t>
    <phoneticPr fontId="5" type="noConversion"/>
  </si>
  <si>
    <t>설비용품</t>
    <phoneticPr fontId="5" type="noConversion"/>
  </si>
  <si>
    <t>집기 비품</t>
    <phoneticPr fontId="5" type="noConversion"/>
  </si>
  <si>
    <t>경비 장비</t>
    <phoneticPr fontId="5" type="noConversion"/>
  </si>
  <si>
    <t>청소 장비</t>
    <phoneticPr fontId="5" type="noConversion"/>
  </si>
  <si>
    <t>비    고</t>
    <phoneticPr fontId="6" type="noConversion"/>
  </si>
  <si>
    <t>구           분</t>
    <phoneticPr fontId="15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</si>
  <si>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</si>
  <si>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</si>
  <si>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&lt; 표 : 1 &gt; </t>
    <phoneticPr fontId="6" type="noConversion"/>
  </si>
  <si>
    <t>보     험     료</t>
    <phoneticPr fontId="5" type="noConversion"/>
  </si>
  <si>
    <t>주) 년간비용 : 적용대상자별 직무교육에 필요한 교육비용 적용</t>
    <phoneticPr fontId="7" type="noConversion"/>
  </si>
  <si>
    <t>단위 : 원/월</t>
    <phoneticPr fontId="5" type="noConversion"/>
  </si>
  <si>
    <t>제
수
당</t>
    <phoneticPr fontId="7" type="noConversion"/>
  </si>
  <si>
    <t>인건비 + 경비</t>
    <phoneticPr fontId="7" type="noConversion"/>
  </si>
  <si>
    <t>기본급÷월근로시간×연장근로시간×연장할증</t>
    <phoneticPr fontId="7" type="noConversion"/>
  </si>
  <si>
    <t>연장근로시간산출표</t>
    <phoneticPr fontId="15" type="noConversion"/>
  </si>
  <si>
    <t>월간주수</t>
    <phoneticPr fontId="7" type="noConversion"/>
  </si>
  <si>
    <t>월간연장
근로시간</t>
    <phoneticPr fontId="7" type="noConversion"/>
  </si>
  <si>
    <t>근무시간</t>
    <phoneticPr fontId="7" type="noConversion"/>
  </si>
  <si>
    <t>주당연장
근로시간</t>
    <phoneticPr fontId="7" type="noConversion"/>
  </si>
  <si>
    <t xml:space="preserve">   3) 월간연장근로시간 : 주당연장근로시간 × 월간주수</t>
    <phoneticPr fontId="7" type="noConversion"/>
  </si>
  <si>
    <t>휴일근로시간산출표</t>
    <phoneticPr fontId="15" type="noConversion"/>
  </si>
  <si>
    <t>월간휴일
근로시간</t>
    <phoneticPr fontId="7" type="noConversion"/>
  </si>
  <si>
    <t>기본</t>
    <phoneticPr fontId="5" type="noConversion"/>
  </si>
  <si>
    <t>휴일</t>
    <phoneticPr fontId="5" type="noConversion"/>
  </si>
  <si>
    <t>연장</t>
    <phoneticPr fontId="5" type="noConversion"/>
  </si>
  <si>
    <t>식비산출표</t>
    <phoneticPr fontId="5" type="noConversion"/>
  </si>
  <si>
    <t>주 3)</t>
    <phoneticPr fontId="5" type="noConversion"/>
  </si>
  <si>
    <t>합계</t>
    <phoneticPr fontId="6" type="noConversion"/>
  </si>
  <si>
    <t>합계</t>
    <phoneticPr fontId="6" type="noConversion"/>
  </si>
  <si>
    <t>부가가치세(10%)</t>
    <phoneticPr fontId="5" type="noConversion"/>
  </si>
  <si>
    <t>총계</t>
    <phoneticPr fontId="5" type="noConversion"/>
  </si>
  <si>
    <t>부가가치세(10%)</t>
    <phoneticPr fontId="6" type="noConversion"/>
  </si>
  <si>
    <t>총계</t>
    <phoneticPr fontId="6" type="noConversion"/>
  </si>
  <si>
    <t>합계 × 10%</t>
    <phoneticPr fontId="5" type="noConversion"/>
  </si>
  <si>
    <t>합계 + 부가가치세</t>
    <phoneticPr fontId="5" type="noConversion"/>
  </si>
  <si>
    <t>식  대</t>
    <phoneticPr fontId="5" type="noConversion"/>
  </si>
  <si>
    <t>복리
후생비</t>
    <phoneticPr fontId="7" type="noConversion"/>
  </si>
  <si>
    <t>복리
후생비</t>
    <phoneticPr fontId="7" type="noConversion"/>
  </si>
  <si>
    <t>용역원가계산서</t>
    <phoneticPr fontId="6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</si>
  <si>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</si>
  <si>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</si>
  <si>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7 &gt; </t>
    <phoneticPr fontId="7" type="noConversion"/>
  </si>
  <si>
    <t xml:space="preserve">&lt; 표 : 22 &gt; </t>
    <phoneticPr fontId="7" type="noConversion"/>
  </si>
  <si>
    <t xml:space="preserve">&lt; 표 : 23 &gt; </t>
    <phoneticPr fontId="7" type="noConversion"/>
  </si>
  <si>
    <t>기업경영분석자료</t>
    <phoneticPr fontId="14" type="noConversion"/>
  </si>
  <si>
    <t>* 손익산출서</t>
    <phoneticPr fontId="17" type="noConversion"/>
  </si>
  <si>
    <t>(단위 : 백만원)</t>
    <phoneticPr fontId="17" type="noConversion"/>
  </si>
  <si>
    <t>내역</t>
  </si>
  <si>
    <t>구성비(%)</t>
  </si>
  <si>
    <t>매출액</t>
    <phoneticPr fontId="5" type="noConversion"/>
  </si>
  <si>
    <t>매출원가</t>
    <phoneticPr fontId="5" type="noConversion"/>
  </si>
  <si>
    <t>매출총손익</t>
  </si>
  <si>
    <t>판매비와관리비</t>
    <phoneticPr fontId="5" type="noConversion"/>
  </si>
  <si>
    <t>급여</t>
    <phoneticPr fontId="7" type="noConversion"/>
  </si>
  <si>
    <t>퇴직급여</t>
    <phoneticPr fontId="7" type="noConversion"/>
  </si>
  <si>
    <t>복리후생비</t>
    <phoneticPr fontId="5" type="noConversion"/>
  </si>
  <si>
    <t>수도광열비</t>
    <phoneticPr fontId="5" type="noConversion"/>
  </si>
  <si>
    <t>세금과공과</t>
    <phoneticPr fontId="5" type="noConversion"/>
  </si>
  <si>
    <t>임차료</t>
    <phoneticPr fontId="7" type="noConversion"/>
  </si>
  <si>
    <t>감가상각비</t>
    <phoneticPr fontId="5" type="noConversion"/>
  </si>
  <si>
    <t>접대비</t>
    <phoneticPr fontId="7" type="noConversion"/>
  </si>
  <si>
    <t>불 인 금 액</t>
    <phoneticPr fontId="5" type="noConversion"/>
  </si>
  <si>
    <t>광고선전비</t>
    <phoneticPr fontId="5" type="noConversion"/>
  </si>
  <si>
    <t>경상개발비.연구비</t>
    <phoneticPr fontId="5" type="noConversion"/>
  </si>
  <si>
    <t>보험료</t>
    <phoneticPr fontId="5" type="noConversion"/>
  </si>
  <si>
    <t>운반.하역.보관.포장비</t>
    <phoneticPr fontId="5" type="noConversion"/>
  </si>
  <si>
    <t>대손상각비</t>
    <phoneticPr fontId="7" type="noConversion"/>
  </si>
  <si>
    <t>"</t>
    <phoneticPr fontId="8" type="noConversion"/>
  </si>
  <si>
    <t>무형자산상각비</t>
    <phoneticPr fontId="8" type="noConversion"/>
  </si>
  <si>
    <t>(개발비상각)</t>
    <phoneticPr fontId="8" type="noConversion"/>
  </si>
  <si>
    <t>지급수수료</t>
    <phoneticPr fontId="8" type="noConversion"/>
  </si>
  <si>
    <t>기타판매비와관리비</t>
    <phoneticPr fontId="7" type="noConversion"/>
  </si>
  <si>
    <t>영업손익</t>
    <phoneticPr fontId="14" type="noConversion"/>
  </si>
  <si>
    <t>영업외수익</t>
    <phoneticPr fontId="5" type="noConversion"/>
  </si>
  <si>
    <t>이자수익</t>
    <phoneticPr fontId="14" type="noConversion"/>
  </si>
  <si>
    <t>배당금수익</t>
    <phoneticPr fontId="14" type="noConversion"/>
  </si>
  <si>
    <t>외환차익</t>
    <phoneticPr fontId="5" type="noConversion"/>
  </si>
  <si>
    <t>외화환산이익</t>
    <phoneticPr fontId="7" type="noConversion"/>
  </si>
  <si>
    <t>파생금융상품거래이익</t>
    <phoneticPr fontId="7" type="noConversion"/>
  </si>
  <si>
    <t>파생금융상품평가이익</t>
    <phoneticPr fontId="7" type="noConversion"/>
  </si>
  <si>
    <t>투자·유형자산처분이익</t>
    <phoneticPr fontId="8" type="noConversion"/>
  </si>
  <si>
    <t>지분법평가이익</t>
    <phoneticPr fontId="5" type="noConversion"/>
  </si>
  <si>
    <t>기타영업외수익</t>
    <phoneticPr fontId="5" type="noConversion"/>
  </si>
  <si>
    <t>영업외비용</t>
    <phoneticPr fontId="5" type="noConversion"/>
  </si>
  <si>
    <t>이자비용</t>
    <phoneticPr fontId="14" type="noConversion"/>
  </si>
  <si>
    <t>외환차손</t>
    <phoneticPr fontId="14" type="noConversion"/>
  </si>
  <si>
    <t>외화환산손실</t>
    <phoneticPr fontId="14" type="noConversion"/>
  </si>
  <si>
    <t>파생금융상품거래손실</t>
    <phoneticPr fontId="8" type="noConversion"/>
  </si>
  <si>
    <t>파생금융상품평가손실</t>
    <phoneticPr fontId="7" type="noConversion"/>
  </si>
  <si>
    <t>투자·유형자산처분손실</t>
    <phoneticPr fontId="8" type="noConversion"/>
  </si>
  <si>
    <t>지분법평가손실</t>
    <phoneticPr fontId="5" type="noConversion"/>
  </si>
  <si>
    <t>자산재평가손실</t>
    <phoneticPr fontId="5" type="noConversion"/>
  </si>
  <si>
    <t>기타영업외비용</t>
    <phoneticPr fontId="5" type="noConversion"/>
  </si>
  <si>
    <t>법인세차감전순손익</t>
  </si>
  <si>
    <t>법인세비용</t>
    <phoneticPr fontId="7" type="noConversion"/>
  </si>
  <si>
    <t>계속사업이익</t>
    <phoneticPr fontId="7" type="noConversion"/>
  </si>
  <si>
    <t>중단사업손익</t>
    <phoneticPr fontId="7" type="noConversion"/>
  </si>
  <si>
    <t>당기순손익</t>
    <phoneticPr fontId="7" type="noConversion"/>
  </si>
  <si>
    <t xml:space="preserve">    CODE NO. N.『사업시설관리 및 사업지원 서비스업』</t>
    <phoneticPr fontId="7" type="noConversion"/>
  </si>
  <si>
    <t>보통인부</t>
    <phoneticPr fontId="5" type="noConversion"/>
  </si>
  <si>
    <t xml:space="preserve">&lt; 표 : 17 &gt; </t>
    <phoneticPr fontId="7" type="noConversion"/>
  </si>
  <si>
    <t xml:space="preserve">&lt; 표 : 18 &gt; </t>
    <phoneticPr fontId="7" type="noConversion"/>
  </si>
  <si>
    <t xml:space="preserve">&lt; 표 : 20 &gt; </t>
    <phoneticPr fontId="5" type="noConversion"/>
  </si>
  <si>
    <t xml:space="preserve">&lt; 표 : 21 &gt; </t>
    <phoneticPr fontId="5" type="noConversion"/>
  </si>
  <si>
    <t xml:space="preserve">&lt; 표 : 19 &gt; </t>
    <phoneticPr fontId="5" type="noConversion"/>
  </si>
  <si>
    <t>산출근거 --------------------------------------------------------</t>
    <phoneticPr fontId="6" type="noConversion"/>
  </si>
  <si>
    <t>용역기간현황표</t>
    <phoneticPr fontId="7" type="noConversion"/>
  </si>
  <si>
    <t>구    분</t>
    <phoneticPr fontId="7" type="noConversion"/>
  </si>
  <si>
    <t>2012년</t>
    <phoneticPr fontId="7" type="noConversion"/>
  </si>
  <si>
    <t>계</t>
  </si>
  <si>
    <t>8월</t>
  </si>
  <si>
    <t>9월</t>
  </si>
  <si>
    <t>10월</t>
  </si>
  <si>
    <t>11월</t>
  </si>
  <si>
    <t>12월</t>
  </si>
  <si>
    <t>1월</t>
    <phoneticPr fontId="7" type="noConversion"/>
  </si>
  <si>
    <t>2월</t>
  </si>
  <si>
    <t>3월</t>
  </si>
  <si>
    <t>4월</t>
  </si>
  <si>
    <t>5월</t>
  </si>
  <si>
    <t>6월</t>
  </si>
  <si>
    <t>평일
(월~금)</t>
    <phoneticPr fontId="7" type="noConversion"/>
  </si>
  <si>
    <t>토요일</t>
    <phoneticPr fontId="7" type="noConversion"/>
  </si>
  <si>
    <t>일요일</t>
    <phoneticPr fontId="7" type="noConversion"/>
  </si>
  <si>
    <t>공휴일
및 명절</t>
    <phoneticPr fontId="7" type="noConversion"/>
  </si>
  <si>
    <t>계</t>
    <phoneticPr fontId="7" type="noConversion"/>
  </si>
  <si>
    <t>주) 제시된 과업지시서 참조</t>
    <phoneticPr fontId="7" type="noConversion"/>
  </si>
  <si>
    <t>기간 : 2012년 1월 ~ 2012년 12월(12개월)</t>
    <phoneticPr fontId="7" type="noConversion"/>
  </si>
  <si>
    <t>7월</t>
  </si>
  <si>
    <t>주 1) M/D당임율 : 중소기업중앙회에서 조사·공표한 2011년도 시중노임단가 참조</t>
    <phoneticPr fontId="7" type="noConversion"/>
  </si>
  <si>
    <t>제-175</t>
    <phoneticPr fontId="7" type="noConversion"/>
  </si>
  <si>
    <t>월간
휴일근무회수</t>
    <phoneticPr fontId="7" type="noConversion"/>
  </si>
  <si>
    <t xml:space="preserve">   3) 월간휴일근로시간 : 휴일근로시간 × 월간휴일근무회수</t>
    <phoneticPr fontId="7" type="noConversion"/>
  </si>
  <si>
    <t>일근로시간</t>
    <phoneticPr fontId="7" type="noConversion"/>
  </si>
  <si>
    <t>주 1) 일근로시간 : 일 기본근로시간 8시간 적용</t>
    <phoneticPr fontId="7" type="noConversion"/>
  </si>
  <si>
    <t>(일)</t>
    <phoneticPr fontId="7" type="noConversion"/>
  </si>
  <si>
    <t>(M/M)</t>
    <phoneticPr fontId="7" type="noConversion"/>
  </si>
  <si>
    <t>(M/D)</t>
    <phoneticPr fontId="7" type="noConversion"/>
  </si>
  <si>
    <t>(HR)</t>
    <phoneticPr fontId="7" type="noConversion"/>
  </si>
  <si>
    <t>(회)</t>
    <phoneticPr fontId="7" type="noConversion"/>
  </si>
  <si>
    <t>단위 : 원</t>
    <phoneticPr fontId="7" type="noConversion"/>
  </si>
  <si>
    <t>(주)</t>
    <phoneticPr fontId="7" type="noConversion"/>
  </si>
  <si>
    <t xml:space="preserve">   2) 월간주수 : 365일/년 ÷ 7일/주 ÷ 12개월 = 4.34주</t>
    <phoneticPr fontId="7" type="noConversion"/>
  </si>
  <si>
    <t>통계청승인기관인 중소기업
 중앙회에서 발표한 시중
 노임단가 적용</t>
  </si>
  <si>
    <t>253일 ÷ 12개월 ≒ 21일
 본 조사에서는 일급을 기준으로 월 실근무일수를 승하여 산출하였다</t>
    <phoneticPr fontId="5" type="noConversion"/>
  </si>
  <si>
    <t>근로기준법 제56조 및
 부칙 제6조 2항</t>
    <phoneticPr fontId="7" type="noConversion"/>
  </si>
  <si>
    <t>통계청승인기관 발표</t>
    <phoneticPr fontId="5" type="noConversion"/>
  </si>
  <si>
    <t>시중유통거래가격</t>
    <phoneticPr fontId="5" type="noConversion"/>
  </si>
  <si>
    <t>단위(1인)당
월간용역비</t>
    <phoneticPr fontId="7" type="noConversion"/>
  </si>
  <si>
    <t>투입
인원</t>
    <phoneticPr fontId="7" type="noConversion"/>
  </si>
  <si>
    <t xml:space="preserve">   * 부가가치세 포함임</t>
    <phoneticPr fontId="5" type="noConversion"/>
  </si>
  <si>
    <t xml:space="preserve">   3) 월간용역비 : 소요인원 × 단위(1인)당월간용역비</t>
    <phoneticPr fontId="5" type="noConversion"/>
  </si>
  <si>
    <t xml:space="preserve">   4) 적용개월수 : 2012년 1월 1일 ~ 2012년 12월 31까지 12개월기준</t>
    <phoneticPr fontId="5" type="noConversion"/>
  </si>
  <si>
    <t>주) 소요인원 : 제시된 과업지시서 참조</t>
    <phoneticPr fontId="16" type="noConversion"/>
  </si>
  <si>
    <t>경비산정기준표</t>
    <phoneticPr fontId="16" type="noConversion"/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</si>
  <si>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</si>
  <si>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</si>
  <si>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</si>
  <si>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</si>
  <si>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</si>
  <si>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</si>
  <si>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>고용보험및산업재해보상보험의보험료징수 등에관한법률 제14조 3항,4항</t>
  </si>
  <si>
    <t>고용노동부고시 제2010-50호(2011.1.1)</t>
    <phoneticPr fontId="7" type="noConversion"/>
  </si>
  <si>
    <t>국민연금법 제88조 2항</t>
  </si>
  <si>
    <t xml:space="preserve">사업장가입자의 연금보험료중 기여금은 사업장가입자 본인이, 부담금은 사용자가 부담하되, 그 금액은 각각 표준소득월액의 1천분의 45에 해당하는 액으로 한다. </t>
  </si>
  <si>
    <t>(기본급+제수당+상여금)×4.5%</t>
  </si>
  <si>
    <t>(보헙료의 납부의무) 직장가입자의 보험료는 사용자가 납부한다.
 국민건강보험법 시행령 제43조의 2에 의한 보험요율의 표준보수월액의 5.64%(사용자부담 50%,근로자부담 50%)</t>
  </si>
  <si>
    <t>(기본급+제수당+상여금)×2.82%</t>
  </si>
  <si>
    <t>노인장기요양보험료</t>
  </si>
  <si>
    <t xml:space="preserve">(보헙료의 납부의무) 직장가입자의 보험료는 사용자가 납부한다.
 노인장기요양보험법에 의한 보험요율은 국민건강보험료의 6.55% </t>
  </si>
  <si>
    <t>산출건강보험료 × 6.55%</t>
  </si>
  <si>
    <t>(기본급+제수당+상여금)×0.08%</t>
  </si>
  <si>
    <t>고용보험 및 산업재해보상보험의 보험료징수등에 관한 법률 제14조 1항, 시행령 제12조</t>
    <phoneticPr fontId="5" type="noConversion"/>
  </si>
  <si>
    <t>국민건강보험법 제65조, 시행령 제43조의 2</t>
    <phoneticPr fontId="5" type="noConversion"/>
  </si>
  <si>
    <t>노인장기요양보험법 제9조 1항, 시행령 제4조</t>
    <phoneticPr fontId="5" type="noConversion"/>
  </si>
  <si>
    <t>임금채권보장법 제9조 2항 시행령 제13조</t>
    <phoneticPr fontId="5" type="noConversion"/>
  </si>
  <si>
    <t>고용노동부고시 제2010-37호(2010.12.27)의 규정에 의하여 임금채권보장기금 사업주부담금비율은 0.8/1000(전업종공통)</t>
    <phoneticPr fontId="5" type="noConversion"/>
  </si>
  <si>
    <t>산업재해보상보험요율</t>
    <phoneticPr fontId="21" type="noConversion"/>
  </si>
  <si>
    <t>(단위 : 1000분율)</t>
    <phoneticPr fontId="7" type="noConversion"/>
  </si>
  <si>
    <t>사   업   종   류</t>
    <phoneticPr fontId="7" type="noConversion"/>
  </si>
  <si>
    <t>보험요율</t>
    <phoneticPr fontId="7" type="noConversion"/>
  </si>
  <si>
    <t>1. 광업</t>
  </si>
  <si>
    <t xml:space="preserve">   수송용기계기구제조업(을)</t>
  </si>
  <si>
    <t xml:space="preserve">   계량기·광학기계·기타정밀</t>
  </si>
  <si>
    <t xml:space="preserve">   채 석 업</t>
  </si>
  <si>
    <t xml:space="preserve">   기구제조업</t>
  </si>
  <si>
    <t xml:space="preserve">   기타 광업</t>
  </si>
  <si>
    <t>4. 건 설 업</t>
  </si>
  <si>
    <t>36</t>
  </si>
  <si>
    <t xml:space="preserve">   수상운수업, 항만하역 및 화물</t>
  </si>
  <si>
    <t xml:space="preserve">   펄프․지류제조업 및 제본 또는 </t>
  </si>
  <si>
    <t xml:space="preserve">   취급사업</t>
  </si>
  <si>
    <t xml:space="preserve">   인쇄물 가공업</t>
  </si>
  <si>
    <t xml:space="preserve">   신문·화폐발행, 출판업 및 경인쇄업</t>
  </si>
  <si>
    <t xml:space="preserve">   인 쇄 업</t>
  </si>
  <si>
    <t xml:space="preserve">   창 고 업</t>
  </si>
  <si>
    <t xml:space="preserve">   통 신 업</t>
  </si>
  <si>
    <t>6. 임 업</t>
  </si>
  <si>
    <t>65</t>
  </si>
  <si>
    <t>7. 어 업</t>
  </si>
  <si>
    <t xml:space="preserve">   연탄 및 응집고체 연료생산업</t>
  </si>
  <si>
    <t>328</t>
  </si>
  <si>
    <t xml:space="preserve">   양식어업및어업관련서비스업</t>
  </si>
  <si>
    <t>13</t>
  </si>
  <si>
    <t>8. 농 업</t>
  </si>
  <si>
    <t>28</t>
  </si>
  <si>
    <t xml:space="preserve">   비금속광물제품 및 금속제품
   제조업 또는 금속가공업</t>
    <phoneticPr fontId="7" type="noConversion"/>
  </si>
  <si>
    <t xml:space="preserve">   도 금 업</t>
  </si>
  <si>
    <t xml:space="preserve">   도소매 및 소비자용품수리업</t>
  </si>
  <si>
    <t xml:space="preserve">   부동산업 및 임대업</t>
  </si>
  <si>
    <t xml:space="preserve">   수송용기계기구제조업(갑)</t>
  </si>
  <si>
    <t>10. 금융 보험업</t>
  </si>
  <si>
    <t>6</t>
  </si>
  <si>
    <t xml:space="preserve">   * 해외파견자 : 17/1000</t>
  </si>
  <si>
    <t>주) 노동부 고시 제2010-50호(2011년 1월 1일부터 시행)</t>
    <phoneticPr fontId="7" type="noConversion"/>
  </si>
  <si>
    <t xml:space="preserve">   3) 노인장기요양보험료 : 국민건강보험료 × 6.55%</t>
    <phoneticPr fontId="5" type="noConversion"/>
  </si>
  <si>
    <t>주) 2011년 한국은행발간 기업경영분석자료 참조</t>
    <phoneticPr fontId="7" type="noConversion"/>
  </si>
  <si>
    <t xml:space="preserve">&lt; 표 : 20 &gt; </t>
    <phoneticPr fontId="7" type="noConversion"/>
  </si>
  <si>
    <t xml:space="preserve">&lt; 표 : 21 &gt; </t>
    <phoneticPr fontId="7" type="noConversion"/>
  </si>
  <si>
    <t xml:space="preserve">&lt; 표 : 24 &gt; </t>
    <phoneticPr fontId="17" type="noConversion"/>
  </si>
  <si>
    <t>주 1) 주당연장근로시간 : 근로기준법 제 56조에 의거 적용</t>
    <phoneticPr fontId="7" type="noConversion"/>
  </si>
  <si>
    <t>전문용역업체 실적기준</t>
    <phoneticPr fontId="7" type="noConversion"/>
  </si>
  <si>
    <t xml:space="preserve">&lt; 표 : 19 &gt; </t>
    <phoneticPr fontId="7" type="noConversion"/>
  </si>
  <si>
    <t xml:space="preserve">   2) 비율(%) : 지방세법 제100조 종업원할(급여총액의 100분의 0.5)</t>
    <phoneticPr fontId="7" type="noConversion"/>
  </si>
  <si>
    <t>Ⅰ. 예정원가조사보고서</t>
    <phoneticPr fontId="7" type="noConversion"/>
  </si>
  <si>
    <t>Ⅱ. 원가조사의 개요</t>
    <phoneticPr fontId="7" type="noConversion"/>
  </si>
  <si>
    <t>Ⅲ. 원가비목별계산기준</t>
    <phoneticPr fontId="7" type="noConversion"/>
  </si>
  <si>
    <t>&lt; 표 : 2 &gt;</t>
  </si>
  <si>
    <t>&lt; 표 : 3 &gt;</t>
  </si>
  <si>
    <t>&lt; 표 : 4 &gt;</t>
  </si>
  <si>
    <t>&lt; 표 : 5 &gt;</t>
  </si>
  <si>
    <t>&lt; 표 : 6 &gt;</t>
  </si>
  <si>
    <t>&lt; 표 : 7 &gt;</t>
  </si>
  <si>
    <t>&lt; 표 : 8 &gt;</t>
  </si>
  <si>
    <t>&lt; 표 : 9 &gt;</t>
  </si>
  <si>
    <t>&lt; 표 : 10 &gt;</t>
  </si>
  <si>
    <t>&lt; 표 : 13 &gt;</t>
  </si>
  <si>
    <t>&lt; 표 : 14 &gt;</t>
  </si>
  <si>
    <t>&lt; 표 : 15 &gt;</t>
  </si>
  <si>
    <t>&lt; 표 : 16 &gt;</t>
  </si>
  <si>
    <t>&lt; 표 : 17 &gt;</t>
  </si>
  <si>
    <t>&lt; 표 : 18 &gt;</t>
  </si>
  <si>
    <t>&lt; 표 : 19 &gt;</t>
  </si>
  <si>
    <t>&lt; 표 : 20 &gt;</t>
  </si>
  <si>
    <t>Ⅴ. 산출근거</t>
    <phoneticPr fontId="7" type="noConversion"/>
  </si>
  <si>
    <t>&lt; 표 : 21 &gt;</t>
  </si>
  <si>
    <t>&lt; 표 : 22 &gt;</t>
  </si>
  <si>
    <t>&lt; 표 : 23 &gt;</t>
  </si>
  <si>
    <t>&lt; 표 : 24 &gt;</t>
  </si>
  <si>
    <t>주) 지방자치단체 원가계산 및 예정가격 작성요령(행정안전부예규 제332호, 2010.10.26)</t>
    <phoneticPr fontId="7" type="noConversion"/>
  </si>
  <si>
    <t>건 명 : 경기문화재단 2012년도 파견용역</t>
    <phoneticPr fontId="7" type="noConversion"/>
  </si>
  <si>
    <t>운전원</t>
    <phoneticPr fontId="5" type="noConversion"/>
  </si>
  <si>
    <t>사무원</t>
    <phoneticPr fontId="5" type="noConversion"/>
  </si>
  <si>
    <t>＊행정업무</t>
    <phoneticPr fontId="5" type="noConversion"/>
  </si>
  <si>
    <t>워드프로세스 자격소지</t>
    <phoneticPr fontId="5" type="noConversion"/>
  </si>
  <si>
    <t>3년이상 유경험자</t>
    <phoneticPr fontId="5" type="noConversion"/>
  </si>
  <si>
    <t>＊차량운행</t>
    <phoneticPr fontId="5" type="noConversion"/>
  </si>
  <si>
    <t xml:space="preserve">   2) 월간주수 : 월 2회 휴일근무 기준</t>
    <phoneticPr fontId="7" type="noConversion"/>
  </si>
  <si>
    <t>운전</t>
    <phoneticPr fontId="7" type="noConversion"/>
  </si>
  <si>
    <t>사무</t>
    <phoneticPr fontId="7" type="noConversion"/>
  </si>
  <si>
    <t>운전</t>
    <phoneticPr fontId="5" type="noConversion"/>
  </si>
  <si>
    <t>주  요  업  무</t>
    <phoneticPr fontId="16" type="noConversion"/>
  </si>
  <si>
    <t>사무</t>
    <phoneticPr fontId="5" type="noConversion"/>
  </si>
  <si>
    <t>운전원</t>
    <phoneticPr fontId="7" type="noConversion"/>
  </si>
  <si>
    <t>사무원</t>
    <phoneticPr fontId="7" type="noConversion"/>
  </si>
  <si>
    <t>비   고</t>
    <phoneticPr fontId="5" type="noConversion"/>
  </si>
  <si>
    <t>비     고</t>
    <phoneticPr fontId="5" type="noConversion"/>
  </si>
  <si>
    <t>체력단련비</t>
    <phoneticPr fontId="5" type="noConversion"/>
  </si>
  <si>
    <t>비      고</t>
    <phoneticPr fontId="5" type="noConversion"/>
  </si>
  <si>
    <t>체력단련비산출표</t>
    <phoneticPr fontId="5" type="noConversion"/>
  </si>
  <si>
    <t>체력단련비</t>
    <phoneticPr fontId="7" type="noConversion"/>
  </si>
  <si>
    <t>직종별용역원가계산서</t>
  </si>
  <si>
    <t>Ⅳ. 용역원가집계표</t>
    <phoneticPr fontId="6" type="noConversion"/>
  </si>
  <si>
    <t xml:space="preserve">&lt; 표 : 4 &gt; </t>
    <phoneticPr fontId="13" type="noConversion"/>
  </si>
  <si>
    <t xml:space="preserve">&lt; 표 : 5 &gt; </t>
    <phoneticPr fontId="6" type="noConversion"/>
  </si>
  <si>
    <t xml:space="preserve">&lt; 표 : 6 &gt; </t>
    <phoneticPr fontId="7" type="noConversion"/>
  </si>
  <si>
    <t xml:space="preserve">&lt; 표 : 8 &gt; </t>
    <phoneticPr fontId="16" type="noConversion"/>
  </si>
  <si>
    <t xml:space="preserve">&lt; 표 : 9 &gt; </t>
    <phoneticPr fontId="7" type="noConversion"/>
  </si>
  <si>
    <t xml:space="preserve">&lt; 표 : 10 &gt; </t>
    <phoneticPr fontId="16" type="noConversion"/>
  </si>
  <si>
    <t xml:space="preserve">&lt; 표 : 11 &gt; </t>
    <phoneticPr fontId="8" type="noConversion"/>
  </si>
  <si>
    <t xml:space="preserve">&lt; 표 : 12 &gt; </t>
    <phoneticPr fontId="13" type="noConversion"/>
  </si>
  <si>
    <t xml:space="preserve">&lt; 표 : 13 &gt; </t>
    <phoneticPr fontId="16" type="noConversion"/>
  </si>
  <si>
    <t xml:space="preserve">&lt; 표 : 14 &gt; </t>
    <phoneticPr fontId="19" type="noConversion"/>
  </si>
  <si>
    <t xml:space="preserve">&lt; 표 : 15 &gt; </t>
    <phoneticPr fontId="8" type="noConversion"/>
  </si>
  <si>
    <t xml:space="preserve">&lt; 표 : 16 &gt; </t>
    <phoneticPr fontId="7" type="noConversion"/>
  </si>
  <si>
    <t>Ⅳ. 용역원가집계표</t>
    <phoneticPr fontId="7" type="noConversion"/>
  </si>
  <si>
    <t>&lt; 표 : 1 &gt;</t>
    <phoneticPr fontId="7" type="noConversion"/>
  </si>
  <si>
    <t>1.</t>
    <phoneticPr fontId="7" type="noConversion"/>
  </si>
  <si>
    <t>용역원가계산서</t>
    <phoneticPr fontId="7" type="noConversion"/>
  </si>
  <si>
    <t>2.</t>
  </si>
  <si>
    <t>인건비</t>
    <phoneticPr fontId="7" type="noConversion"/>
  </si>
  <si>
    <t>3.</t>
  </si>
  <si>
    <t>경비</t>
    <phoneticPr fontId="7" type="noConversion"/>
  </si>
  <si>
    <t>4.</t>
  </si>
  <si>
    <t>일반관리비</t>
    <phoneticPr fontId="7" type="noConversion"/>
  </si>
  <si>
    <t>5.</t>
  </si>
  <si>
    <t>이윤</t>
    <phoneticPr fontId="7" type="noConversion"/>
  </si>
  <si>
    <t>6.</t>
  </si>
  <si>
    <t>기업경영분석자료</t>
    <phoneticPr fontId="7" type="noConversion"/>
  </si>
  <si>
    <t>1. 용역원가계산서</t>
    <phoneticPr fontId="7" type="noConversion"/>
  </si>
  <si>
    <t>2. 인건비</t>
    <phoneticPr fontId="7" type="noConversion"/>
  </si>
  <si>
    <t>3. 경비</t>
    <phoneticPr fontId="7" type="noConversion"/>
  </si>
  <si>
    <t>4. 일반관리비</t>
    <phoneticPr fontId="7" type="noConversion"/>
  </si>
  <si>
    <t>5. 이윤</t>
    <phoneticPr fontId="7" type="noConversion"/>
  </si>
  <si>
    <t>6. 기업경영분석자료</t>
    <phoneticPr fontId="7" type="noConversion"/>
  </si>
  <si>
    <t>용역원가집계표 ----------------------------------------------------</t>
    <phoneticPr fontId="6" type="noConversion"/>
  </si>
  <si>
    <t>Ⅴ.</t>
    <phoneticPr fontId="6" type="noConversion"/>
  </si>
  <si>
    <t>1. 용역원가계산서 --------------------------------------------------------</t>
    <phoneticPr fontId="6" type="noConversion"/>
  </si>
  <si>
    <t>2. 인건비 --------------------------------------------------------</t>
    <phoneticPr fontId="7" type="noConversion"/>
  </si>
  <si>
    <t>3. 경비 --------------------------------------------------------</t>
    <phoneticPr fontId="7" type="noConversion"/>
  </si>
  <si>
    <t>4. 일반관리비 --------------------------------------------------------</t>
    <phoneticPr fontId="7" type="noConversion"/>
  </si>
  <si>
    <t>5. 이윤 --------------------------------------------------------</t>
    <phoneticPr fontId="7" type="noConversion"/>
  </si>
  <si>
    <t>6. 기업경영분석자료 --------------------------------------------------------</t>
    <phoneticPr fontId="7" type="noConversion"/>
  </si>
  <si>
    <t>[ 경기문화재단 2012년도 파견용역 ]</t>
    <phoneticPr fontId="7" type="noConversion"/>
  </si>
  <si>
    <t>일반관리비(3%)</t>
    <phoneticPr fontId="6" type="noConversion"/>
  </si>
  <si>
    <t>이                 윤(7%)</t>
    <phoneticPr fontId="6" type="noConversion"/>
  </si>
  <si>
    <t>순용역원가 × 3%</t>
    <phoneticPr fontId="5" type="noConversion"/>
  </si>
  <si>
    <t>(인건비+경비+일반관리비)×7%</t>
    <phoneticPr fontId="5" type="noConversion"/>
  </si>
  <si>
    <t>(기본급+제수당+상여금)×0.9%, 0.6%</t>
    <phoneticPr fontId="7" type="noConversion"/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</si>
  <si>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9(사업주 부담 0.55%)
 * 산출식 : 0.25%(고용안정.직업능력개발사업요율)+0.55%(실업급여의 보험율)</t>
    <phoneticPr fontId="5" type="noConversion"/>
  </si>
  <si>
    <t>(기본급+제수당+상여금)×0.8%</t>
    <phoneticPr fontId="5" type="noConversion"/>
  </si>
  <si>
    <t>행정안전부예규에 의거 기준단가의 년 400%를 계상 할 수 있음</t>
    <phoneticPr fontId="7" type="noConversion"/>
  </si>
  <si>
    <r>
      <t>운전직</t>
    </r>
    <r>
      <rPr>
        <sz val="10"/>
        <rFont val="바탕체"/>
        <family val="1"/>
        <charset val="129"/>
      </rPr>
      <t xml:space="preserve"> : </t>
    </r>
    <r>
      <rPr>
        <sz val="10"/>
        <rFont val="바탕체"/>
        <family val="1"/>
        <charset val="129"/>
      </rPr>
      <t>기본급×4</t>
    </r>
    <r>
      <rPr>
        <sz val="10"/>
        <rFont val="바탕체"/>
        <family val="1"/>
        <charset val="129"/>
      </rPr>
      <t>0</t>
    </r>
    <r>
      <rPr>
        <sz val="10"/>
        <rFont val="바탕체"/>
        <family val="1"/>
        <charset val="129"/>
      </rPr>
      <t>0%
사무직</t>
    </r>
    <r>
      <rPr>
        <sz val="10"/>
        <rFont val="바탕체"/>
        <family val="1"/>
        <charset val="129"/>
      </rPr>
      <t xml:space="preserve"> : 기본급×150%</t>
    </r>
    <phoneticPr fontId="7" type="noConversion"/>
  </si>
  <si>
    <t>절감액</t>
    <phoneticPr fontId="5" type="noConversion"/>
  </si>
  <si>
    <t>절감률</t>
    <phoneticPr fontId="5" type="noConversion"/>
  </si>
  <si>
    <t>요청금액</t>
    <phoneticPr fontId="5" type="noConversion"/>
  </si>
  <si>
    <t>심사금액</t>
    <phoneticPr fontId="7" type="noConversion"/>
  </si>
  <si>
    <t>Ⅳ. 용역원가심사내역서</t>
    <phoneticPr fontId="6" type="noConversion"/>
  </si>
</sst>
</file>

<file path=xl/styles.xml><?xml version="1.0" encoding="utf-8"?>
<styleSheet xmlns="http://schemas.openxmlformats.org/spreadsheetml/2006/main">
  <numFmts count="60">
    <numFmt numFmtId="41" formatCode="_-* #,##0_-;\-* #,##0_-;_-* &quot;-&quot;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\&quot;\!\$#\!\,##0_);[Red]&quot;\&quot;\!\(&quot;\&quot;\!\$#\!\,##0&quot;\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\&quot;\!\(&quot;$&quot;#\!\,##0\!.00&quot;\&quot;\!\)"/>
    <numFmt numFmtId="193" formatCode="0.00_);[Red]\(0.00\)"/>
    <numFmt numFmtId="194" formatCode="0.00;[Red]0.00"/>
    <numFmt numFmtId="195" formatCode="_-* #,##0.0_-;&quot;\&quot;\!\-* #,##0.0_-;_-* &quot;-&quot;_-;_-@_-"/>
    <numFmt numFmtId="196" formatCode="&quot;\&quot;#,##0;&quot;\&quot;&quot;\&quot;&quot;\&quot;&quot;\&quot;&quot;\&quot;&quot;\&quot;\!\!\-#,##0"/>
    <numFmt numFmtId="197" formatCode="_ &quot;\&quot;* #,##0.00_ ;_ &quot;\&quot;* \-#,##0.00_ ;_ &quot;\&quot;* &quot;-&quot;??_ ;_ @_ "/>
    <numFmt numFmtId="198" formatCode="#,##0;[Red]&quot;-&quot;#,##0"/>
    <numFmt numFmtId="199" formatCode="#\!\,##0;&quot;\&quot;\!\-#\!\,##0\!.00"/>
    <numFmt numFmtId="200" formatCode="#,##0;\-#,##0.00"/>
    <numFmt numFmtId="201" formatCode="#,##0;&quot;-&quot;#,##0"/>
    <numFmt numFmtId="202" formatCode="&quot;\&quot;#,##0;[Red]&quot;\&quot;&quot;\&quot;&quot;\&quot;&quot;\&quot;&quot;\&quot;&quot;\&quot;\!\!\-#,##0"/>
    <numFmt numFmtId="203" formatCode="&quot;\&quot;#,##0.00;&quot;\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\&quot;&quot;\&quot;&quot;\&quot;&quot;\&quot;\!\!\-* #,##0.00_-;_-* &quot;-&quot;??_-;_-@_-"/>
    <numFmt numFmtId="209" formatCode="_-&quot;\&quot;* #,##0.00_-;&quot;\&quot;&quot;\&quot;&quot;\&quot;&quot;\&quot;\!\!\-&quot;\&quot;* #,##0.00_-;_-&quot;\&quot;* &quot;-&quot;??_-;_-@_-"/>
    <numFmt numFmtId="210" formatCode="&quot;\&quot;#,##0.00;&quot;\&quot;&quot;\&quot;&quot;\&quot;&quot;\&quot;&quot;\&quot;&quot;\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\&quot;#,##0;[Red]&quot;\&quot;&quot;\&quot;&quot;\&quot;&quot;\&quot;&quot;\&quot;&quot;\&quot;&quot;\&quot;&quot;\&quot;&quot;\&quot;\-#,##0"/>
    <numFmt numFmtId="220" formatCode="0.00000000_ "/>
    <numFmt numFmtId="221" formatCode="_-[$€-2]* #,##0.00_-;&quot;\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_ * #,##0_ ;_ * &quot;\&quot;\!\-#,##0_ ;_ * &quot;-&quot;_ ;_ @_ "/>
    <numFmt numFmtId="229" formatCode="0.00_ "/>
    <numFmt numFmtId="230" formatCode="_ * #,##0.00_ ;_ * \-#,##0.00_ ;_ * &quot;-&quot;_ ;_ @_ "/>
    <numFmt numFmtId="231" formatCode="#,##0_);\(#,##0\)"/>
    <numFmt numFmtId="232" formatCode="#,##0.00_);\(#,##0.00\)"/>
    <numFmt numFmtId="233" formatCode="0.0%"/>
  </numFmts>
  <fonts count="95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u/>
      <sz val="10"/>
      <color indexed="8"/>
      <name val="바탕체"/>
      <family val="1"/>
      <charset val="129"/>
    </font>
    <font>
      <sz val="11"/>
      <name val="바탕체"/>
      <family val="1"/>
      <charset val="129"/>
    </font>
    <font>
      <sz val="10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1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b/>
      <sz val="26"/>
      <name val="바탕체"/>
      <family val="1"/>
      <charset val="129"/>
    </font>
    <font>
      <b/>
      <sz val="11"/>
      <name val="바탕체"/>
      <family val="1"/>
      <charset val="129"/>
    </font>
    <font>
      <b/>
      <sz val="11"/>
      <name val="Arial"/>
      <family val="2"/>
    </font>
    <font>
      <sz val="14"/>
      <name val="바탕체"/>
      <family val="1"/>
      <charset val="129"/>
    </font>
    <font>
      <sz val="16"/>
      <name val="바탕체"/>
      <family val="1"/>
      <charset val="129"/>
    </font>
    <font>
      <sz val="10"/>
      <name val="돋움"/>
      <family val="3"/>
      <charset val="129"/>
    </font>
    <font>
      <sz val="20"/>
      <name val="돋움"/>
      <family val="3"/>
      <charset val="129"/>
    </font>
    <font>
      <b/>
      <sz val="12"/>
      <name val="휴먼모음T"/>
      <family val="1"/>
      <charset val="129"/>
    </font>
    <font>
      <sz val="12"/>
      <color indexed="9"/>
      <name val="바탕체"/>
      <family val="1"/>
      <charset val="129"/>
    </font>
    <font>
      <sz val="24"/>
      <name val="바탕체"/>
      <family val="1"/>
      <charset val="129"/>
    </font>
    <font>
      <b/>
      <sz val="24"/>
      <name val="휴먼모음T"/>
      <family val="1"/>
      <charset val="129"/>
    </font>
    <font>
      <sz val="24"/>
      <name val="휴먼모음T"/>
      <family val="1"/>
      <charset val="129"/>
    </font>
    <font>
      <sz val="13"/>
      <name val="휴먼모음T"/>
      <family val="1"/>
      <charset val="129"/>
    </font>
    <font>
      <b/>
      <sz val="13"/>
      <name val="휴먼모음T"/>
      <family val="1"/>
      <charset val="129"/>
    </font>
    <font>
      <sz val="10"/>
      <color rgb="FFFF0000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969">
    <xf numFmtId="0" fontId="0" fillId="0" borderId="0"/>
    <xf numFmtId="187" fontId="27" fillId="0" borderId="0">
      <protection locked="0"/>
    </xf>
    <xf numFmtId="0" fontId="2" fillId="0" borderId="0"/>
    <xf numFmtId="0" fontId="17" fillId="0" borderId="0"/>
    <xf numFmtId="0" fontId="28" fillId="0" borderId="1">
      <alignment horizont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" fillId="0" borderId="0"/>
    <xf numFmtId="0" fontId="8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1" fillId="0" borderId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8" fillId="0" borderId="0"/>
    <xf numFmtId="0" fontId="31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7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2" fillId="0" borderId="0"/>
    <xf numFmtId="194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8" fillId="0" borderId="5"/>
    <xf numFmtId="4" fontId="33" fillId="0" borderId="6">
      <alignment vertical="center"/>
    </xf>
    <xf numFmtId="0" fontId="4" fillId="0" borderId="0" applyNumberFormat="0" applyFill="0" applyBorder="0" applyAlignment="0" applyProtection="0"/>
    <xf numFmtId="0" fontId="8" fillId="0" borderId="0"/>
    <xf numFmtId="193" fontId="14" fillId="0" borderId="0">
      <protection locked="0"/>
    </xf>
    <xf numFmtId="0" fontId="27" fillId="0" borderId="0">
      <protection locked="0"/>
    </xf>
    <xf numFmtId="9" fontId="8" fillId="0" borderId="0">
      <protection locked="0"/>
    </xf>
    <xf numFmtId="0" fontId="8" fillId="0" borderId="0"/>
    <xf numFmtId="196" fontId="8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5" fillId="0" borderId="0" applyFont="0" applyBorder="0" applyAlignment="0">
      <alignment horizontal="left" vertical="center"/>
    </xf>
    <xf numFmtId="0" fontId="27" fillId="0" borderId="0">
      <protection locked="0"/>
    </xf>
    <xf numFmtId="3" fontId="28" fillId="0" borderId="7">
      <alignment horizontal="center"/>
    </xf>
    <xf numFmtId="0" fontId="8" fillId="2" borderId="0">
      <alignment horizontal="left"/>
    </xf>
    <xf numFmtId="0" fontId="27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7" fillId="0" borderId="3" applyNumberFormat="0" applyFont="0" applyFill="0" applyBorder="0" applyProtection="0">
      <alignment horizontal="distributed"/>
    </xf>
    <xf numFmtId="9" fontId="15" fillId="3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8" fillId="0" borderId="0"/>
    <xf numFmtId="179" fontId="14" fillId="0" borderId="0" applyNumberFormat="0" applyFont="0" applyFill="0" applyBorder="0" applyProtection="0">
      <alignment horizontal="centerContinuous"/>
    </xf>
    <xf numFmtId="179" fontId="39" fillId="0" borderId="8">
      <alignment vertical="center"/>
    </xf>
    <xf numFmtId="3" fontId="37" fillId="0" borderId="3"/>
    <xf numFmtId="0" fontId="37" fillId="0" borderId="3"/>
    <xf numFmtId="3" fontId="37" fillId="0" borderId="9"/>
    <xf numFmtId="3" fontId="37" fillId="0" borderId="10"/>
    <xf numFmtId="0" fontId="40" fillId="0" borderId="3"/>
    <xf numFmtId="0" fontId="41" fillId="0" borderId="0">
      <alignment horizontal="center"/>
    </xf>
    <xf numFmtId="0" fontId="42" fillId="0" borderId="11">
      <alignment horizontal="center"/>
    </xf>
    <xf numFmtId="4" fontId="43" fillId="0" borderId="0" applyNumberFormat="0" applyFill="0" applyBorder="0" applyAlignment="0">
      <alignment horizontal="centerContinuous" vertical="center"/>
    </xf>
    <xf numFmtId="198" fontId="4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7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5" fillId="0" borderId="12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7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7" fillId="0" borderId="0">
      <protection locked="0"/>
    </xf>
    <xf numFmtId="202" fontId="8" fillId="0" borderId="0">
      <protection locked="0"/>
    </xf>
    <xf numFmtId="0" fontId="8" fillId="0" borderId="13" applyNumberFormat="0"/>
    <xf numFmtId="0" fontId="8" fillId="0" borderId="3">
      <alignment horizontal="distributed" vertical="center"/>
    </xf>
    <xf numFmtId="0" fontId="8" fillId="0" borderId="14">
      <alignment horizontal="distributed" vertical="top"/>
    </xf>
    <xf numFmtId="0" fontId="8" fillId="0" borderId="15">
      <alignment horizontal="distributed"/>
    </xf>
    <xf numFmtId="178" fontId="48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7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3" borderId="0" applyFill="0" applyBorder="0" applyProtection="0">
      <alignment horizontal="right"/>
    </xf>
    <xf numFmtId="38" fontId="37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8" fillId="0" borderId="0"/>
    <xf numFmtId="0" fontId="10" fillId="0" borderId="0"/>
    <xf numFmtId="0" fontId="17" fillId="0" borderId="0"/>
    <xf numFmtId="0" fontId="15" fillId="0" borderId="0"/>
    <xf numFmtId="0" fontId="10" fillId="0" borderId="0"/>
    <xf numFmtId="0" fontId="25" fillId="0" borderId="0"/>
    <xf numFmtId="0" fontId="8" fillId="0" borderId="0"/>
    <xf numFmtId="0" fontId="14" fillId="0" borderId="0"/>
    <xf numFmtId="0" fontId="8" fillId="0" borderId="8">
      <alignment vertical="center" wrapText="1"/>
    </xf>
    <xf numFmtId="14" fontId="4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0" borderId="16">
      <protection locked="0"/>
    </xf>
    <xf numFmtId="209" fontId="8" fillId="0" borderId="0">
      <protection locked="0"/>
    </xf>
    <xf numFmtId="210" fontId="8" fillId="0" borderId="0">
      <protection locked="0"/>
    </xf>
    <xf numFmtId="3" fontId="2" fillId="0" borderId="0"/>
    <xf numFmtId="211" fontId="17" fillId="4" borderId="1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7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212" fontId="14" fillId="0" borderId="0">
      <protection locked="0"/>
    </xf>
    <xf numFmtId="0" fontId="28" fillId="0" borderId="0"/>
    <xf numFmtId="193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4" fontId="27" fillId="0" borderId="0">
      <protection locked="0"/>
    </xf>
    <xf numFmtId="186" fontId="14" fillId="0" borderId="0">
      <protection locked="0"/>
    </xf>
    <xf numFmtId="0" fontId="51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3" fillId="0" borderId="0"/>
    <xf numFmtId="193" fontId="14" fillId="0" borderId="0">
      <protection locked="0"/>
    </xf>
    <xf numFmtId="0" fontId="54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14" fillId="0" borderId="0" applyFill="0" applyBorder="0" applyAlignment="0"/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7" fillId="0" borderId="16">
      <protection locked="0"/>
    </xf>
    <xf numFmtId="4" fontId="27" fillId="0" borderId="0">
      <protection locked="0"/>
    </xf>
    <xf numFmtId="0" fontId="4" fillId="0" borderId="0" applyFont="0" applyFill="0" applyBorder="0" applyAlignment="0" applyProtection="0"/>
    <xf numFmtId="213" fontId="25" fillId="0" borderId="0"/>
    <xf numFmtId="0" fontId="4" fillId="0" borderId="0" applyFont="0" applyFill="0" applyBorder="0" applyAlignment="0" applyProtection="0"/>
    <xf numFmtId="214" fontId="27" fillId="0" borderId="0">
      <protection locked="0"/>
    </xf>
    <xf numFmtId="0" fontId="57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7" fillId="0" borderId="0">
      <protection locked="0"/>
    </xf>
    <xf numFmtId="216" fontId="25" fillId="0" borderId="0"/>
    <xf numFmtId="217" fontId="58" fillId="0" borderId="0">
      <protection locked="0"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218" fontId="25" fillId="0" borderId="0"/>
    <xf numFmtId="219" fontId="14" fillId="0" borderId="0">
      <protection locked="0"/>
    </xf>
    <xf numFmtId="220" fontId="14" fillId="0" borderId="0">
      <protection locked="0"/>
    </xf>
    <xf numFmtId="0" fontId="59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61" fillId="5" borderId="0" applyNumberFormat="0" applyBorder="0" applyAlignment="0" applyProtection="0"/>
    <xf numFmtId="0" fontId="62" fillId="0" borderId="0" applyAlignment="0">
      <alignment horizontal="right"/>
    </xf>
    <xf numFmtId="0" fontId="63" fillId="0" borderId="0"/>
    <xf numFmtId="0" fontId="64" fillId="0" borderId="0"/>
    <xf numFmtId="0" fontId="65" fillId="0" borderId="0" applyNumberFormat="0" applyFill="0" applyBorder="0" applyAlignment="0" applyProtection="0"/>
    <xf numFmtId="0" fontId="66" fillId="0" borderId="18" applyNumberFormat="0" applyAlignment="0" applyProtection="0">
      <alignment horizontal="left" vertical="center"/>
    </xf>
    <xf numFmtId="0" fontId="66" fillId="0" borderId="19">
      <alignment horizontal="left" vertical="center"/>
    </xf>
    <xf numFmtId="0" fontId="34" fillId="0" borderId="0">
      <protection locked="0"/>
    </xf>
    <xf numFmtId="0" fontId="34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10" fontId="61" fillId="6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70" fillId="0" borderId="21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71" fillId="0" borderId="0"/>
    <xf numFmtId="0" fontId="8" fillId="0" borderId="0"/>
    <xf numFmtId="224" fontId="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73" fillId="0" borderId="0" applyNumberFormat="0" applyFill="0" applyBorder="0" applyAlignment="0" applyProtection="0">
      <alignment horizontal="left"/>
    </xf>
    <xf numFmtId="0" fontId="28" fillId="0" borderId="0"/>
    <xf numFmtId="0" fontId="74" fillId="0" borderId="0">
      <alignment horizontal="center" vertical="center"/>
    </xf>
    <xf numFmtId="0" fontId="70" fillId="0" borderId="0"/>
    <xf numFmtId="40" fontId="75" fillId="0" borderId="0" applyBorder="0">
      <alignment horizontal="right"/>
    </xf>
    <xf numFmtId="0" fontId="4" fillId="0" borderId="0"/>
    <xf numFmtId="0" fontId="4" fillId="0" borderId="0"/>
    <xf numFmtId="0" fontId="76" fillId="5" borderId="0">
      <alignment horizontal="centerContinuous"/>
    </xf>
    <xf numFmtId="0" fontId="77" fillId="0" borderId="0" applyFill="0" applyBorder="0" applyProtection="0">
      <alignment horizontal="centerContinuous" vertical="center"/>
    </xf>
    <xf numFmtId="0" fontId="17" fillId="3" borderId="0" applyFill="0" applyBorder="0" applyProtection="0">
      <alignment horizontal="center" vertical="center"/>
    </xf>
    <xf numFmtId="223" fontId="17" fillId="0" borderId="22">
      <protection locked="0"/>
    </xf>
    <xf numFmtId="0" fontId="5" fillId="0" borderId="23">
      <alignment horizontal="left"/>
    </xf>
    <xf numFmtId="37" fontId="61" fillId="7" borderId="0" applyNumberFormat="0" applyBorder="0" applyAlignment="0" applyProtection="0"/>
    <xf numFmtId="37" fontId="61" fillId="0" borderId="0"/>
    <xf numFmtId="3" fontId="78" fillId="0" borderId="20" applyProtection="0"/>
    <xf numFmtId="226" fontId="28" fillId="0" borderId="0" applyFont="0" applyFill="0" applyBorder="0" applyAlignment="0" applyProtection="0"/>
    <xf numFmtId="227" fontId="28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</cellStyleXfs>
  <cellXfs count="819">
    <xf numFmtId="0" fontId="0" fillId="0" borderId="0" xfId="0" applyAlignment="1">
      <alignment vertical="center"/>
    </xf>
    <xf numFmtId="0" fontId="2" fillId="3" borderId="24" xfId="453" applyNumberFormat="1" applyFont="1" applyFill="1" applyBorder="1" applyAlignment="1">
      <alignment horizontal="center" vertical="center"/>
    </xf>
    <xf numFmtId="0" fontId="2" fillId="3" borderId="2" xfId="453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0" xfId="453" applyNumberFormat="1" applyFont="1" applyFill="1" applyBorder="1" applyAlignment="1">
      <alignment horizontal="center" vertical="center"/>
    </xf>
    <xf numFmtId="0" fontId="2" fillId="3" borderId="19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vertical="center"/>
    </xf>
    <xf numFmtId="0" fontId="2" fillId="3" borderId="0" xfId="453" applyNumberFormat="1" applyFont="1" applyFill="1" applyAlignment="1">
      <alignment vertical="center"/>
    </xf>
    <xf numFmtId="179" fontId="2" fillId="3" borderId="25" xfId="453" applyNumberFormat="1" applyFont="1" applyFill="1" applyBorder="1" applyAlignment="1">
      <alignment horizontal="right" vertical="center"/>
    </xf>
    <xf numFmtId="179" fontId="2" fillId="3" borderId="3" xfId="453" applyNumberFormat="1" applyFont="1" applyFill="1" applyBorder="1" applyAlignment="1">
      <alignment horizontal="right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Continuous" vertical="center"/>
    </xf>
    <xf numFmtId="0" fontId="3" fillId="3" borderId="0" xfId="0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Alignment="1">
      <alignment horizontal="center" vertical="center"/>
    </xf>
    <xf numFmtId="179" fontId="2" fillId="3" borderId="26" xfId="453" applyNumberFormat="1" applyFont="1" applyFill="1" applyBorder="1" applyAlignment="1">
      <alignment horizontal="right" vertical="center"/>
    </xf>
    <xf numFmtId="179" fontId="2" fillId="3" borderId="4" xfId="453" applyNumberFormat="1" applyFont="1" applyFill="1" applyBorder="1" applyAlignment="1">
      <alignment horizontal="right" vertical="center"/>
    </xf>
    <xf numFmtId="179" fontId="2" fillId="3" borderId="2" xfId="453" applyNumberFormat="1" applyFont="1" applyFill="1" applyBorder="1" applyAlignment="1">
      <alignment horizontal="right" vertical="center"/>
    </xf>
    <xf numFmtId="0" fontId="2" fillId="3" borderId="0" xfId="0" applyNumberFormat="1" applyFont="1" applyFill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distributed" vertical="center"/>
    </xf>
    <xf numFmtId="0" fontId="2" fillId="3" borderId="0" xfId="826" applyNumberFormat="1" applyFont="1" applyFill="1" applyBorder="1" applyAlignment="1">
      <alignment horizontal="left" vertical="center"/>
    </xf>
    <xf numFmtId="0" fontId="2" fillId="3" borderId="0" xfId="837" quotePrefix="1" applyNumberFormat="1" applyFont="1" applyFill="1" applyBorder="1" applyAlignment="1">
      <alignment horizontal="left" vertical="center"/>
    </xf>
    <xf numFmtId="179" fontId="2" fillId="3" borderId="24" xfId="453" applyNumberFormat="1" applyFont="1" applyFill="1" applyBorder="1" applyAlignment="1">
      <alignment horizontal="right" vertical="center"/>
    </xf>
    <xf numFmtId="0" fontId="2" fillId="3" borderId="19" xfId="453" applyNumberFormat="1" applyFont="1" applyFill="1" applyBorder="1" applyAlignment="1">
      <alignment horizontal="centerContinuous" vertical="center"/>
    </xf>
    <xf numFmtId="0" fontId="2" fillId="3" borderId="0" xfId="837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42" fillId="0" borderId="0" xfId="831" applyFont="1" applyAlignment="1">
      <alignment vertical="center"/>
    </xf>
    <xf numFmtId="0" fontId="42" fillId="0" borderId="0" xfId="831" applyFont="1" applyAlignment="1">
      <alignment horizontal="distributed" vertical="center"/>
    </xf>
    <xf numFmtId="228" fontId="42" fillId="0" borderId="0" xfId="456" applyFont="1" applyAlignment="1">
      <alignment vertical="center"/>
    </xf>
    <xf numFmtId="0" fontId="80" fillId="0" borderId="0" xfId="831" applyFont="1" applyAlignment="1">
      <alignment horizontal="centerContinuous" vertical="center"/>
    </xf>
    <xf numFmtId="0" fontId="42" fillId="0" borderId="0" xfId="831" applyFont="1" applyAlignment="1">
      <alignment horizontal="centerContinuous" vertical="center"/>
    </xf>
    <xf numFmtId="228" fontId="42" fillId="0" borderId="0" xfId="456" applyFont="1" applyAlignment="1">
      <alignment horizontal="centerContinuous" vertical="center"/>
    </xf>
    <xf numFmtId="49" fontId="81" fillId="0" borderId="0" xfId="831" applyNumberFormat="1" applyFont="1" applyAlignment="1">
      <alignment horizontal="right" vertical="center"/>
    </xf>
    <xf numFmtId="0" fontId="81" fillId="0" borderId="0" xfId="831" applyNumberFormat="1" applyFont="1" applyAlignment="1">
      <alignment horizontal="left" vertical="center"/>
    </xf>
    <xf numFmtId="0" fontId="81" fillId="0" borderId="0" xfId="831" applyFont="1" applyAlignment="1">
      <alignment vertical="center"/>
    </xf>
    <xf numFmtId="0" fontId="82" fillId="0" borderId="0" xfId="831" applyNumberFormat="1" applyFont="1" applyAlignment="1">
      <alignment vertical="center"/>
    </xf>
    <xf numFmtId="0" fontId="81" fillId="0" borderId="0" xfId="831" applyNumberFormat="1" applyFont="1" applyAlignment="1">
      <alignment vertical="center"/>
    </xf>
    <xf numFmtId="49" fontId="81" fillId="0" borderId="0" xfId="831" quotePrefix="1" applyNumberFormat="1" applyFont="1" applyAlignment="1">
      <alignment horizontal="right" vertical="center"/>
    </xf>
    <xf numFmtId="228" fontId="81" fillId="0" borderId="0" xfId="456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179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9" fontId="1" fillId="0" borderId="2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left" vertical="center" shrinkToFit="1"/>
    </xf>
    <xf numFmtId="0" fontId="1" fillId="0" borderId="3" xfId="0" applyNumberFormat="1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Continuous" vertical="center" shrinkToFi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/>
    </xf>
    <xf numFmtId="179" fontId="1" fillId="0" borderId="27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shrinkToFit="1"/>
    </xf>
    <xf numFmtId="0" fontId="1" fillId="0" borderId="19" xfId="0" applyFont="1" applyBorder="1" applyAlignment="1">
      <alignment horizontal="centerContinuous" vertical="center"/>
    </xf>
    <xf numFmtId="179" fontId="1" fillId="0" borderId="19" xfId="0" applyNumberFormat="1" applyFont="1" applyBorder="1" applyAlignment="1">
      <alignment horizontal="right" vertical="center"/>
    </xf>
    <xf numFmtId="0" fontId="2" fillId="0" borderId="0" xfId="807" applyNumberFormat="1" applyFont="1" applyBorder="1" applyAlignment="1">
      <alignment horizontal="right" vertical="center"/>
    </xf>
    <xf numFmtId="0" fontId="2" fillId="3" borderId="3" xfId="453" applyNumberFormat="1" applyFont="1" applyFill="1" applyBorder="1" applyAlignment="1">
      <alignment horizontal="centerContinuous" vertical="center"/>
    </xf>
    <xf numFmtId="0" fontId="2" fillId="3" borderId="3" xfId="0" applyNumberFormat="1" applyFont="1" applyFill="1" applyBorder="1" applyAlignment="1">
      <alignment horizontal="centerContinuous" vertical="center"/>
    </xf>
    <xf numFmtId="0" fontId="2" fillId="3" borderId="19" xfId="0" applyNumberFormat="1" applyFont="1" applyFill="1" applyBorder="1" applyAlignment="1">
      <alignment horizontal="centerContinuous" vertical="center"/>
    </xf>
    <xf numFmtId="0" fontId="2" fillId="3" borderId="24" xfId="453" applyNumberFormat="1" applyFont="1" applyFill="1" applyBorder="1" applyAlignment="1">
      <alignment horizontal="centerContinuous" vertical="center" wrapText="1"/>
    </xf>
    <xf numFmtId="0" fontId="2" fillId="3" borderId="3" xfId="453" applyNumberFormat="1" applyFont="1" applyFill="1" applyBorder="1" applyAlignment="1">
      <alignment horizontal="centerContinuous" vertical="center" wrapText="1"/>
    </xf>
    <xf numFmtId="0" fontId="2" fillId="3" borderId="2" xfId="453" applyNumberFormat="1" applyFont="1" applyFill="1" applyBorder="1" applyAlignment="1">
      <alignment horizontal="centerContinuous" vertical="center" wrapText="1"/>
    </xf>
    <xf numFmtId="0" fontId="2" fillId="3" borderId="4" xfId="0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centerContinuous" vertical="center" wrapText="1"/>
    </xf>
    <xf numFmtId="0" fontId="2" fillId="3" borderId="26" xfId="453" applyNumberFormat="1" applyFont="1" applyFill="1" applyBorder="1" applyAlignment="1">
      <alignment horizontal="centerContinuous" vertical="center" wrapText="1"/>
    </xf>
    <xf numFmtId="0" fontId="2" fillId="3" borderId="4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distributed" vertical="center" shrinkToFit="1"/>
    </xf>
    <xf numFmtId="0" fontId="2" fillId="3" borderId="26" xfId="453" applyNumberFormat="1" applyFont="1" applyFill="1" applyBorder="1" applyAlignment="1">
      <alignment vertical="center"/>
    </xf>
    <xf numFmtId="41" fontId="2" fillId="3" borderId="0" xfId="453" applyFont="1" applyFill="1" applyAlignment="1">
      <alignment vertical="center"/>
    </xf>
    <xf numFmtId="41" fontId="2" fillId="3" borderId="0" xfId="0" applyNumberFormat="1" applyFont="1" applyFill="1" applyAlignment="1">
      <alignment vertical="center"/>
    </xf>
    <xf numFmtId="41" fontId="2" fillId="3" borderId="0" xfId="453" applyFont="1" applyFill="1" applyBorder="1" applyAlignment="1">
      <alignment vertical="center"/>
    </xf>
    <xf numFmtId="0" fontId="2" fillId="8" borderId="0" xfId="0" applyNumberFormat="1" applyFont="1" applyFill="1" applyAlignment="1">
      <alignment vertical="center"/>
    </xf>
    <xf numFmtId="0" fontId="3" fillId="8" borderId="0" xfId="0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horizontal="center" vertical="center"/>
    </xf>
    <xf numFmtId="0" fontId="2" fillId="8" borderId="19" xfId="453" applyNumberFormat="1" applyFont="1" applyFill="1" applyBorder="1" applyAlignment="1">
      <alignment horizontal="centerContinuous" vertical="center" wrapText="1"/>
    </xf>
    <xf numFmtId="0" fontId="2" fillId="8" borderId="0" xfId="453" applyNumberFormat="1" applyFont="1" applyFill="1" applyBorder="1" applyAlignment="1">
      <alignment horizontal="centerContinuous" vertical="center" wrapText="1"/>
    </xf>
    <xf numFmtId="179" fontId="2" fillId="8" borderId="4" xfId="453" applyNumberFormat="1" applyFont="1" applyFill="1" applyBorder="1" applyAlignment="1">
      <alignment horizontal="right" vertical="center"/>
    </xf>
    <xf numFmtId="179" fontId="2" fillId="8" borderId="5" xfId="453" applyNumberFormat="1" applyFont="1" applyFill="1" applyBorder="1" applyAlignment="1">
      <alignment horizontal="right" vertical="center"/>
    </xf>
    <xf numFmtId="179" fontId="2" fillId="8" borderId="19" xfId="453" applyNumberFormat="1" applyFont="1" applyFill="1" applyBorder="1" applyAlignment="1">
      <alignment horizontal="right" vertical="center"/>
    </xf>
    <xf numFmtId="0" fontId="2" fillId="8" borderId="0" xfId="453" applyNumberFormat="1" applyFont="1" applyFill="1" applyBorder="1" applyAlignment="1">
      <alignment horizontal="center" vertical="center"/>
    </xf>
    <xf numFmtId="0" fontId="8" fillId="0" borderId="0" xfId="822" applyFont="1" applyAlignment="1"/>
    <xf numFmtId="49" fontId="84" fillId="3" borderId="0" xfId="822" applyNumberFormat="1" applyFont="1" applyFill="1" applyAlignment="1">
      <alignment horizontal="left" vertical="center"/>
    </xf>
    <xf numFmtId="49" fontId="3" fillId="3" borderId="0" xfId="822" applyNumberFormat="1" applyFont="1" applyFill="1" applyAlignment="1">
      <alignment horizontal="right" vertical="center"/>
    </xf>
    <xf numFmtId="0" fontId="88" fillId="0" borderId="0" xfId="822" applyFont="1"/>
    <xf numFmtId="49" fontId="83" fillId="0" borderId="0" xfId="822" applyNumberFormat="1" applyFont="1" applyAlignment="1">
      <alignment horizontal="right" vertical="center"/>
    </xf>
    <xf numFmtId="0" fontId="8" fillId="3" borderId="0" xfId="822" applyFont="1" applyFill="1"/>
    <xf numFmtId="0" fontId="8" fillId="0" borderId="0" xfId="822" applyFont="1"/>
    <xf numFmtId="49" fontId="83" fillId="0" borderId="0" xfId="822" applyNumberFormat="1" applyFont="1" applyBorder="1" applyAlignment="1">
      <alignment horizontal="right" vertical="center"/>
    </xf>
    <xf numFmtId="0" fontId="89" fillId="0" borderId="0" xfId="822" applyFont="1" applyAlignment="1">
      <alignment horizontal="centerContinuous" vertical="center"/>
    </xf>
    <xf numFmtId="0" fontId="89" fillId="0" borderId="0" xfId="822" applyFont="1" applyBorder="1" applyAlignment="1">
      <alignment horizontal="left" vertical="center" wrapText="1"/>
    </xf>
    <xf numFmtId="0" fontId="90" fillId="0" borderId="0" xfId="454" applyNumberFormat="1" applyFont="1" applyBorder="1" applyAlignment="1">
      <alignment horizontal="center" vertical="center" wrapText="1"/>
    </xf>
    <xf numFmtId="0" fontId="91" fillId="0" borderId="0" xfId="454" applyNumberFormat="1" applyFont="1" applyBorder="1" applyAlignment="1">
      <alignment horizontal="center" vertical="center" wrapText="1"/>
    </xf>
    <xf numFmtId="0" fontId="8" fillId="0" borderId="27" xfId="822" applyFont="1" applyBorder="1"/>
    <xf numFmtId="0" fontId="91" fillId="0" borderId="0" xfId="454" applyNumberFormat="1" applyFont="1" applyBorder="1" applyAlignment="1">
      <alignment horizontal="left" vertical="center" wrapText="1"/>
    </xf>
    <xf numFmtId="0" fontId="92" fillId="3" borderId="0" xfId="825" applyNumberFormat="1" applyFont="1" applyFill="1" applyAlignment="1">
      <alignment horizontal="right" vertical="center"/>
    </xf>
    <xf numFmtId="0" fontId="92" fillId="0" borderId="0" xfId="454" applyNumberFormat="1" applyFont="1" applyBorder="1" applyAlignment="1">
      <alignment horizontal="left" vertical="center" wrapText="1"/>
    </xf>
    <xf numFmtId="0" fontId="93" fillId="0" borderId="0" xfId="454" applyNumberFormat="1" applyFont="1" applyBorder="1" applyAlignment="1">
      <alignment horizontal="center" vertical="center" wrapText="1"/>
    </xf>
    <xf numFmtId="0" fontId="92" fillId="0" borderId="0" xfId="454" applyNumberFormat="1" applyFont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2" fillId="8" borderId="28" xfId="453" quotePrefix="1" applyNumberFormat="1" applyFont="1" applyFill="1" applyBorder="1" applyAlignment="1">
      <alignment horizontal="left" vertical="center" shrinkToFit="1"/>
    </xf>
    <xf numFmtId="0" fontId="2" fillId="8" borderId="26" xfId="453" applyNumberFormat="1" applyFont="1" applyFill="1" applyBorder="1" applyAlignment="1">
      <alignment horizontal="left" vertical="center" shrinkToFit="1"/>
    </xf>
    <xf numFmtId="0" fontId="2" fillId="8" borderId="26" xfId="453" quotePrefix="1" applyNumberFormat="1" applyFont="1" applyFill="1" applyBorder="1" applyAlignment="1">
      <alignment horizontal="left" vertical="center" shrinkToFit="1"/>
    </xf>
    <xf numFmtId="0" fontId="2" fillId="8" borderId="24" xfId="453" applyNumberFormat="1" applyFont="1" applyFill="1" applyBorder="1" applyAlignment="1">
      <alignment horizontal="left" vertical="center"/>
    </xf>
    <xf numFmtId="0" fontId="2" fillId="8" borderId="0" xfId="826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center" vertical="center"/>
    </xf>
    <xf numFmtId="0" fontId="2" fillId="8" borderId="0" xfId="453" applyNumberFormat="1" applyFont="1" applyFill="1" applyAlignment="1">
      <alignment horizontal="center" vertical="center"/>
    </xf>
    <xf numFmtId="0" fontId="3" fillId="8" borderId="0" xfId="0" applyNumberFormat="1" applyFont="1" applyFill="1" applyBorder="1" applyAlignment="1">
      <alignment horizontal="centerContinuous" vertical="center"/>
    </xf>
    <xf numFmtId="0" fontId="3" fillId="8" borderId="0" xfId="0" quotePrefix="1" applyNumberFormat="1" applyFont="1" applyFill="1" applyAlignment="1">
      <alignment horizontal="centerContinuous" vertical="center"/>
    </xf>
    <xf numFmtId="0" fontId="3" fillId="8" borderId="0" xfId="0" quotePrefix="1" applyNumberFormat="1" applyFont="1" applyFill="1" applyBorder="1" applyAlignment="1">
      <alignment horizontal="centerContinuous" vertical="center"/>
    </xf>
    <xf numFmtId="0" fontId="3" fillId="8" borderId="0" xfId="453" applyNumberFormat="1" applyFont="1" applyFill="1" applyBorder="1" applyAlignment="1">
      <alignment horizontal="centerContinuous" vertical="center"/>
    </xf>
    <xf numFmtId="0" fontId="2" fillId="8" borderId="0" xfId="0" quotePrefix="1" applyNumberFormat="1" applyFont="1" applyFill="1" applyAlignment="1">
      <alignment horizontal="centerContinuous" vertical="center"/>
    </xf>
    <xf numFmtId="0" fontId="2" fillId="8" borderId="0" xfId="0" quotePrefix="1" applyNumberFormat="1" applyFont="1" applyFill="1" applyBorder="1" applyAlignment="1">
      <alignment horizontal="centerContinuous" vertical="center"/>
    </xf>
    <xf numFmtId="0" fontId="2" fillId="8" borderId="0" xfId="453" applyNumberFormat="1" applyFont="1" applyFill="1" applyBorder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0" xfId="0" applyNumberFormat="1" applyFont="1" applyFill="1" applyBorder="1" applyAlignment="1">
      <alignment horizontal="center" vertical="center"/>
    </xf>
    <xf numFmtId="0" fontId="2" fillId="8" borderId="0" xfId="453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horizontal="right" vertical="center"/>
    </xf>
    <xf numFmtId="0" fontId="2" fillId="8" borderId="29" xfId="835" applyNumberFormat="1" applyFont="1" applyFill="1" applyBorder="1" applyAlignment="1">
      <alignment horizontal="center" vertical="center"/>
    </xf>
    <xf numFmtId="0" fontId="2" fillId="8" borderId="27" xfId="835" applyNumberFormat="1" applyFont="1" applyFill="1" applyBorder="1" applyAlignment="1">
      <alignment horizontal="center" vertical="center"/>
    </xf>
    <xf numFmtId="0" fontId="2" fillId="8" borderId="27" xfId="835" applyNumberFormat="1" applyFont="1" applyFill="1" applyBorder="1" applyAlignment="1">
      <alignment horizontal="right" vertical="center"/>
    </xf>
    <xf numFmtId="0" fontId="2" fillId="8" borderId="15" xfId="453" applyNumberFormat="1" applyFont="1" applyFill="1" applyBorder="1" applyAlignment="1">
      <alignment horizontal="center" shrinkToFit="1"/>
    </xf>
    <xf numFmtId="0" fontId="2" fillId="8" borderId="5" xfId="835" applyNumberFormat="1" applyFont="1" applyFill="1" applyBorder="1" applyAlignment="1">
      <alignment horizontal="left" vertical="center"/>
    </xf>
    <xf numFmtId="0" fontId="2" fillId="8" borderId="30" xfId="835" applyNumberFormat="1" applyFont="1" applyFill="1" applyBorder="1" applyAlignment="1">
      <alignment horizontal="left" vertical="center"/>
    </xf>
    <xf numFmtId="0" fontId="2" fillId="8" borderId="30" xfId="835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" vertical="top" shrinkToFit="1"/>
    </xf>
    <xf numFmtId="179" fontId="2" fillId="8" borderId="3" xfId="453" applyNumberFormat="1" applyFont="1" applyFill="1" applyBorder="1" applyAlignment="1">
      <alignment horizontal="right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distributed" vertical="center" wrapText="1"/>
    </xf>
    <xf numFmtId="0" fontId="2" fillId="8" borderId="2" xfId="0" applyNumberFormat="1" applyFont="1" applyFill="1" applyBorder="1" applyAlignment="1">
      <alignment horizontal="centerContinuous" vertical="center"/>
    </xf>
    <xf numFmtId="0" fontId="2" fillId="8" borderId="30" xfId="0" quotePrefix="1" applyNumberFormat="1" applyFont="1" applyFill="1" applyBorder="1" applyAlignment="1">
      <alignment vertical="center"/>
    </xf>
    <xf numFmtId="0" fontId="2" fillId="8" borderId="5" xfId="0" applyNumberFormat="1" applyFont="1" applyFill="1" applyBorder="1" applyAlignment="1">
      <alignment horizontal="centerContinuous" vertical="center"/>
    </xf>
    <xf numFmtId="0" fontId="2" fillId="8" borderId="19" xfId="0" quotePrefix="1" applyNumberFormat="1" applyFont="1" applyFill="1" applyBorder="1" applyAlignment="1">
      <alignment vertical="center"/>
    </xf>
    <xf numFmtId="0" fontId="1" fillId="8" borderId="0" xfId="828" applyFont="1" applyFill="1" applyAlignment="1">
      <alignment vertical="center"/>
    </xf>
    <xf numFmtId="0" fontId="22" fillId="8" borderId="0" xfId="829" applyFont="1" applyFill="1"/>
    <xf numFmtId="0" fontId="23" fillId="8" borderId="0" xfId="829" applyFont="1" applyFill="1" applyAlignment="1">
      <alignment horizontal="centerContinuous" vertical="center"/>
    </xf>
    <xf numFmtId="0" fontId="23" fillId="8" borderId="0" xfId="828" applyFont="1" applyFill="1" applyBorder="1" applyAlignment="1">
      <alignment horizontal="centerContinuous"/>
    </xf>
    <xf numFmtId="0" fontId="23" fillId="8" borderId="0" xfId="828" applyFont="1" applyFill="1" applyAlignment="1">
      <alignment horizontal="centerContinuous"/>
    </xf>
    <xf numFmtId="41" fontId="23" fillId="8" borderId="0" xfId="806" applyFont="1" applyFill="1" applyBorder="1" applyAlignment="1">
      <alignment horizontal="centerContinuous"/>
    </xf>
    <xf numFmtId="41" fontId="23" fillId="8" borderId="0" xfId="806" applyFont="1" applyFill="1" applyAlignment="1">
      <alignment horizontal="centerContinuous"/>
    </xf>
    <xf numFmtId="0" fontId="23" fillId="8" borderId="0" xfId="828" applyFont="1" applyFill="1"/>
    <xf numFmtId="0" fontId="22" fillId="8" borderId="0" xfId="829" applyFont="1" applyFill="1" applyBorder="1" applyAlignment="1">
      <alignment horizontal="left" vertical="center"/>
    </xf>
    <xf numFmtId="0" fontId="22" fillId="8" borderId="0" xfId="829" applyFont="1" applyFill="1" applyAlignment="1">
      <alignment vertical="center"/>
    </xf>
    <xf numFmtId="0" fontId="22" fillId="8" borderId="0" xfId="829" applyFont="1" applyFill="1" applyAlignment="1">
      <alignment horizontal="left" vertical="center"/>
    </xf>
    <xf numFmtId="0" fontId="22" fillId="8" borderId="0" xfId="829" applyFont="1" applyFill="1" applyBorder="1" applyAlignment="1">
      <alignment vertical="center"/>
    </xf>
    <xf numFmtId="178" fontId="22" fillId="8" borderId="0" xfId="808" applyFont="1" applyFill="1" applyAlignment="1">
      <alignment vertical="center"/>
    </xf>
    <xf numFmtId="230" fontId="22" fillId="8" borderId="0" xfId="808" applyNumberFormat="1" applyFont="1" applyFill="1" applyAlignment="1">
      <alignment vertical="center"/>
    </xf>
    <xf numFmtId="0" fontId="22" fillId="8" borderId="0" xfId="829" quotePrefix="1" applyFont="1" applyFill="1" applyAlignment="1">
      <alignment horizontal="right" vertical="center"/>
    </xf>
    <xf numFmtId="0" fontId="1" fillId="8" borderId="2" xfId="829" applyFont="1" applyFill="1" applyBorder="1" applyAlignment="1">
      <alignment horizontal="centerContinuous" vertical="center"/>
    </xf>
    <xf numFmtId="0" fontId="1" fillId="8" borderId="31" xfId="829" applyFont="1" applyFill="1" applyBorder="1" applyAlignment="1">
      <alignment horizontal="centerContinuous" vertical="center"/>
    </xf>
    <xf numFmtId="0" fontId="1" fillId="8" borderId="2" xfId="829" applyFont="1" applyFill="1" applyBorder="1" applyAlignment="1">
      <alignment horizontal="center" vertical="center"/>
    </xf>
    <xf numFmtId="0" fontId="1" fillId="8" borderId="19" xfId="829" quotePrefix="1" applyFont="1" applyFill="1" applyBorder="1" applyAlignment="1">
      <alignment horizontal="distributed" vertical="center"/>
    </xf>
    <xf numFmtId="0" fontId="1" fillId="8" borderId="24" xfId="829" applyFont="1" applyFill="1" applyBorder="1" applyAlignment="1">
      <alignment horizontal="center" vertical="center"/>
    </xf>
    <xf numFmtId="178" fontId="1" fillId="8" borderId="32" xfId="808" applyFont="1" applyFill="1" applyBorder="1" applyAlignment="1">
      <alignment horizontal="center" vertical="center"/>
    </xf>
    <xf numFmtId="230" fontId="1" fillId="8" borderId="3" xfId="808" applyNumberFormat="1" applyFont="1" applyFill="1" applyBorder="1" applyAlignment="1">
      <alignment horizontal="center" vertical="center"/>
    </xf>
    <xf numFmtId="0" fontId="1" fillId="8" borderId="33" xfId="829" applyFont="1" applyFill="1" applyBorder="1" applyAlignment="1">
      <alignment horizontal="center" vertical="center"/>
    </xf>
    <xf numFmtId="0" fontId="1" fillId="8" borderId="0" xfId="829" applyFont="1" applyFill="1"/>
    <xf numFmtId="0" fontId="22" fillId="8" borderId="2" xfId="830" applyFont="1" applyFill="1" applyBorder="1" applyAlignment="1">
      <alignment horizontal="left" vertical="center"/>
    </xf>
    <xf numFmtId="0" fontId="22" fillId="8" borderId="31" xfId="830" applyFont="1" applyFill="1" applyBorder="1" applyAlignment="1">
      <alignment horizontal="left" vertical="center"/>
    </xf>
    <xf numFmtId="0" fontId="22" fillId="8" borderId="19" xfId="833" applyFont="1" applyFill="1" applyBorder="1" applyAlignment="1">
      <alignment horizontal="distributed" vertical="center"/>
    </xf>
    <xf numFmtId="0" fontId="22" fillId="8" borderId="24" xfId="830" applyFont="1" applyFill="1" applyBorder="1" applyAlignment="1">
      <alignment horizontal="distributed" vertical="center"/>
    </xf>
    <xf numFmtId="178" fontId="22" fillId="8" borderId="32" xfId="808" applyFont="1" applyFill="1" applyBorder="1" applyAlignment="1">
      <alignment vertical="center"/>
    </xf>
    <xf numFmtId="230" fontId="22" fillId="8" borderId="3" xfId="808" applyNumberFormat="1" applyFont="1" applyFill="1" applyBorder="1" applyAlignment="1">
      <alignment vertical="center"/>
    </xf>
    <xf numFmtId="0" fontId="22" fillId="8" borderId="33" xfId="830" applyFont="1" applyFill="1" applyBorder="1" applyAlignment="1">
      <alignment vertical="center"/>
    </xf>
    <xf numFmtId="0" fontId="22" fillId="8" borderId="0" xfId="830" applyFont="1" applyFill="1"/>
    <xf numFmtId="0" fontId="22" fillId="8" borderId="34" xfId="830" applyFont="1" applyFill="1" applyBorder="1" applyAlignment="1">
      <alignment horizontal="left" vertical="center"/>
    </xf>
    <xf numFmtId="0" fontId="22" fillId="8" borderId="35" xfId="830" applyFont="1" applyFill="1" applyBorder="1" applyAlignment="1">
      <alignment horizontal="left" vertical="center"/>
    </xf>
    <xf numFmtId="0" fontId="22" fillId="8" borderId="36" xfId="833" applyFont="1" applyFill="1" applyBorder="1" applyAlignment="1">
      <alignment horizontal="distributed" vertical="center"/>
    </xf>
    <xf numFmtId="0" fontId="22" fillId="8" borderId="37" xfId="830" applyFont="1" applyFill="1" applyBorder="1" applyAlignment="1">
      <alignment horizontal="distributed" vertical="center"/>
    </xf>
    <xf numFmtId="178" fontId="22" fillId="8" borderId="38" xfId="808" applyFont="1" applyFill="1" applyBorder="1" applyAlignment="1">
      <alignment vertical="center"/>
    </xf>
    <xf numFmtId="230" fontId="22" fillId="8" borderId="15" xfId="808" applyNumberFormat="1" applyFont="1" applyFill="1" applyBorder="1" applyAlignment="1">
      <alignment vertical="center"/>
    </xf>
    <xf numFmtId="0" fontId="22" fillId="8" borderId="39" xfId="830" applyFont="1" applyFill="1" applyBorder="1" applyAlignment="1">
      <alignment vertical="center"/>
    </xf>
    <xf numFmtId="0" fontId="22" fillId="8" borderId="4" xfId="830" applyFont="1" applyFill="1" applyBorder="1" applyAlignment="1">
      <alignment horizontal="left" vertical="center"/>
    </xf>
    <xf numFmtId="0" fontId="22" fillId="8" borderId="40" xfId="830" applyFont="1" applyFill="1" applyBorder="1" applyAlignment="1">
      <alignment horizontal="left" vertical="center"/>
    </xf>
    <xf numFmtId="0" fontId="22" fillId="8" borderId="0" xfId="833" applyFont="1" applyFill="1" applyBorder="1" applyAlignment="1">
      <alignment horizontal="distributed" vertical="center"/>
    </xf>
    <xf numFmtId="0" fontId="22" fillId="8" borderId="26" xfId="830" applyFont="1" applyFill="1" applyBorder="1" applyAlignment="1">
      <alignment horizontal="distributed" vertical="center"/>
    </xf>
    <xf numFmtId="178" fontId="22" fillId="8" borderId="41" xfId="808" applyFont="1" applyFill="1" applyBorder="1" applyAlignment="1">
      <alignment vertical="center"/>
    </xf>
    <xf numFmtId="230" fontId="22" fillId="8" borderId="25" xfId="808" applyNumberFormat="1" applyFont="1" applyFill="1" applyBorder="1" applyAlignment="1">
      <alignment vertical="center"/>
    </xf>
    <xf numFmtId="0" fontId="22" fillId="8" borderId="42" xfId="830" applyFont="1" applyFill="1" applyBorder="1" applyAlignment="1">
      <alignment vertical="center"/>
    </xf>
    <xf numFmtId="178" fontId="1" fillId="8" borderId="41" xfId="808" applyFont="1" applyFill="1" applyBorder="1" applyAlignment="1">
      <alignment vertical="center"/>
    </xf>
    <xf numFmtId="0" fontId="22" fillId="8" borderId="42" xfId="830" applyFont="1" applyFill="1" applyBorder="1" applyAlignment="1">
      <alignment horizontal="center" vertical="center"/>
    </xf>
    <xf numFmtId="0" fontId="22" fillId="8" borderId="43" xfId="830" applyFont="1" applyFill="1" applyBorder="1" applyAlignment="1">
      <alignment horizontal="left" vertical="center"/>
    </xf>
    <xf numFmtId="0" fontId="22" fillId="8" borderId="44" xfId="830" applyFont="1" applyFill="1" applyBorder="1" applyAlignment="1">
      <alignment horizontal="left" vertical="center"/>
    </xf>
    <xf numFmtId="0" fontId="22" fillId="8" borderId="12" xfId="833" applyFont="1" applyFill="1" applyBorder="1" applyAlignment="1">
      <alignment horizontal="distributed" vertical="center"/>
    </xf>
    <xf numFmtId="0" fontId="22" fillId="8" borderId="45" xfId="830" applyFont="1" applyFill="1" applyBorder="1" applyAlignment="1">
      <alignment horizontal="distributed" vertical="center"/>
    </xf>
    <xf numFmtId="178" fontId="1" fillId="8" borderId="46" xfId="808" applyFont="1" applyFill="1" applyBorder="1" applyAlignment="1">
      <alignment vertical="center"/>
    </xf>
    <xf numFmtId="230" fontId="22" fillId="8" borderId="14" xfId="808" applyNumberFormat="1" applyFont="1" applyFill="1" applyBorder="1" applyAlignment="1">
      <alignment vertical="center"/>
    </xf>
    <xf numFmtId="178" fontId="1" fillId="8" borderId="32" xfId="808" applyFont="1" applyFill="1" applyBorder="1" applyAlignment="1">
      <alignment vertical="center"/>
    </xf>
    <xf numFmtId="178" fontId="1" fillId="8" borderId="38" xfId="808" applyFont="1" applyFill="1" applyBorder="1" applyAlignment="1">
      <alignment vertical="center"/>
    </xf>
    <xf numFmtId="0" fontId="22" fillId="8" borderId="0" xfId="830" applyFont="1" applyFill="1" applyBorder="1"/>
    <xf numFmtId="0" fontId="22" fillId="8" borderId="47" xfId="830" applyFont="1" applyFill="1" applyBorder="1" applyAlignment="1">
      <alignment vertical="center"/>
    </xf>
    <xf numFmtId="178" fontId="22" fillId="8" borderId="46" xfId="808" applyFont="1" applyFill="1" applyBorder="1" applyAlignment="1">
      <alignment vertical="center"/>
    </xf>
    <xf numFmtId="178" fontId="22" fillId="8" borderId="3" xfId="808" applyNumberFormat="1" applyFont="1" applyFill="1" applyBorder="1" applyAlignment="1">
      <alignment vertical="center"/>
    </xf>
    <xf numFmtId="0" fontId="1" fillId="8" borderId="0" xfId="829" applyFont="1" applyFill="1" applyBorder="1" applyAlignment="1">
      <alignment horizontal="left" vertical="center"/>
    </xf>
    <xf numFmtId="0" fontId="1" fillId="8" borderId="0" xfId="829" applyFont="1" applyFill="1" applyAlignment="1">
      <alignment horizontal="left" vertical="center"/>
    </xf>
    <xf numFmtId="0" fontId="1" fillId="8" borderId="0" xfId="829" applyFont="1" applyFill="1" applyBorder="1" applyAlignment="1">
      <alignment vertical="center"/>
    </xf>
    <xf numFmtId="0" fontId="1" fillId="8" borderId="0" xfId="829" applyFont="1" applyFill="1" applyAlignment="1">
      <alignment vertical="center"/>
    </xf>
    <xf numFmtId="178" fontId="1" fillId="8" borderId="0" xfId="808" applyFont="1" applyFill="1" applyAlignment="1">
      <alignment vertical="center"/>
    </xf>
    <xf numFmtId="230" fontId="1" fillId="8" borderId="0" xfId="808" applyNumberFormat="1" applyFont="1" applyFill="1" applyAlignment="1">
      <alignment vertical="center"/>
    </xf>
    <xf numFmtId="0" fontId="22" fillId="8" borderId="0" xfId="826" applyNumberFormat="1" applyFont="1" applyFill="1" applyAlignment="1">
      <alignment horizontal="left" vertical="center"/>
    </xf>
    <xf numFmtId="0" fontId="22" fillId="8" borderId="0" xfId="824" applyNumberFormat="1" applyFont="1" applyFill="1" applyAlignment="1">
      <alignment vertical="center"/>
    </xf>
    <xf numFmtId="0" fontId="23" fillId="8" borderId="0" xfId="826" applyNumberFormat="1" applyFont="1" applyFill="1" applyAlignment="1">
      <alignment horizontal="centerContinuous" vertical="center"/>
    </xf>
    <xf numFmtId="0" fontId="23" fillId="8" borderId="0" xfId="824" applyNumberFormat="1" applyFont="1" applyFill="1" applyAlignment="1">
      <alignment horizontal="centerContinuous" vertical="center"/>
    </xf>
    <xf numFmtId="0" fontId="23" fillId="8" borderId="0" xfId="824" applyNumberFormat="1" applyFont="1" applyFill="1" applyAlignment="1">
      <alignment horizontal="center" vertical="center"/>
    </xf>
    <xf numFmtId="0" fontId="23" fillId="8" borderId="0" xfId="824" applyNumberFormat="1" applyFont="1" applyFill="1" applyAlignment="1">
      <alignment vertical="center"/>
    </xf>
    <xf numFmtId="0" fontId="22" fillId="8" borderId="2" xfId="824" applyNumberFormat="1" applyFont="1" applyFill="1" applyBorder="1" applyAlignment="1">
      <alignment vertical="center"/>
    </xf>
    <xf numFmtId="0" fontId="22" fillId="8" borderId="19" xfId="824" applyNumberFormat="1" applyFont="1" applyFill="1" applyBorder="1" applyAlignment="1">
      <alignment horizontal="center" vertical="center"/>
    </xf>
    <xf numFmtId="0" fontId="22" fillId="8" borderId="19" xfId="824" applyNumberFormat="1" applyFont="1" applyFill="1" applyBorder="1" applyAlignment="1">
      <alignment vertical="center"/>
    </xf>
    <xf numFmtId="0" fontId="22" fillId="8" borderId="3" xfId="824" applyNumberFormat="1" applyFont="1" applyFill="1" applyBorder="1" applyAlignment="1">
      <alignment horizontal="center" vertical="center" wrapText="1"/>
    </xf>
    <xf numFmtId="0" fontId="22" fillId="8" borderId="3" xfId="824" applyNumberFormat="1" applyFont="1" applyFill="1" applyBorder="1" applyAlignment="1">
      <alignment horizontal="center" vertical="center"/>
    </xf>
    <xf numFmtId="0" fontId="22" fillId="8" borderId="29" xfId="824" applyNumberFormat="1" applyFont="1" applyFill="1" applyBorder="1" applyAlignment="1">
      <alignment vertical="center"/>
    </xf>
    <xf numFmtId="0" fontId="22" fillId="8" borderId="27" xfId="824" applyNumberFormat="1" applyFont="1" applyFill="1" applyBorder="1" applyAlignment="1">
      <alignment vertical="center"/>
    </xf>
    <xf numFmtId="0" fontId="22" fillId="8" borderId="28" xfId="824" applyNumberFormat="1" applyFont="1" applyFill="1" applyBorder="1" applyAlignment="1">
      <alignment vertical="center"/>
    </xf>
    <xf numFmtId="0" fontId="22" fillId="8" borderId="26" xfId="824" applyNumberFormat="1" applyFont="1" applyFill="1" applyBorder="1" applyAlignment="1">
      <alignment vertical="center"/>
    </xf>
    <xf numFmtId="0" fontId="22" fillId="8" borderId="4" xfId="824" applyNumberFormat="1" applyFont="1" applyFill="1" applyBorder="1" applyAlignment="1">
      <alignment vertical="center"/>
    </xf>
    <xf numFmtId="0" fontId="22" fillId="8" borderId="0" xfId="824" applyNumberFormat="1" applyFont="1" applyFill="1" applyBorder="1" applyAlignment="1">
      <alignment horizontal="distributed" vertical="center"/>
    </xf>
    <xf numFmtId="179" fontId="22" fillId="8" borderId="26" xfId="824" applyNumberFormat="1" applyFont="1" applyFill="1" applyBorder="1" applyAlignment="1">
      <alignment horizontal="center" vertical="center"/>
    </xf>
    <xf numFmtId="0" fontId="22" fillId="8" borderId="26" xfId="824" applyNumberFormat="1" applyFont="1" applyFill="1" applyBorder="1" applyAlignment="1">
      <alignment horizontal="center" vertical="center"/>
    </xf>
    <xf numFmtId="0" fontId="22" fillId="8" borderId="5" xfId="824" applyNumberFormat="1" applyFont="1" applyFill="1" applyBorder="1" applyAlignment="1">
      <alignment vertical="center"/>
    </xf>
    <xf numFmtId="0" fontId="22" fillId="8" borderId="30" xfId="824" applyNumberFormat="1" applyFont="1" applyFill="1" applyBorder="1" applyAlignment="1">
      <alignment horizontal="distributed" vertical="center"/>
    </xf>
    <xf numFmtId="0" fontId="22" fillId="8" borderId="48" xfId="824" applyNumberFormat="1" applyFont="1" applyFill="1" applyBorder="1" applyAlignment="1">
      <alignment vertical="center"/>
    </xf>
    <xf numFmtId="0" fontId="22" fillId="8" borderId="48" xfId="824" applyNumberFormat="1" applyFont="1" applyFill="1" applyBorder="1" applyAlignment="1">
      <alignment horizontal="center" vertical="center"/>
    </xf>
    <xf numFmtId="0" fontId="22" fillId="8" borderId="0" xfId="824" applyFont="1" applyFill="1" applyBorder="1" applyAlignment="1">
      <alignment vertical="center"/>
    </xf>
    <xf numFmtId="0" fontId="2" fillId="8" borderId="0" xfId="826" applyNumberFormat="1" applyFont="1" applyFill="1" applyAlignment="1">
      <alignment horizontal="left" vertical="center"/>
    </xf>
    <xf numFmtId="0" fontId="2" fillId="8" borderId="0" xfId="826" quotePrefix="1" applyNumberFormat="1" applyFont="1" applyFill="1" applyAlignment="1">
      <alignment horizontal="left" vertical="center"/>
    </xf>
    <xf numFmtId="0" fontId="2" fillId="8" borderId="0" xfId="826" applyNumberFormat="1" applyFont="1" applyFill="1" applyAlignment="1">
      <alignment vertical="center"/>
    </xf>
    <xf numFmtId="0" fontId="2" fillId="8" borderId="0" xfId="826" applyNumberFormat="1" applyFont="1" applyFill="1" applyBorder="1" applyAlignment="1">
      <alignment vertical="center"/>
    </xf>
    <xf numFmtId="0" fontId="2" fillId="8" borderId="0" xfId="807" applyNumberFormat="1" applyFont="1" applyFill="1" applyAlignment="1">
      <alignment vertical="center"/>
    </xf>
    <xf numFmtId="0" fontId="3" fillId="8" borderId="0" xfId="826" applyNumberFormat="1" applyFont="1" applyFill="1" applyAlignment="1">
      <alignment horizontal="centerContinuous" vertical="center"/>
    </xf>
    <xf numFmtId="0" fontId="2" fillId="8" borderId="0" xfId="826" applyNumberFormat="1" applyFont="1" applyFill="1" applyAlignment="1">
      <alignment horizontal="centerContinuous" vertical="center"/>
    </xf>
    <xf numFmtId="0" fontId="2" fillId="8" borderId="0" xfId="826" quotePrefix="1" applyNumberFormat="1" applyFont="1" applyFill="1" applyBorder="1" applyAlignment="1">
      <alignment horizontal="left" vertical="center"/>
    </xf>
    <xf numFmtId="0" fontId="2" fillId="8" borderId="0" xfId="826" quotePrefix="1" applyNumberFormat="1" applyFont="1" applyFill="1" applyBorder="1" applyAlignment="1">
      <alignment horizontal="center" vertical="center"/>
    </xf>
    <xf numFmtId="0" fontId="2" fillId="8" borderId="0" xfId="807" applyNumberFormat="1" applyFont="1" applyFill="1" applyBorder="1" applyAlignment="1">
      <alignment horizontal="right" vertical="center"/>
    </xf>
    <xf numFmtId="0" fontId="2" fillId="8" borderId="29" xfId="826" applyNumberFormat="1" applyFont="1" applyFill="1" applyBorder="1" applyAlignment="1">
      <alignment vertical="center"/>
    </xf>
    <xf numFmtId="0" fontId="2" fillId="8" borderId="27" xfId="826" applyNumberFormat="1" applyFont="1" applyFill="1" applyBorder="1" applyAlignment="1">
      <alignment horizontal="center" vertical="center"/>
    </xf>
    <xf numFmtId="0" fontId="2" fillId="8" borderId="28" xfId="826" applyNumberFormat="1" applyFont="1" applyFill="1" applyBorder="1" applyAlignment="1">
      <alignment horizontal="center" vertical="center"/>
    </xf>
    <xf numFmtId="0" fontId="2" fillId="8" borderId="15" xfId="826" applyNumberFormat="1" applyFont="1" applyFill="1" applyBorder="1" applyAlignment="1">
      <alignment horizontal="centerContinuous" vertical="center"/>
    </xf>
    <xf numFmtId="0" fontId="2" fillId="8" borderId="5" xfId="826" applyNumberFormat="1" applyFont="1" applyFill="1" applyBorder="1" applyAlignment="1">
      <alignment vertical="center"/>
    </xf>
    <xf numFmtId="0" fontId="2" fillId="8" borderId="30" xfId="826" applyNumberFormat="1" applyFont="1" applyFill="1" applyBorder="1" applyAlignment="1">
      <alignment horizontal="center" vertical="center"/>
    </xf>
    <xf numFmtId="0" fontId="2" fillId="8" borderId="48" xfId="826" applyNumberFormat="1" applyFont="1" applyFill="1" applyBorder="1" applyAlignment="1">
      <alignment horizontal="center" vertical="center"/>
    </xf>
    <xf numFmtId="0" fontId="2" fillId="8" borderId="3" xfId="826" applyNumberFormat="1" applyFont="1" applyFill="1" applyBorder="1" applyAlignment="1">
      <alignment horizontal="centerContinuous" vertical="center"/>
    </xf>
    <xf numFmtId="0" fontId="2" fillId="8" borderId="4" xfId="826" applyNumberFormat="1" applyFont="1" applyFill="1" applyBorder="1" applyAlignment="1">
      <alignment vertical="center"/>
    </xf>
    <xf numFmtId="0" fontId="2" fillId="8" borderId="25" xfId="826" applyNumberFormat="1" applyFont="1" applyFill="1" applyBorder="1" applyAlignment="1">
      <alignment horizontal="centerContinuous" vertical="center"/>
    </xf>
    <xf numFmtId="0" fontId="2" fillId="8" borderId="25" xfId="826" applyNumberFormat="1" applyFont="1" applyFill="1" applyBorder="1" applyAlignment="1">
      <alignment horizontal="center" vertical="center"/>
    </xf>
    <xf numFmtId="0" fontId="2" fillId="8" borderId="25" xfId="807" applyNumberFormat="1" applyFont="1" applyFill="1" applyBorder="1" applyAlignment="1">
      <alignment horizontal="center" vertical="center"/>
    </xf>
    <xf numFmtId="0" fontId="2" fillId="8" borderId="26" xfId="826" applyNumberFormat="1" applyFont="1" applyFill="1" applyBorder="1" applyAlignment="1">
      <alignment vertical="center"/>
    </xf>
    <xf numFmtId="0" fontId="2" fillId="8" borderId="0" xfId="0" applyNumberFormat="1" applyFont="1" applyFill="1" applyBorder="1" applyAlignment="1">
      <alignment horizontal="distributed" vertical="center"/>
    </xf>
    <xf numFmtId="0" fontId="2" fillId="8" borderId="0" xfId="826" applyNumberFormat="1" applyFont="1" applyFill="1" applyBorder="1" applyAlignment="1">
      <alignment horizontal="distributed" vertical="center" shrinkToFit="1"/>
    </xf>
    <xf numFmtId="179" fontId="2" fillId="8" borderId="25" xfId="453" applyNumberFormat="1" applyFont="1" applyFill="1" applyBorder="1" applyAlignment="1">
      <alignment horizontal="right" vertical="center"/>
    </xf>
    <xf numFmtId="179" fontId="2" fillId="8" borderId="0" xfId="826" applyNumberFormat="1" applyFont="1" applyFill="1" applyAlignment="1">
      <alignment horizontal="center" vertical="center"/>
    </xf>
    <xf numFmtId="179" fontId="2" fillId="8" borderId="0" xfId="826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distributed" vertical="center"/>
    </xf>
    <xf numFmtId="0" fontId="2" fillId="8" borderId="30" xfId="826" applyNumberFormat="1" applyFont="1" applyFill="1" applyBorder="1" applyAlignment="1">
      <alignment vertical="center"/>
    </xf>
    <xf numFmtId="0" fontId="2" fillId="8" borderId="48" xfId="826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Continuous" vertical="center"/>
    </xf>
    <xf numFmtId="0" fontId="2" fillId="8" borderId="14" xfId="826" applyNumberFormat="1" applyFont="1" applyFill="1" applyBorder="1" applyAlignment="1">
      <alignment horizontal="centerContinuous" vertical="center"/>
    </xf>
    <xf numFmtId="0" fontId="22" fillId="8" borderId="0" xfId="837" applyNumberFormat="1" applyFont="1" applyFill="1" applyBorder="1" applyAlignment="1">
      <alignment horizontal="left" vertical="center"/>
    </xf>
    <xf numFmtId="0" fontId="22" fillId="8" borderId="0" xfId="837" quotePrefix="1" applyNumberFormat="1" applyFont="1" applyFill="1" applyAlignment="1">
      <alignment horizontal="left" vertical="center"/>
    </xf>
    <xf numFmtId="0" fontId="22" fillId="8" borderId="0" xfId="837" applyNumberFormat="1" applyFont="1" applyFill="1" applyAlignment="1">
      <alignment vertical="center"/>
    </xf>
    <xf numFmtId="0" fontId="22" fillId="8" borderId="0" xfId="453" quotePrefix="1" applyNumberFormat="1" applyFont="1" applyFill="1" applyBorder="1" applyAlignment="1">
      <alignment horizontal="left" vertical="center"/>
    </xf>
    <xf numFmtId="0" fontId="23" fillId="8" borderId="0" xfId="837" applyNumberFormat="1" applyFont="1" applyFill="1" applyBorder="1" applyAlignment="1">
      <alignment horizontal="centerContinuous" vertical="center"/>
    </xf>
    <xf numFmtId="0" fontId="22" fillId="8" borderId="0" xfId="837" applyNumberFormat="1" applyFont="1" applyFill="1" applyAlignment="1">
      <alignment horizontal="centerContinuous" vertical="center"/>
    </xf>
    <xf numFmtId="0" fontId="22" fillId="8" borderId="0" xfId="453" applyNumberFormat="1" applyFont="1" applyFill="1" applyBorder="1" applyAlignment="1">
      <alignment horizontal="centerContinuous" vertical="center"/>
    </xf>
    <xf numFmtId="0" fontId="22" fillId="8" borderId="0" xfId="837" applyNumberFormat="1" applyFont="1" applyFill="1" applyBorder="1" applyAlignment="1">
      <alignment horizontal="centerContinuous" vertical="center"/>
    </xf>
    <xf numFmtId="0" fontId="22" fillId="8" borderId="0" xfId="827" applyNumberFormat="1" applyFont="1" applyFill="1" applyAlignment="1">
      <alignment vertical="center"/>
    </xf>
    <xf numFmtId="0" fontId="24" fillId="8" borderId="0" xfId="837" applyNumberFormat="1" applyFont="1" applyFill="1" applyAlignment="1">
      <alignment horizontal="centerContinuous" vertical="center"/>
    </xf>
    <xf numFmtId="0" fontId="24" fillId="8" borderId="0" xfId="453" applyNumberFormat="1" applyFont="1" applyFill="1" applyBorder="1" applyAlignment="1">
      <alignment horizontal="centerContinuous" vertical="center"/>
    </xf>
    <xf numFmtId="0" fontId="22" fillId="8" borderId="2" xfId="837" applyNumberFormat="1" applyFont="1" applyFill="1" applyBorder="1" applyAlignment="1">
      <alignment horizontal="centerContinuous" vertical="center"/>
    </xf>
    <xf numFmtId="0" fontId="22" fillId="8" borderId="24" xfId="837" applyNumberFormat="1" applyFont="1" applyFill="1" applyBorder="1" applyAlignment="1">
      <alignment horizontal="centerContinuous" vertical="center"/>
    </xf>
    <xf numFmtId="0" fontId="22" fillId="8" borderId="19" xfId="453" applyNumberFormat="1" applyFont="1" applyFill="1" applyBorder="1" applyAlignment="1">
      <alignment horizontal="centerContinuous" vertical="center"/>
    </xf>
    <xf numFmtId="0" fontId="22" fillId="8" borderId="3" xfId="837" applyNumberFormat="1" applyFont="1" applyFill="1" applyBorder="1" applyAlignment="1">
      <alignment horizontal="center" vertical="center" wrapText="1"/>
    </xf>
    <xf numFmtId="0" fontId="22" fillId="8" borderId="4" xfId="837" applyNumberFormat="1" applyFont="1" applyFill="1" applyBorder="1" applyAlignment="1">
      <alignment horizontal="centerContinuous" vertical="center"/>
    </xf>
    <xf numFmtId="0" fontId="22" fillId="8" borderId="0" xfId="837" applyNumberFormat="1" applyFont="1" applyFill="1" applyBorder="1" applyAlignment="1">
      <alignment horizontal="centerContinuous" vertical="center" wrapText="1"/>
    </xf>
    <xf numFmtId="0" fontId="22" fillId="8" borderId="26" xfId="837" applyNumberFormat="1" applyFont="1" applyFill="1" applyBorder="1" applyAlignment="1">
      <alignment horizontal="centerContinuous" vertical="center"/>
    </xf>
    <xf numFmtId="0" fontId="22" fillId="8" borderId="4" xfId="837" applyNumberFormat="1" applyFont="1" applyFill="1" applyBorder="1" applyAlignment="1">
      <alignment horizontal="centerContinuous" vertical="center" wrapText="1"/>
    </xf>
    <xf numFmtId="0" fontId="22" fillId="8" borderId="26" xfId="837" applyNumberFormat="1" applyFont="1" applyFill="1" applyBorder="1" applyAlignment="1">
      <alignment horizontal="centerContinuous" vertical="center" wrapText="1"/>
    </xf>
    <xf numFmtId="0" fontId="22" fillId="8" borderId="25" xfId="837" applyNumberFormat="1" applyFont="1" applyFill="1" applyBorder="1" applyAlignment="1">
      <alignment horizontal="center" vertical="center" wrapText="1"/>
    </xf>
    <xf numFmtId="0" fontId="22" fillId="8" borderId="4" xfId="837" applyNumberFormat="1" applyFont="1" applyFill="1" applyBorder="1" applyAlignment="1">
      <alignment vertical="center"/>
    </xf>
    <xf numFmtId="0" fontId="22" fillId="8" borderId="0" xfId="837" applyNumberFormat="1" applyFont="1" applyFill="1" applyBorder="1" applyAlignment="1">
      <alignment horizontal="center" vertical="center"/>
    </xf>
    <xf numFmtId="0" fontId="22" fillId="8" borderId="0" xfId="837" applyNumberFormat="1" applyFont="1" applyFill="1" applyBorder="1" applyAlignment="1">
      <alignment horizontal="distributed" vertical="center"/>
    </xf>
    <xf numFmtId="0" fontId="22" fillId="8" borderId="26" xfId="837" applyNumberFormat="1" applyFont="1" applyFill="1" applyBorder="1" applyAlignment="1">
      <alignment vertical="center"/>
    </xf>
    <xf numFmtId="179" fontId="22" fillId="8" borderId="0" xfId="453" applyNumberFormat="1" applyFont="1" applyFill="1" applyBorder="1" applyAlignment="1">
      <alignment horizontal="right" vertical="center"/>
    </xf>
    <xf numFmtId="179" fontId="22" fillId="8" borderId="4" xfId="453" applyNumberFormat="1" applyFont="1" applyFill="1" applyBorder="1" applyAlignment="1">
      <alignment horizontal="right" vertical="center"/>
    </xf>
    <xf numFmtId="0" fontId="22" fillId="8" borderId="26" xfId="453" applyNumberFormat="1" applyFont="1" applyFill="1" applyBorder="1" applyAlignment="1">
      <alignment vertical="center"/>
    </xf>
    <xf numFmtId="0" fontId="22" fillId="8" borderId="25" xfId="837" applyNumberFormat="1" applyFont="1" applyFill="1" applyBorder="1" applyAlignment="1">
      <alignment horizontal="left" vertical="center"/>
    </xf>
    <xf numFmtId="0" fontId="22" fillId="8" borderId="0" xfId="837" quotePrefix="1" applyNumberFormat="1" applyFont="1" applyFill="1" applyBorder="1" applyAlignment="1">
      <alignment horizontal="center" vertical="center"/>
    </xf>
    <xf numFmtId="0" fontId="22" fillId="8" borderId="0" xfId="837" applyNumberFormat="1" applyFont="1" applyFill="1" applyBorder="1" applyAlignment="1">
      <alignment vertical="center"/>
    </xf>
    <xf numFmtId="179" fontId="22" fillId="8" borderId="4" xfId="837" applyNumberFormat="1" applyFont="1" applyFill="1" applyBorder="1" applyAlignment="1">
      <alignment horizontal="right" vertical="center"/>
    </xf>
    <xf numFmtId="0" fontId="22" fillId="8" borderId="2" xfId="837" applyNumberFormat="1" applyFont="1" applyFill="1" applyBorder="1" applyAlignment="1">
      <alignment horizontal="center" vertical="center"/>
    </xf>
    <xf numFmtId="0" fontId="22" fillId="8" borderId="19" xfId="837" applyNumberFormat="1" applyFont="1" applyFill="1" applyBorder="1" applyAlignment="1">
      <alignment horizontal="left" vertical="center"/>
    </xf>
    <xf numFmtId="0" fontId="22" fillId="8" borderId="19" xfId="837" applyNumberFormat="1" applyFont="1" applyFill="1" applyBorder="1" applyAlignment="1">
      <alignment horizontal="distributed" vertical="center"/>
    </xf>
    <xf numFmtId="0" fontId="22" fillId="8" borderId="24" xfId="837" applyNumberFormat="1" applyFont="1" applyFill="1" applyBorder="1" applyAlignment="1">
      <alignment horizontal="center" vertical="center"/>
    </xf>
    <xf numFmtId="186" fontId="22" fillId="8" borderId="2" xfId="453" applyNumberFormat="1" applyFont="1" applyFill="1" applyBorder="1" applyAlignment="1">
      <alignment horizontal="right" vertical="center"/>
    </xf>
    <xf numFmtId="186" fontId="22" fillId="8" borderId="19" xfId="453" applyNumberFormat="1" applyFont="1" applyFill="1" applyBorder="1" applyAlignment="1">
      <alignment horizontal="right" vertical="center"/>
    </xf>
    <xf numFmtId="0" fontId="22" fillId="8" borderId="24" xfId="453" applyNumberFormat="1" applyFont="1" applyFill="1" applyBorder="1" applyAlignment="1">
      <alignment vertical="center"/>
    </xf>
    <xf numFmtId="0" fontId="22" fillId="8" borderId="3" xfId="837" applyNumberFormat="1" applyFont="1" applyFill="1" applyBorder="1" applyAlignment="1">
      <alignment horizontal="left" vertical="center"/>
    </xf>
    <xf numFmtId="0" fontId="22" fillId="8" borderId="0" xfId="837" quotePrefix="1" applyNumberFormat="1" applyFont="1" applyFill="1" applyBorder="1" applyAlignment="1">
      <alignment horizontal="left" vertical="center"/>
    </xf>
    <xf numFmtId="0" fontId="22" fillId="8" borderId="0" xfId="453" applyNumberFormat="1" applyFont="1" applyFill="1" applyBorder="1" applyAlignment="1">
      <alignment vertical="center"/>
    </xf>
    <xf numFmtId="0" fontId="22" fillId="8" borderId="0" xfId="828" applyNumberFormat="1" applyFont="1" applyFill="1" applyAlignment="1">
      <alignment vertical="center"/>
    </xf>
    <xf numFmtId="0" fontId="22" fillId="8" borderId="0" xfId="828" applyNumberFormat="1" applyFont="1" applyFill="1" applyBorder="1" applyAlignment="1">
      <alignment vertical="center"/>
    </xf>
    <xf numFmtId="0" fontId="26" fillId="8" borderId="0" xfId="837" applyNumberFormat="1" applyFont="1" applyFill="1" applyAlignment="1">
      <alignment horizontal="left" vertical="center"/>
    </xf>
    <xf numFmtId="0" fontId="26" fillId="8" borderId="0" xfId="837" quotePrefix="1" applyNumberFormat="1" applyFont="1" applyFill="1" applyAlignment="1">
      <alignment horizontal="left" vertical="center"/>
    </xf>
    <xf numFmtId="0" fontId="26" fillId="8" borderId="0" xfId="837" applyNumberFormat="1" applyFont="1" applyFill="1" applyAlignment="1">
      <alignment vertical="center"/>
    </xf>
    <xf numFmtId="0" fontId="22" fillId="8" borderId="0" xfId="828" applyNumberFormat="1" applyFont="1" applyFill="1" applyAlignment="1">
      <alignment horizontal="left" vertical="center"/>
    </xf>
    <xf numFmtId="0" fontId="3" fillId="8" borderId="0" xfId="826" applyNumberFormat="1" applyFont="1" applyFill="1" applyBorder="1" applyAlignment="1">
      <alignment horizontal="centerContinuous" vertical="center"/>
    </xf>
    <xf numFmtId="0" fontId="3" fillId="8" borderId="0" xfId="826" applyNumberFormat="1" applyFont="1" applyFill="1" applyAlignment="1">
      <alignment vertical="center"/>
    </xf>
    <xf numFmtId="179" fontId="2" fillId="8" borderId="14" xfId="453" applyNumberFormat="1" applyFont="1" applyFill="1" applyBorder="1" applyAlignment="1">
      <alignment horizontal="right" vertical="center"/>
    </xf>
    <xf numFmtId="179" fontId="2" fillId="8" borderId="30" xfId="826" applyNumberFormat="1" applyFont="1" applyFill="1" applyBorder="1" applyAlignment="1">
      <alignment horizontal="center" vertical="center"/>
    </xf>
    <xf numFmtId="179" fontId="2" fillId="8" borderId="14" xfId="826" applyNumberFormat="1" applyFont="1" applyFill="1" applyBorder="1" applyAlignment="1">
      <alignment horizontal="right" vertical="center"/>
    </xf>
    <xf numFmtId="0" fontId="1" fillId="8" borderId="0" xfId="826" applyNumberFormat="1" applyFont="1" applyFill="1" applyAlignment="1">
      <alignment horizontal="left" vertical="center"/>
    </xf>
    <xf numFmtId="0" fontId="1" fillId="8" borderId="0" xfId="826" quotePrefix="1" applyNumberFormat="1" applyFont="1" applyFill="1" applyAlignment="1">
      <alignment horizontal="left" vertical="center"/>
    </xf>
    <xf numFmtId="0" fontId="1" fillId="8" borderId="0" xfId="826" applyNumberFormat="1" applyFont="1" applyFill="1" applyAlignment="1">
      <alignment vertical="center"/>
    </xf>
    <xf numFmtId="0" fontId="1" fillId="8" borderId="0" xfId="826" applyNumberFormat="1" applyFont="1" applyFill="1" applyBorder="1" applyAlignment="1">
      <alignment vertical="center"/>
    </xf>
    <xf numFmtId="0" fontId="1" fillId="8" borderId="0" xfId="807" applyNumberFormat="1" applyFont="1" applyFill="1" applyAlignment="1">
      <alignment vertical="center"/>
    </xf>
    <xf numFmtId="0" fontId="1" fillId="8" borderId="0" xfId="807" applyNumberFormat="1" applyFont="1" applyFill="1" applyBorder="1" applyAlignment="1">
      <alignment vertical="center"/>
    </xf>
    <xf numFmtId="0" fontId="1" fillId="8" borderId="0" xfId="826" quotePrefix="1" applyNumberFormat="1" applyFont="1" applyFill="1" applyBorder="1" applyAlignment="1">
      <alignment horizontal="left" vertical="center"/>
    </xf>
    <xf numFmtId="0" fontId="1" fillId="8" borderId="0" xfId="826" quotePrefix="1" applyNumberFormat="1" applyFont="1" applyFill="1" applyBorder="1" applyAlignment="1">
      <alignment horizontal="center" vertical="center"/>
    </xf>
    <xf numFmtId="0" fontId="1" fillId="8" borderId="0" xfId="826" applyNumberFormat="1" applyFont="1" applyFill="1" applyBorder="1" applyAlignment="1">
      <alignment horizontal="left" vertical="center"/>
    </xf>
    <xf numFmtId="0" fontId="1" fillId="8" borderId="0" xfId="807" quotePrefix="1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vertical="center"/>
    </xf>
    <xf numFmtId="0" fontId="1" fillId="8" borderId="19" xfId="826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horizontal="center" vertical="center"/>
    </xf>
    <xf numFmtId="0" fontId="1" fillId="8" borderId="24" xfId="826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horizontal="centerContinuous" vertical="center" wrapText="1"/>
    </xf>
    <xf numFmtId="0" fontId="1" fillId="8" borderId="24" xfId="826" applyNumberFormat="1" applyFont="1" applyFill="1" applyBorder="1" applyAlignment="1">
      <alignment horizontal="centerContinuous" vertical="center" wrapText="1"/>
    </xf>
    <xf numFmtId="0" fontId="1" fillId="8" borderId="24" xfId="826" applyNumberFormat="1" applyFont="1" applyFill="1" applyBorder="1" applyAlignment="1">
      <alignment horizontal="center" vertical="center" wrapText="1"/>
    </xf>
    <xf numFmtId="0" fontId="1" fillId="8" borderId="2" xfId="807" applyNumberFormat="1" applyFont="1" applyFill="1" applyBorder="1" applyAlignment="1">
      <alignment horizontal="centerContinuous" vertical="center"/>
    </xf>
    <xf numFmtId="0" fontId="1" fillId="8" borderId="24" xfId="807" applyNumberFormat="1" applyFont="1" applyFill="1" applyBorder="1" applyAlignment="1">
      <alignment horizontal="centerContinuous" vertical="center"/>
    </xf>
    <xf numFmtId="0" fontId="1" fillId="8" borderId="3" xfId="807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vertical="center"/>
    </xf>
    <xf numFmtId="0" fontId="1" fillId="8" borderId="0" xfId="826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horizontal="center" vertical="center"/>
    </xf>
    <xf numFmtId="0" fontId="1" fillId="8" borderId="26" xfId="826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horizontal="centerContinuous" vertical="center"/>
    </xf>
    <xf numFmtId="0" fontId="1" fillId="8" borderId="26" xfId="826" applyNumberFormat="1" applyFont="1" applyFill="1" applyBorder="1" applyAlignment="1">
      <alignment horizontal="centerContinuous" vertical="center"/>
    </xf>
    <xf numFmtId="0" fontId="1" fillId="8" borderId="4" xfId="807" applyNumberFormat="1" applyFont="1" applyFill="1" applyBorder="1" applyAlignment="1">
      <alignment horizontal="center" vertical="center"/>
    </xf>
    <xf numFmtId="0" fontId="1" fillId="8" borderId="26" xfId="807" applyNumberFormat="1" applyFont="1" applyFill="1" applyBorder="1" applyAlignment="1">
      <alignment horizontal="center" vertical="center"/>
    </xf>
    <xf numFmtId="0" fontId="1" fillId="8" borderId="25" xfId="807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distributed" vertical="center"/>
    </xf>
    <xf numFmtId="0" fontId="1" fillId="8" borderId="0" xfId="826" applyNumberFormat="1" applyFont="1" applyFill="1" applyBorder="1" applyAlignment="1">
      <alignment horizontal="distributed" vertical="center" shrinkToFit="1"/>
    </xf>
    <xf numFmtId="0" fontId="1" fillId="8" borderId="26" xfId="826" applyNumberFormat="1" applyFont="1" applyFill="1" applyBorder="1" applyAlignment="1">
      <alignment vertical="center"/>
    </xf>
    <xf numFmtId="179" fontId="1" fillId="8" borderId="25" xfId="453" applyNumberFormat="1" applyFont="1" applyFill="1" applyBorder="1" applyAlignment="1">
      <alignment horizontal="right" vertical="center"/>
    </xf>
    <xf numFmtId="0" fontId="1" fillId="8" borderId="5" xfId="826" applyNumberFormat="1" applyFont="1" applyFill="1" applyBorder="1" applyAlignment="1">
      <alignment vertical="center"/>
    </xf>
    <xf numFmtId="0" fontId="1" fillId="8" borderId="30" xfId="0" applyNumberFormat="1" applyFont="1" applyFill="1" applyBorder="1" applyAlignment="1">
      <alignment horizontal="distributed" vertical="center"/>
    </xf>
    <xf numFmtId="0" fontId="1" fillId="8" borderId="30" xfId="826" applyNumberFormat="1" applyFont="1" applyFill="1" applyBorder="1" applyAlignment="1">
      <alignment vertical="center"/>
    </xf>
    <xf numFmtId="0" fontId="1" fillId="8" borderId="48" xfId="826" applyNumberFormat="1" applyFont="1" applyFill="1" applyBorder="1" applyAlignment="1">
      <alignment vertical="center"/>
    </xf>
    <xf numFmtId="179" fontId="1" fillId="8" borderId="5" xfId="453" applyNumberFormat="1" applyFont="1" applyFill="1" applyBorder="1" applyAlignment="1">
      <alignment horizontal="right" vertical="center"/>
    </xf>
    <xf numFmtId="179" fontId="1" fillId="8" borderId="48" xfId="453" applyNumberFormat="1" applyFont="1" applyFill="1" applyBorder="1" applyAlignment="1">
      <alignment horizontal="right" vertical="center"/>
    </xf>
    <xf numFmtId="179" fontId="1" fillId="8" borderId="30" xfId="826" applyNumberFormat="1" applyFont="1" applyFill="1" applyBorder="1" applyAlignment="1">
      <alignment horizontal="center" vertical="center"/>
    </xf>
    <xf numFmtId="179" fontId="1" fillId="8" borderId="5" xfId="826" applyNumberFormat="1" applyFont="1" applyFill="1" applyBorder="1" applyAlignment="1">
      <alignment horizontal="right" vertical="center"/>
    </xf>
    <xf numFmtId="179" fontId="1" fillId="8" borderId="48" xfId="826" applyNumberFormat="1" applyFont="1" applyFill="1" applyBorder="1" applyAlignment="1">
      <alignment horizontal="right" vertical="center"/>
    </xf>
    <xf numFmtId="179" fontId="1" fillId="8" borderId="14" xfId="826" applyNumberFormat="1" applyFont="1" applyFill="1" applyBorder="1" applyAlignment="1">
      <alignment horizontal="right" vertical="center"/>
    </xf>
    <xf numFmtId="0" fontId="3" fillId="8" borderId="0" xfId="453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horizontal="right" vertical="center"/>
    </xf>
    <xf numFmtId="0" fontId="2" fillId="8" borderId="24" xfId="453" applyNumberFormat="1" applyFont="1" applyFill="1" applyBorder="1" applyAlignment="1">
      <alignment horizontal="centerContinuous" vertical="center"/>
    </xf>
    <xf numFmtId="0" fontId="2" fillId="8" borderId="3" xfId="453" applyNumberFormat="1" applyFont="1" applyFill="1" applyBorder="1" applyAlignment="1">
      <alignment horizontal="centerContinuous" vertical="center"/>
    </xf>
    <xf numFmtId="0" fontId="2" fillId="8" borderId="2" xfId="453" applyNumberFormat="1" applyFont="1" applyFill="1" applyBorder="1" applyAlignment="1">
      <alignment horizontal="centerContinuous" vertical="center"/>
    </xf>
    <xf numFmtId="0" fontId="2" fillId="8" borderId="4" xfId="0" applyNumberFormat="1" applyFont="1" applyFill="1" applyBorder="1" applyAlignment="1">
      <alignment horizontal="center" vertical="center"/>
    </xf>
    <xf numFmtId="0" fontId="2" fillId="8" borderId="26" xfId="0" applyNumberFormat="1" applyFont="1" applyFill="1" applyBorder="1" applyAlignment="1">
      <alignment horizontal="center" vertical="center"/>
    </xf>
    <xf numFmtId="0" fontId="1" fillId="8" borderId="0" xfId="826" applyNumberFormat="1" applyFont="1" applyFill="1" applyBorder="1" applyAlignment="1">
      <alignment horizontal="center" vertical="center" shrinkToFit="1"/>
    </xf>
    <xf numFmtId="0" fontId="2" fillId="8" borderId="25" xfId="453" applyNumberFormat="1" applyFont="1" applyFill="1" applyBorder="1" applyAlignment="1">
      <alignment horizontal="center" vertical="center"/>
    </xf>
    <xf numFmtId="0" fontId="2" fillId="8" borderId="4" xfId="453" applyNumberFormat="1" applyFont="1" applyFill="1" applyBorder="1" applyAlignment="1">
      <alignment horizontal="center" vertical="center"/>
    </xf>
    <xf numFmtId="0" fontId="2" fillId="8" borderId="26" xfId="453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right" vertical="center"/>
    </xf>
    <xf numFmtId="0" fontId="2" fillId="8" borderId="0" xfId="0" applyNumberFormat="1" applyFont="1" applyFill="1" applyBorder="1" applyAlignment="1">
      <alignment vertical="center"/>
    </xf>
    <xf numFmtId="186" fontId="2" fillId="8" borderId="25" xfId="453" applyNumberFormat="1" applyFont="1" applyFill="1" applyBorder="1" applyAlignment="1">
      <alignment horizontal="center" vertical="center"/>
    </xf>
    <xf numFmtId="0" fontId="2" fillId="8" borderId="26" xfId="453" applyNumberFormat="1" applyFont="1" applyFill="1" applyBorder="1" applyAlignment="1">
      <alignment horizontal="left" vertical="center"/>
    </xf>
    <xf numFmtId="229" fontId="2" fillId="8" borderId="0" xfId="0" applyNumberFormat="1" applyFont="1" applyFill="1" applyAlignment="1">
      <alignment vertical="center"/>
    </xf>
    <xf numFmtId="229" fontId="1" fillId="8" borderId="0" xfId="0" applyNumberFormat="1" applyFont="1" applyFill="1" applyAlignment="1">
      <alignment vertical="center"/>
    </xf>
    <xf numFmtId="0" fontId="2" fillId="8" borderId="5" xfId="0" applyNumberFormat="1" applyFont="1" applyFill="1" applyBorder="1" applyAlignment="1">
      <alignment horizontal="center" vertical="center"/>
    </xf>
    <xf numFmtId="0" fontId="1" fillId="8" borderId="30" xfId="826" applyNumberFormat="1" applyFont="1" applyFill="1" applyBorder="1" applyAlignment="1">
      <alignment horizontal="distributed" vertical="center" shrinkToFit="1"/>
    </xf>
    <xf numFmtId="0" fontId="2" fillId="8" borderId="48" xfId="453" applyNumberFormat="1" applyFont="1" applyFill="1" applyBorder="1" applyAlignment="1">
      <alignment horizontal="center" vertical="center"/>
    </xf>
    <xf numFmtId="186" fontId="2" fillId="8" borderId="14" xfId="453" applyNumberFormat="1" applyFont="1" applyFill="1" applyBorder="1" applyAlignment="1">
      <alignment horizontal="center" vertical="center"/>
    </xf>
    <xf numFmtId="0" fontId="2" fillId="8" borderId="48" xfId="453" applyNumberFormat="1" applyFont="1" applyFill="1" applyBorder="1" applyAlignment="1">
      <alignment horizontal="left" vertical="center"/>
    </xf>
    <xf numFmtId="0" fontId="2" fillId="8" borderId="0" xfId="833" applyNumberFormat="1" applyFont="1" applyFill="1" applyAlignment="1">
      <alignment vertical="center"/>
    </xf>
    <xf numFmtId="0" fontId="2" fillId="8" borderId="0" xfId="806" applyNumberFormat="1" applyFont="1" applyFill="1" applyAlignment="1">
      <alignment vertical="center"/>
    </xf>
    <xf numFmtId="0" fontId="3" fillId="8" borderId="0" xfId="833" applyNumberFormat="1" applyFont="1" applyFill="1" applyAlignment="1">
      <alignment horizontal="centerContinuous" vertical="center"/>
    </xf>
    <xf numFmtId="0" fontId="3" fillId="8" borderId="0" xfId="806" applyNumberFormat="1" applyFont="1" applyFill="1" applyAlignment="1">
      <alignment horizontal="centerContinuous" vertical="center"/>
    </xf>
    <xf numFmtId="0" fontId="3" fillId="8" borderId="0" xfId="833" applyNumberFormat="1" applyFont="1" applyFill="1" applyAlignment="1">
      <alignment vertical="center"/>
    </xf>
    <xf numFmtId="0" fontId="2" fillId="8" borderId="0" xfId="833" applyNumberFormat="1" applyFont="1" applyFill="1" applyAlignment="1">
      <alignment horizontal="centerContinuous" vertical="center"/>
    </xf>
    <xf numFmtId="0" fontId="2" fillId="8" borderId="0" xfId="806" applyNumberFormat="1" applyFont="1" applyFill="1" applyAlignment="1">
      <alignment horizontal="centerContinuous" vertical="center"/>
    </xf>
    <xf numFmtId="0" fontId="2" fillId="8" borderId="0" xfId="833" applyNumberFormat="1" applyFont="1" applyFill="1" applyAlignment="1">
      <alignment horizontal="left" vertical="center"/>
    </xf>
    <xf numFmtId="0" fontId="2" fillId="8" borderId="0" xfId="455" applyNumberFormat="1" applyFont="1" applyFill="1" applyAlignment="1">
      <alignment horizontal="right" vertical="center"/>
    </xf>
    <xf numFmtId="0" fontId="2" fillId="8" borderId="2" xfId="833" applyNumberFormat="1" applyFont="1" applyFill="1" applyBorder="1" applyAlignment="1">
      <alignment horizontal="centerContinuous" vertical="center"/>
    </xf>
    <xf numFmtId="0" fontId="2" fillId="8" borderId="19" xfId="833" applyNumberFormat="1" applyFont="1" applyFill="1" applyBorder="1" applyAlignment="1">
      <alignment horizontal="centerContinuous" vertical="center"/>
    </xf>
    <xf numFmtId="0" fontId="2" fillId="8" borderId="24" xfId="833" applyNumberFormat="1" applyFont="1" applyFill="1" applyBorder="1" applyAlignment="1">
      <alignment horizontal="centerContinuous" vertical="center"/>
    </xf>
    <xf numFmtId="0" fontId="2" fillId="8" borderId="2" xfId="823" applyNumberFormat="1" applyFont="1" applyFill="1" applyBorder="1" applyAlignment="1">
      <alignment horizontal="centerContinuous" vertical="center"/>
    </xf>
    <xf numFmtId="0" fontId="2" fillId="8" borderId="24" xfId="823" applyNumberFormat="1" applyFont="1" applyFill="1" applyBorder="1" applyAlignment="1">
      <alignment horizontal="centerContinuous" vertical="center"/>
    </xf>
    <xf numFmtId="0" fontId="2" fillId="8" borderId="4" xfId="833" applyNumberFormat="1" applyFont="1" applyFill="1" applyBorder="1" applyAlignment="1">
      <alignment horizontal="centerContinuous" vertical="center"/>
    </xf>
    <xf numFmtId="0" fontId="2" fillId="8" borderId="0" xfId="833" applyNumberFormat="1" applyFont="1" applyFill="1" applyBorder="1" applyAlignment="1">
      <alignment horizontal="centerContinuous" vertical="center"/>
    </xf>
    <xf numFmtId="0" fontId="2" fillId="8" borderId="26" xfId="833" applyNumberFormat="1" applyFont="1" applyFill="1" applyBorder="1" applyAlignment="1">
      <alignment horizontal="centerContinuous" vertical="center"/>
    </xf>
    <xf numFmtId="0" fontId="2" fillId="8" borderId="0" xfId="833" applyNumberFormat="1" applyFont="1" applyFill="1" applyBorder="1" applyAlignment="1">
      <alignment horizontal="distributed" vertical="center"/>
    </xf>
    <xf numFmtId="0" fontId="2" fillId="8" borderId="4" xfId="823" applyNumberFormat="1" applyFont="1" applyFill="1" applyBorder="1" applyAlignment="1">
      <alignment horizontal="centerContinuous" vertical="center"/>
    </xf>
    <xf numFmtId="0" fontId="2" fillId="8" borderId="26" xfId="823" applyNumberFormat="1" applyFont="1" applyFill="1" applyBorder="1" applyAlignment="1">
      <alignment horizontal="centerContinuous" vertical="center"/>
    </xf>
    <xf numFmtId="0" fontId="2" fillId="8" borderId="0" xfId="832" applyNumberFormat="1" applyFont="1" applyFill="1" applyBorder="1" applyAlignment="1">
      <alignment horizontal="distributed" vertical="center"/>
    </xf>
    <xf numFmtId="0" fontId="2" fillId="8" borderId="0" xfId="833" applyNumberFormat="1" applyFont="1" applyFill="1" applyBorder="1" applyAlignment="1">
      <alignment horizontal="distributed" vertical="center" shrinkToFit="1"/>
    </xf>
    <xf numFmtId="179" fontId="2" fillId="8" borderId="4" xfId="806" applyNumberFormat="1" applyFont="1" applyFill="1" applyBorder="1" applyAlignment="1">
      <alignment horizontal="right" vertical="center"/>
    </xf>
    <xf numFmtId="179" fontId="2" fillId="8" borderId="26" xfId="806" applyNumberFormat="1" applyFont="1" applyFill="1" applyBorder="1" applyAlignment="1">
      <alignment horizontal="right" vertical="center"/>
    </xf>
    <xf numFmtId="0" fontId="2" fillId="8" borderId="26" xfId="806" applyNumberFormat="1" applyFont="1" applyFill="1" applyBorder="1" applyAlignment="1">
      <alignment vertical="center"/>
    </xf>
    <xf numFmtId="0" fontId="2" fillId="8" borderId="5" xfId="833" applyNumberFormat="1" applyFont="1" applyFill="1" applyBorder="1" applyAlignment="1">
      <alignment horizontal="centerContinuous" vertical="center"/>
    </xf>
    <xf numFmtId="0" fontId="2" fillId="8" borderId="30" xfId="832" applyNumberFormat="1" applyFont="1" applyFill="1" applyBorder="1" applyAlignment="1">
      <alignment horizontal="distributed" vertical="center"/>
    </xf>
    <xf numFmtId="0" fontId="2" fillId="8" borderId="48" xfId="833" applyNumberFormat="1" applyFont="1" applyFill="1" applyBorder="1" applyAlignment="1">
      <alignment horizontal="centerContinuous" vertical="center"/>
    </xf>
    <xf numFmtId="0" fontId="2" fillId="8" borderId="30" xfId="833" applyNumberFormat="1" applyFont="1" applyFill="1" applyBorder="1" applyAlignment="1">
      <alignment horizontal="centerContinuous" vertical="center"/>
    </xf>
    <xf numFmtId="0" fontId="2" fillId="8" borderId="30" xfId="833" applyNumberFormat="1" applyFont="1" applyFill="1" applyBorder="1" applyAlignment="1">
      <alignment horizontal="distributed" vertical="center"/>
    </xf>
    <xf numFmtId="179" fontId="2" fillId="8" borderId="5" xfId="806" applyNumberFormat="1" applyFont="1" applyFill="1" applyBorder="1" applyAlignment="1">
      <alignment horizontal="right" vertical="center"/>
    </xf>
    <xf numFmtId="179" fontId="2" fillId="8" borderId="48" xfId="806" applyNumberFormat="1" applyFont="1" applyFill="1" applyBorder="1" applyAlignment="1">
      <alignment horizontal="right" vertical="center"/>
    </xf>
    <xf numFmtId="0" fontId="2" fillId="8" borderId="48" xfId="806" applyNumberFormat="1" applyFont="1" applyFill="1" applyBorder="1" applyAlignment="1">
      <alignment vertical="center"/>
    </xf>
    <xf numFmtId="0" fontId="2" fillId="8" borderId="0" xfId="833" applyNumberFormat="1" applyFont="1" applyFill="1" applyBorder="1" applyAlignment="1">
      <alignment horizontal="left" vertical="center"/>
    </xf>
    <xf numFmtId="0" fontId="2" fillId="8" borderId="0" xfId="826" applyFont="1" applyFill="1" applyAlignment="1">
      <alignment horizontal="left" vertical="center"/>
    </xf>
    <xf numFmtId="0" fontId="2" fillId="8" borderId="0" xfId="826" applyFont="1" applyFill="1" applyAlignment="1">
      <alignment horizontal="distributed"/>
    </xf>
    <xf numFmtId="180" fontId="2" fillId="8" borderId="0" xfId="826" applyNumberFormat="1" applyFont="1" applyFill="1" applyBorder="1" applyAlignment="1">
      <alignment vertical="center"/>
    </xf>
    <xf numFmtId="41" fontId="2" fillId="8" borderId="0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distributed" vertical="center"/>
    </xf>
    <xf numFmtId="0" fontId="85" fillId="8" borderId="0" xfId="0" applyFont="1" applyFill="1"/>
    <xf numFmtId="41" fontId="2" fillId="8" borderId="0" xfId="807" applyFont="1" applyFill="1" applyAlignment="1">
      <alignment horizontal="center" vertical="center"/>
    </xf>
    <xf numFmtId="0" fontId="3" fillId="8" borderId="0" xfId="826" applyFont="1" applyFill="1" applyAlignment="1">
      <alignment horizontal="centerContinuous" vertical="center"/>
    </xf>
    <xf numFmtId="41" fontId="3" fillId="8" borderId="0" xfId="807" applyFont="1" applyFill="1" applyAlignment="1">
      <alignment horizontal="centerContinuous" vertical="center"/>
    </xf>
    <xf numFmtId="41" fontId="3" fillId="8" borderId="0" xfId="807" applyFont="1" applyFill="1" applyBorder="1" applyAlignment="1">
      <alignment horizontal="centerContinuous" vertical="center"/>
    </xf>
    <xf numFmtId="0" fontId="3" fillId="8" borderId="0" xfId="826" applyFont="1" applyFill="1" applyBorder="1" applyAlignment="1">
      <alignment horizontal="centerContinuous" vertical="center"/>
    </xf>
    <xf numFmtId="0" fontId="86" fillId="8" borderId="0" xfId="0" applyFont="1" applyFill="1" applyAlignment="1">
      <alignment horizontal="left" vertical="center"/>
    </xf>
    <xf numFmtId="0" fontId="86" fillId="8" borderId="0" xfId="0" applyFont="1" applyFill="1" applyAlignment="1">
      <alignment vertical="center"/>
    </xf>
    <xf numFmtId="41" fontId="3" fillId="8" borderId="0" xfId="807" applyFont="1" applyFill="1" applyAlignment="1">
      <alignment horizontal="center" vertical="center"/>
    </xf>
    <xf numFmtId="0" fontId="2" fillId="8" borderId="0" xfId="826" applyFont="1" applyFill="1" applyAlignment="1">
      <alignment horizontal="centerContinuous" vertical="center"/>
    </xf>
    <xf numFmtId="41" fontId="2" fillId="8" borderId="0" xfId="807" applyFont="1" applyFill="1" applyAlignment="1">
      <alignment horizontal="centerContinuous" vertical="center"/>
    </xf>
    <xf numFmtId="41" fontId="2" fillId="8" borderId="0" xfId="807" applyFont="1" applyFill="1" applyBorder="1" applyAlignment="1">
      <alignment horizontal="centerContinuous" vertical="center"/>
    </xf>
    <xf numFmtId="0" fontId="2" fillId="8" borderId="0" xfId="826" applyFont="1" applyFill="1" applyBorder="1" applyAlignment="1">
      <alignment horizontal="centerContinuous" vertical="center"/>
    </xf>
    <xf numFmtId="0" fontId="85" fillId="8" borderId="0" xfId="0" applyFont="1" applyFill="1" applyAlignment="1">
      <alignment vertical="center"/>
    </xf>
    <xf numFmtId="0" fontId="2" fillId="8" borderId="0" xfId="826" applyFont="1" applyFill="1" applyBorder="1" applyAlignment="1">
      <alignment horizontal="distributed"/>
    </xf>
    <xf numFmtId="179" fontId="2" fillId="8" borderId="0" xfId="807" applyNumberFormat="1" applyFont="1" applyFill="1" applyBorder="1" applyAlignment="1">
      <alignment horizontal="right" vertical="center"/>
    </xf>
    <xf numFmtId="41" fontId="2" fillId="8" borderId="2" xfId="807" applyFont="1" applyFill="1" applyBorder="1" applyAlignment="1">
      <alignment horizontal="center" vertical="center"/>
    </xf>
    <xf numFmtId="0" fontId="2" fillId="8" borderId="19" xfId="826" applyFont="1" applyFill="1" applyBorder="1" applyAlignment="1">
      <alignment horizontal="center" vertical="center"/>
    </xf>
    <xf numFmtId="41" fontId="2" fillId="8" borderId="24" xfId="807" applyFont="1" applyFill="1" applyBorder="1" applyAlignment="1">
      <alignment horizontal="center" vertical="center"/>
    </xf>
    <xf numFmtId="41" fontId="2" fillId="8" borderId="3" xfId="807" quotePrefix="1" applyFont="1" applyFill="1" applyBorder="1" applyAlignment="1">
      <alignment horizontal="centerContinuous" vertical="center"/>
    </xf>
    <xf numFmtId="41" fontId="2" fillId="8" borderId="4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 shrinkToFit="1"/>
    </xf>
    <xf numFmtId="41" fontId="2" fillId="8" borderId="37" xfId="807" applyFont="1" applyFill="1" applyBorder="1" applyAlignment="1">
      <alignment horizontal="center" vertical="center"/>
    </xf>
    <xf numFmtId="41" fontId="2" fillId="8" borderId="29" xfId="807" applyFont="1" applyFill="1" applyBorder="1" applyAlignment="1">
      <alignment horizontal="center" vertical="center"/>
    </xf>
    <xf numFmtId="0" fontId="2" fillId="8" borderId="27" xfId="826" applyFont="1" applyFill="1" applyBorder="1" applyAlignment="1">
      <alignment horizontal="left" vertical="center" shrinkToFit="1"/>
    </xf>
    <xf numFmtId="41" fontId="2" fillId="8" borderId="28" xfId="807" applyFont="1" applyFill="1" applyBorder="1" applyAlignment="1">
      <alignment horizontal="center" vertical="center"/>
    </xf>
    <xf numFmtId="41" fontId="2" fillId="8" borderId="15" xfId="807" applyFont="1" applyFill="1" applyBorder="1" applyAlignment="1">
      <alignment horizontal="center" vertical="center"/>
    </xf>
    <xf numFmtId="41" fontId="2" fillId="8" borderId="26" xfId="807" applyFont="1" applyFill="1" applyBorder="1" applyAlignment="1">
      <alignment horizontal="center" vertical="center"/>
    </xf>
    <xf numFmtId="49" fontId="2" fillId="8" borderId="4" xfId="807" applyNumberFormat="1" applyFont="1" applyFill="1" applyBorder="1" applyAlignment="1">
      <alignment horizontal="center" vertical="center"/>
    </xf>
    <xf numFmtId="49" fontId="2" fillId="8" borderId="25" xfId="807" applyNumberFormat="1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 wrapText="1" shrinkToFit="1"/>
    </xf>
    <xf numFmtId="0" fontId="2" fillId="8" borderId="19" xfId="826" applyFont="1" applyFill="1" applyBorder="1" applyAlignment="1">
      <alignment horizontal="left" vertical="center" shrinkToFit="1"/>
    </xf>
    <xf numFmtId="49" fontId="2" fillId="8" borderId="3" xfId="807" applyNumberFormat="1" applyFont="1" applyFill="1" applyBorder="1" applyAlignment="1">
      <alignment horizontal="center" vertical="center"/>
    </xf>
    <xf numFmtId="41" fontId="2" fillId="8" borderId="5" xfId="807" applyFont="1" applyFill="1" applyBorder="1" applyAlignment="1">
      <alignment horizontal="center" vertical="center"/>
    </xf>
    <xf numFmtId="0" fontId="2" fillId="8" borderId="30" xfId="826" applyFont="1" applyFill="1" applyBorder="1" applyAlignment="1">
      <alignment horizontal="distributed" vertical="center"/>
    </xf>
    <xf numFmtId="41" fontId="2" fillId="8" borderId="30" xfId="807" applyFont="1" applyFill="1" applyBorder="1" applyAlignment="1">
      <alignment horizontal="center" vertical="center"/>
    </xf>
    <xf numFmtId="49" fontId="2" fillId="8" borderId="14" xfId="807" applyNumberFormat="1" applyFont="1" applyFill="1" applyBorder="1" applyAlignment="1">
      <alignment horizontal="right" vertical="center"/>
    </xf>
    <xf numFmtId="41" fontId="2" fillId="8" borderId="48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41" fontId="2" fillId="8" borderId="0" xfId="454" applyFont="1" applyFill="1" applyAlignment="1">
      <alignment horizontal="left" vertical="center"/>
    </xf>
    <xf numFmtId="0" fontId="3" fillId="8" borderId="0" xfId="0" applyFont="1" applyFill="1" applyAlignment="1">
      <alignment horizontal="centerContinuous" vertical="center"/>
    </xf>
    <xf numFmtId="0" fontId="3" fillId="8" borderId="0" xfId="0" applyFont="1" applyFill="1" applyBorder="1" applyAlignment="1">
      <alignment horizontal="centerContinuous" vertical="center"/>
    </xf>
    <xf numFmtId="0" fontId="3" fillId="8" borderId="0" xfId="0" applyFont="1" applyFill="1" applyAlignment="1">
      <alignment horizontal="center" vertical="center"/>
    </xf>
    <xf numFmtId="41" fontId="3" fillId="8" borderId="0" xfId="454" applyFont="1" applyFill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454" applyNumberFormat="1" applyFont="1" applyFill="1" applyBorder="1" applyAlignment="1">
      <alignment horizontal="left" vertical="center"/>
    </xf>
    <xf numFmtId="0" fontId="2" fillId="8" borderId="19" xfId="454" applyNumberFormat="1" applyFont="1" applyFill="1" applyBorder="1" applyAlignment="1">
      <alignment horizontal="distributed" vertical="center"/>
    </xf>
    <xf numFmtId="41" fontId="2" fillId="8" borderId="24" xfId="454" applyFont="1" applyFill="1" applyBorder="1" applyAlignment="1">
      <alignment horizontal="left" vertical="center"/>
    </xf>
    <xf numFmtId="41" fontId="2" fillId="8" borderId="3" xfId="454" applyFont="1" applyFill="1" applyBorder="1" applyAlignment="1">
      <alignment horizontal="left" vertical="center" wrapText="1"/>
    </xf>
    <xf numFmtId="0" fontId="2" fillId="8" borderId="3" xfId="454" applyNumberFormat="1" applyFont="1" applyFill="1" applyBorder="1" applyAlignment="1">
      <alignment horizontal="center" vertical="center" wrapText="1"/>
    </xf>
    <xf numFmtId="41" fontId="2" fillId="8" borderId="3" xfId="454" applyFont="1" applyFill="1" applyBorder="1" applyAlignment="1">
      <alignment horizontal="left" vertical="center"/>
    </xf>
    <xf numFmtId="0" fontId="2" fillId="8" borderId="3" xfId="454" applyNumberFormat="1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453" quotePrefix="1" applyNumberFormat="1" applyFont="1" applyFill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centerContinuous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/>
    </xf>
    <xf numFmtId="0" fontId="2" fillId="8" borderId="28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2" fillId="8" borderId="15" xfId="453" applyNumberFormat="1" applyFont="1" applyFill="1" applyBorder="1" applyAlignment="1">
      <alignment horizontal="center" vertical="center"/>
    </xf>
    <xf numFmtId="0" fontId="2" fillId="8" borderId="28" xfId="453" applyNumberFormat="1" applyFont="1" applyFill="1" applyBorder="1" applyAlignment="1">
      <alignment horizontal="center" vertical="center"/>
    </xf>
    <xf numFmtId="0" fontId="2" fillId="8" borderId="28" xfId="826" applyNumberFormat="1" applyFont="1" applyFill="1" applyBorder="1" applyAlignment="1">
      <alignment horizontal="center" vertical="center" wrapText="1"/>
    </xf>
    <xf numFmtId="0" fontId="2" fillId="8" borderId="25" xfId="0" applyNumberFormat="1" applyFont="1" applyFill="1" applyBorder="1" applyAlignment="1">
      <alignment horizontal="center" vertical="center"/>
    </xf>
    <xf numFmtId="0" fontId="2" fillId="8" borderId="26" xfId="826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left" vertical="center"/>
    </xf>
    <xf numFmtId="0" fontId="2" fillId="8" borderId="26" xfId="0" applyNumberFormat="1" applyFont="1" applyFill="1" applyBorder="1" applyAlignment="1">
      <alignment horizontal="left" vertical="center"/>
    </xf>
    <xf numFmtId="179" fontId="2" fillId="8" borderId="25" xfId="0" applyNumberFormat="1" applyFont="1" applyFill="1" applyBorder="1" applyAlignment="1">
      <alignment horizontal="right" vertical="center" shrinkToFit="1"/>
    </xf>
    <xf numFmtId="179" fontId="2" fillId="8" borderId="26" xfId="453" applyNumberFormat="1" applyFont="1" applyFill="1" applyBorder="1" applyAlignment="1">
      <alignment horizontal="right" vertical="center" shrinkToFit="1"/>
    </xf>
    <xf numFmtId="186" fontId="2" fillId="8" borderId="26" xfId="453" applyNumberFormat="1" applyFont="1" applyFill="1" applyBorder="1" applyAlignment="1">
      <alignment horizontal="right" vertical="center" shrinkToFit="1"/>
    </xf>
    <xf numFmtId="179" fontId="2" fillId="8" borderId="25" xfId="453" applyNumberFormat="1" applyFont="1" applyFill="1" applyBorder="1" applyAlignment="1">
      <alignment horizontal="right" vertical="center" shrinkToFi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distributed" vertical="center" wrapText="1"/>
    </xf>
    <xf numFmtId="0" fontId="2" fillId="8" borderId="48" xfId="0" applyNumberFormat="1" applyFont="1" applyFill="1" applyBorder="1" applyAlignment="1">
      <alignment horizontal="center" vertical="center" wrapText="1"/>
    </xf>
    <xf numFmtId="179" fontId="2" fillId="8" borderId="14" xfId="0" applyNumberFormat="1" applyFont="1" applyFill="1" applyBorder="1" applyAlignment="1">
      <alignment horizontal="right" vertical="center" shrinkToFit="1"/>
    </xf>
    <xf numFmtId="179" fontId="2" fillId="8" borderId="48" xfId="0" applyNumberFormat="1" applyFont="1" applyFill="1" applyBorder="1" applyAlignment="1">
      <alignment horizontal="right" vertical="center" shrinkToFit="1"/>
    </xf>
    <xf numFmtId="186" fontId="2" fillId="8" borderId="48" xfId="453" applyNumberFormat="1" applyFont="1" applyFill="1" applyBorder="1" applyAlignment="1">
      <alignment horizontal="center" vertical="center" shrinkToFit="1"/>
    </xf>
    <xf numFmtId="179" fontId="2" fillId="8" borderId="14" xfId="453" applyNumberFormat="1" applyFont="1" applyFill="1" applyBorder="1" applyAlignment="1">
      <alignment horizontal="right" vertical="center" shrinkToFit="1"/>
    </xf>
    <xf numFmtId="0" fontId="2" fillId="8" borderId="2" xfId="0" applyNumberFormat="1" applyFont="1" applyFill="1" applyBorder="1" applyAlignment="1">
      <alignment horizontal="center" vertical="center" wrapText="1"/>
    </xf>
    <xf numFmtId="0" fontId="2" fillId="8" borderId="19" xfId="0" applyNumberFormat="1" applyFont="1" applyFill="1" applyBorder="1" applyAlignment="1">
      <alignment horizontal="center" vertical="center" wrapText="1"/>
    </xf>
    <xf numFmtId="0" fontId="2" fillId="8" borderId="24" xfId="0" applyNumberFormat="1" applyFont="1" applyFill="1" applyBorder="1" applyAlignment="1">
      <alignment horizontal="center" vertical="center" wrapText="1"/>
    </xf>
    <xf numFmtId="179" fontId="2" fillId="8" borderId="3" xfId="0" applyNumberFormat="1" applyFont="1" applyFill="1" applyBorder="1" applyAlignment="1">
      <alignment horizontal="right" vertical="center" shrinkToFit="1"/>
    </xf>
    <xf numFmtId="179" fontId="2" fillId="8" borderId="3" xfId="453" applyNumberFormat="1" applyFont="1" applyFill="1" applyBorder="1" applyAlignment="1">
      <alignment horizontal="right" vertical="center" shrinkToFit="1"/>
    </xf>
    <xf numFmtId="179" fontId="2" fillId="8" borderId="24" xfId="453" applyNumberFormat="1" applyFont="1" applyFill="1" applyBorder="1" applyAlignment="1">
      <alignment horizontal="right" vertical="center" shrinkToFit="1"/>
    </xf>
    <xf numFmtId="0" fontId="2" fillId="8" borderId="3" xfId="0" applyNumberFormat="1" applyFont="1" applyFill="1" applyBorder="1" applyAlignment="1">
      <alignment horizontal="left" vertical="center"/>
    </xf>
    <xf numFmtId="0" fontId="2" fillId="8" borderId="0" xfId="837" quotePrefix="1" applyNumberFormat="1" applyFont="1" applyFill="1" applyBorder="1" applyAlignment="1">
      <alignment horizontal="left" vertical="center"/>
    </xf>
    <xf numFmtId="0" fontId="2" fillId="8" borderId="0" xfId="837" applyNumberFormat="1" applyFont="1" applyFill="1" applyAlignment="1">
      <alignment vertical="center"/>
    </xf>
    <xf numFmtId="0" fontId="2" fillId="8" borderId="0" xfId="453" quotePrefix="1" applyNumberFormat="1" applyFont="1" applyFill="1" applyBorder="1" applyAlignment="1">
      <alignment horizontal="left" vertical="center"/>
    </xf>
    <xf numFmtId="0" fontId="2" fillId="8" borderId="0" xfId="453" applyNumberFormat="1" applyFont="1" applyFill="1" applyBorder="1" applyAlignment="1">
      <alignment horizontal="left" vertical="center"/>
    </xf>
    <xf numFmtId="0" fontId="2" fillId="8" borderId="0" xfId="837" quotePrefix="1" applyNumberFormat="1" applyFont="1" applyFill="1" applyAlignment="1">
      <alignment horizontal="left" vertical="center"/>
    </xf>
    <xf numFmtId="0" fontId="2" fillId="8" borderId="0" xfId="837" applyNumberFormat="1" applyFont="1" applyFill="1" applyBorder="1" applyAlignment="1">
      <alignment horizontal="left" vertical="center"/>
    </xf>
    <xf numFmtId="0" fontId="2" fillId="8" borderId="0" xfId="837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vertical="center"/>
    </xf>
    <xf numFmtId="186" fontId="2" fillId="8" borderId="48" xfId="453" applyNumberFormat="1" applyFont="1" applyFill="1" applyBorder="1" applyAlignment="1">
      <alignment horizontal="right" vertical="center" shrinkToFit="1"/>
    </xf>
    <xf numFmtId="0" fontId="2" fillId="8" borderId="0" xfId="0" applyNumberFormat="1" applyFont="1" applyFill="1" applyAlignment="1">
      <alignment horizontal="centerContinuous" vertical="center"/>
    </xf>
    <xf numFmtId="0" fontId="2" fillId="8" borderId="15" xfId="823" applyNumberFormat="1" applyFont="1" applyFill="1" applyBorder="1" applyAlignment="1">
      <alignment horizontal="center" shrinkToFit="1"/>
    </xf>
    <xf numFmtId="0" fontId="2" fillId="8" borderId="25" xfId="823" applyNumberFormat="1" applyFont="1" applyFill="1" applyBorder="1" applyAlignment="1">
      <alignment horizontal="center" vertical="top" shrinkToFit="1"/>
    </xf>
    <xf numFmtId="0" fontId="2" fillId="8" borderId="19" xfId="832" applyNumberFormat="1" applyFont="1" applyFill="1" applyBorder="1" applyAlignment="1">
      <alignment horizontal="distributed" vertical="center"/>
    </xf>
    <xf numFmtId="179" fontId="2" fillId="8" borderId="3" xfId="806" applyNumberFormat="1" applyFont="1" applyFill="1" applyBorder="1" applyAlignment="1">
      <alignment horizontal="right" vertical="center"/>
    </xf>
    <xf numFmtId="0" fontId="2" fillId="8" borderId="28" xfId="806" applyNumberFormat="1" applyFont="1" applyFill="1" applyBorder="1" applyAlignment="1">
      <alignment horizontal="center" vertical="center"/>
    </xf>
    <xf numFmtId="0" fontId="2" fillId="8" borderId="26" xfId="806" applyNumberFormat="1" applyFont="1" applyFill="1" applyBorder="1" applyAlignment="1">
      <alignment horizontal="center" vertical="center"/>
    </xf>
    <xf numFmtId="0" fontId="2" fillId="8" borderId="48" xfId="806" applyNumberFormat="1" applyFont="1" applyFill="1" applyBorder="1" applyAlignment="1">
      <alignment horizontal="center" vertical="center"/>
    </xf>
    <xf numFmtId="0" fontId="2" fillId="8" borderId="19" xfId="832" applyNumberFormat="1" applyFont="1" applyFill="1" applyBorder="1" applyAlignment="1">
      <alignment horizontal="center" vertical="center"/>
    </xf>
    <xf numFmtId="0" fontId="2" fillId="8" borderId="2" xfId="806" applyNumberFormat="1" applyFont="1" applyFill="1" applyBorder="1" applyAlignment="1">
      <alignment horizontal="centerContinuous" vertical="center"/>
    </xf>
    <xf numFmtId="0" fontId="2" fillId="8" borderId="24" xfId="806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Continuous" vertical="center"/>
    </xf>
    <xf numFmtId="0" fontId="2" fillId="8" borderId="27" xfId="0" applyNumberFormat="1" applyFont="1" applyFill="1" applyBorder="1" applyAlignment="1">
      <alignment horizontal="centerContinuous" vertical="center"/>
    </xf>
    <xf numFmtId="0" fontId="2" fillId="8" borderId="29" xfId="0" applyNumberFormat="1" applyFont="1" applyFill="1" applyBorder="1" applyAlignment="1">
      <alignment horizontal="centerContinuous" vertical="center" wrapText="1"/>
    </xf>
    <xf numFmtId="0" fontId="2" fillId="8" borderId="27" xfId="0" applyNumberFormat="1" applyFont="1" applyFill="1" applyBorder="1" applyAlignment="1">
      <alignment horizontal="centerContinuous" vertical="center" wrapText="1"/>
    </xf>
    <xf numFmtId="0" fontId="2" fillId="8" borderId="28" xfId="0" applyNumberFormat="1" applyFont="1" applyFill="1" applyBorder="1" applyAlignment="1">
      <alignment horizontal="centerContinuous" vertical="center" wrapText="1"/>
    </xf>
    <xf numFmtId="0" fontId="2" fillId="8" borderId="29" xfId="453" quotePrefix="1" applyNumberFormat="1" applyFont="1" applyFill="1" applyBorder="1" applyAlignment="1">
      <alignment horizontal="right" vertical="center"/>
    </xf>
    <xf numFmtId="0" fontId="2" fillId="8" borderId="27" xfId="453" applyNumberFormat="1" applyFont="1" applyFill="1" applyBorder="1" applyAlignment="1">
      <alignment horizontal="left" vertical="center"/>
    </xf>
    <xf numFmtId="0" fontId="2" fillId="8" borderId="29" xfId="453" applyNumberFormat="1" applyFont="1" applyFill="1" applyBorder="1" applyAlignment="1">
      <alignment horizontal="center" vertical="center"/>
    </xf>
    <xf numFmtId="0" fontId="2" fillId="8" borderId="27" xfId="453" applyNumberFormat="1" applyFont="1" applyFill="1" applyBorder="1" applyAlignment="1">
      <alignment horizontal="distributed" vertical="center"/>
    </xf>
    <xf numFmtId="0" fontId="2" fillId="8" borderId="28" xfId="0" applyNumberFormat="1" applyFont="1" applyFill="1" applyBorder="1" applyAlignment="1">
      <alignment horizontal="left" vertical="center"/>
    </xf>
    <xf numFmtId="0" fontId="2" fillId="8" borderId="27" xfId="0" applyNumberFormat="1" applyFont="1" applyFill="1" applyBorder="1" applyAlignment="1">
      <alignment horizontal="left" vertical="center"/>
    </xf>
    <xf numFmtId="0" fontId="2" fillId="8" borderId="4" xfId="453" applyNumberFormat="1" applyFont="1" applyFill="1" applyBorder="1" applyAlignment="1">
      <alignment horizontal="right" vertical="center"/>
    </xf>
    <xf numFmtId="0" fontId="2" fillId="8" borderId="0" xfId="453" applyNumberFormat="1" applyFont="1" applyFill="1" applyBorder="1" applyAlignment="1">
      <alignment horizontal="distributed" vertical="center" shrinkToFit="1"/>
    </xf>
    <xf numFmtId="0" fontId="2" fillId="8" borderId="0" xfId="453" applyNumberFormat="1" applyFont="1" applyFill="1" applyBorder="1" applyAlignment="1">
      <alignment horizontal="distributed" vertical="center"/>
    </xf>
    <xf numFmtId="0" fontId="2" fillId="8" borderId="30" xfId="453" applyNumberFormat="1" applyFont="1" applyFill="1" applyBorder="1" applyAlignment="1">
      <alignment horizontal="distributed" vertical="center"/>
    </xf>
    <xf numFmtId="0" fontId="2" fillId="8" borderId="4" xfId="453" quotePrefix="1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horizontal="centerContinuous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2" fillId="8" borderId="0" xfId="836" applyFont="1" applyFill="1" applyAlignment="1">
      <alignment vertical="center"/>
    </xf>
    <xf numFmtId="231" fontId="2" fillId="8" borderId="0" xfId="834" applyNumberFormat="1" applyFont="1" applyFill="1" applyAlignment="1">
      <alignment vertical="center"/>
    </xf>
    <xf numFmtId="0" fontId="23" fillId="8" borderId="0" xfId="836" applyFont="1" applyFill="1" applyAlignment="1">
      <alignment horizontal="centerContinuous" vertical="center"/>
    </xf>
    <xf numFmtId="231" fontId="3" fillId="8" borderId="0" xfId="834" applyNumberFormat="1" applyFont="1" applyFill="1" applyAlignment="1">
      <alignment horizontal="centerContinuous" vertical="center"/>
    </xf>
    <xf numFmtId="231" fontId="3" fillId="8" borderId="0" xfId="834" applyNumberFormat="1" applyFont="1" applyFill="1" applyAlignment="1">
      <alignment horizontal="center" vertical="center"/>
    </xf>
    <xf numFmtId="231" fontId="3" fillId="8" borderId="0" xfId="834" applyNumberFormat="1" applyFont="1" applyFill="1" applyAlignment="1">
      <alignment vertical="center"/>
    </xf>
    <xf numFmtId="231" fontId="2" fillId="8" borderId="3" xfId="834" applyNumberFormat="1" applyFont="1" applyFill="1" applyBorder="1" applyAlignment="1">
      <alignment horizontal="centerContinuous" vertical="center"/>
    </xf>
    <xf numFmtId="231" fontId="2" fillId="8" borderId="14" xfId="834" applyNumberFormat="1" applyFont="1" applyFill="1" applyBorder="1" applyAlignment="1">
      <alignment horizontal="center" vertical="center"/>
    </xf>
    <xf numFmtId="231" fontId="2" fillId="8" borderId="3" xfId="834" applyNumberFormat="1" applyFont="1" applyFill="1" applyBorder="1" applyAlignment="1">
      <alignment horizontal="center" vertical="center" wrapText="1"/>
    </xf>
    <xf numFmtId="231" fontId="2" fillId="8" borderId="3" xfId="834" applyNumberFormat="1" applyFont="1" applyFill="1" applyBorder="1" applyAlignment="1">
      <alignment horizontal="center" vertical="center"/>
    </xf>
    <xf numFmtId="231" fontId="2" fillId="8" borderId="3" xfId="454" applyNumberFormat="1" applyFont="1" applyFill="1" applyBorder="1" applyAlignment="1">
      <alignment horizontal="center" vertical="center"/>
    </xf>
    <xf numFmtId="0" fontId="2" fillId="8" borderId="3" xfId="454" applyNumberFormat="1" applyFont="1" applyFill="1" applyBorder="1" applyAlignment="1">
      <alignment horizontal="center" vertical="center"/>
    </xf>
    <xf numFmtId="232" fontId="2" fillId="8" borderId="0" xfId="834" applyNumberFormat="1" applyFont="1" applyFill="1" applyAlignment="1">
      <alignment vertical="center"/>
    </xf>
    <xf numFmtId="41" fontId="2" fillId="8" borderId="0" xfId="453" applyFont="1" applyFill="1" applyAlignment="1">
      <alignment horizontal="left" vertical="center"/>
    </xf>
    <xf numFmtId="0" fontId="2" fillId="8" borderId="0" xfId="0" applyFont="1" applyFill="1" applyBorder="1" applyAlignment="1">
      <alignment horizontal="centerContinuous" vertical="center"/>
    </xf>
    <xf numFmtId="0" fontId="2" fillId="8" borderId="0" xfId="0" applyFont="1" applyFill="1" applyAlignment="1">
      <alignment horizontal="centerContinuous" vertical="center"/>
    </xf>
    <xf numFmtId="41" fontId="2" fillId="8" borderId="3" xfId="453" applyFont="1" applyFill="1" applyBorder="1" applyAlignment="1">
      <alignment horizontal="left" vertical="center" wrapText="1"/>
    </xf>
    <xf numFmtId="41" fontId="1" fillId="8" borderId="3" xfId="453" applyFont="1" applyFill="1" applyBorder="1" applyAlignment="1">
      <alignment horizontal="left" vertical="center" wrapText="1"/>
    </xf>
    <xf numFmtId="0" fontId="2" fillId="8" borderId="2" xfId="453" applyNumberFormat="1" applyFont="1" applyFill="1" applyBorder="1" applyAlignment="1">
      <alignment horizontal="left" vertical="center"/>
    </xf>
    <xf numFmtId="0" fontId="2" fillId="8" borderId="19" xfId="453" applyNumberFormat="1" applyFont="1" applyFill="1" applyBorder="1" applyAlignment="1">
      <alignment horizontal="distributed" vertical="center"/>
    </xf>
    <xf numFmtId="41" fontId="2" fillId="8" borderId="24" xfId="453" applyFont="1" applyFill="1" applyBorder="1" applyAlignment="1">
      <alignment horizontal="left" vertical="center"/>
    </xf>
    <xf numFmtId="41" fontId="2" fillId="8" borderId="3" xfId="453" applyFont="1" applyFill="1" applyBorder="1" applyAlignment="1">
      <alignment horizontal="left" vertical="center" wrapText="1" shrinkToFit="1"/>
    </xf>
    <xf numFmtId="0" fontId="1" fillId="8" borderId="0" xfId="821" applyNumberFormat="1" applyFont="1" applyFill="1" applyAlignment="1">
      <alignment vertical="center"/>
    </xf>
    <xf numFmtId="0" fontId="1" fillId="8" borderId="0" xfId="821" applyNumberFormat="1" applyFont="1" applyFill="1" applyBorder="1" applyAlignment="1">
      <alignment vertical="center"/>
    </xf>
    <xf numFmtId="0" fontId="3" fillId="8" borderId="0" xfId="820" applyNumberFormat="1" applyFont="1" applyFill="1" applyAlignment="1">
      <alignment horizontal="centerContinuous" vertical="center"/>
    </xf>
    <xf numFmtId="0" fontId="1" fillId="8" borderId="0" xfId="820" applyNumberFormat="1" applyFont="1" applyFill="1" applyBorder="1" applyAlignment="1">
      <alignment horizontal="centerContinuous" vertical="center"/>
    </xf>
    <xf numFmtId="0" fontId="1" fillId="8" borderId="0" xfId="820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" vertical="center"/>
    </xf>
    <xf numFmtId="0" fontId="1" fillId="8" borderId="0" xfId="453" quotePrefix="1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Continuous" vertical="center"/>
    </xf>
    <xf numFmtId="0" fontId="1" fillId="8" borderId="0" xfId="820" applyNumberFormat="1" applyFont="1" applyFill="1" applyAlignment="1">
      <alignment horizontal="left" vertical="center"/>
    </xf>
    <xf numFmtId="0" fontId="1" fillId="8" borderId="0" xfId="820" applyNumberFormat="1" applyFont="1" applyFill="1" applyBorder="1" applyAlignment="1">
      <alignment horizontal="left" vertical="center"/>
    </xf>
    <xf numFmtId="0" fontId="1" fillId="8" borderId="0" xfId="453" applyNumberFormat="1" applyFont="1" applyFill="1" applyBorder="1" applyAlignment="1">
      <alignment horizontal="left" vertical="center"/>
    </xf>
    <xf numFmtId="0" fontId="1" fillId="8" borderId="0" xfId="453" applyNumberFormat="1" applyFont="1" applyFill="1" applyAlignment="1">
      <alignment horizontal="right" vertical="center"/>
    </xf>
    <xf numFmtId="0" fontId="1" fillId="8" borderId="2" xfId="820" applyNumberFormat="1" applyFont="1" applyFill="1" applyBorder="1" applyAlignment="1">
      <alignment vertical="center"/>
    </xf>
    <xf numFmtId="0" fontId="1" fillId="8" borderId="19" xfId="820" applyNumberFormat="1" applyFont="1" applyFill="1" applyBorder="1" applyAlignment="1">
      <alignment horizontal="centerContinuous" vertical="center"/>
    </xf>
    <xf numFmtId="0" fontId="1" fillId="8" borderId="19" xfId="820" applyNumberFormat="1" applyFont="1" applyFill="1" applyBorder="1" applyAlignment="1">
      <alignment horizontal="center" vertical="center"/>
    </xf>
    <xf numFmtId="0" fontId="1" fillId="8" borderId="2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 wrapText="1"/>
    </xf>
    <xf numFmtId="0" fontId="1" fillId="8" borderId="19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/>
    </xf>
    <xf numFmtId="0" fontId="1" fillId="8" borderId="4" xfId="820" applyNumberFormat="1" applyFont="1" applyFill="1" applyBorder="1" applyAlignment="1">
      <alignment vertical="center"/>
    </xf>
    <xf numFmtId="0" fontId="1" fillId="8" borderId="0" xfId="820" applyNumberFormat="1" applyFont="1" applyFill="1" applyBorder="1" applyAlignment="1">
      <alignment horizontal="center" vertical="center"/>
    </xf>
    <xf numFmtId="0" fontId="1" fillId="8" borderId="4" xfId="453" applyNumberFormat="1" applyFont="1" applyFill="1" applyBorder="1" applyAlignment="1">
      <alignment horizontal="centerContinuous" vertical="center"/>
    </xf>
    <xf numFmtId="0" fontId="1" fillId="8" borderId="25" xfId="453" applyNumberFormat="1" applyFont="1" applyFill="1" applyBorder="1" applyAlignment="1">
      <alignment horizontal="centerContinuous" vertical="center"/>
    </xf>
    <xf numFmtId="0" fontId="1" fillId="8" borderId="25" xfId="453" applyNumberFormat="1" applyFont="1" applyFill="1" applyBorder="1" applyAlignment="1">
      <alignment horizontal="center" vertical="center"/>
    </xf>
    <xf numFmtId="0" fontId="1" fillId="8" borderId="4" xfId="820" applyNumberFormat="1" applyFont="1" applyFill="1" applyBorder="1" applyAlignment="1">
      <alignment vertical="center" wrapText="1"/>
    </xf>
    <xf numFmtId="0" fontId="1" fillId="8" borderId="0" xfId="820" applyNumberFormat="1" applyFont="1" applyFill="1" applyBorder="1" applyAlignment="1">
      <alignment horizontal="distributed" vertical="center" wrapText="1"/>
    </xf>
    <xf numFmtId="179" fontId="1" fillId="8" borderId="4" xfId="453" applyNumberFormat="1" applyFont="1" applyFill="1" applyBorder="1" applyAlignment="1">
      <alignment horizontal="center" vertical="center"/>
    </xf>
    <xf numFmtId="179" fontId="1" fillId="8" borderId="25" xfId="453" applyNumberFormat="1" applyFont="1" applyFill="1" applyBorder="1" applyAlignment="1">
      <alignment horizontal="center" vertical="center"/>
    </xf>
    <xf numFmtId="179" fontId="1" fillId="8" borderId="0" xfId="453" applyNumberFormat="1" applyFont="1" applyFill="1" applyBorder="1" applyAlignment="1">
      <alignment horizontal="center" vertical="center"/>
    </xf>
    <xf numFmtId="0" fontId="1" fillId="8" borderId="5" xfId="820" applyNumberFormat="1" applyFont="1" applyFill="1" applyBorder="1" applyAlignment="1">
      <alignment vertical="center" wrapText="1"/>
    </xf>
    <xf numFmtId="0" fontId="1" fillId="8" borderId="30" xfId="820" applyNumberFormat="1" applyFont="1" applyFill="1" applyBorder="1" applyAlignment="1">
      <alignment horizontal="distributed" vertical="center" wrapText="1"/>
    </xf>
    <xf numFmtId="186" fontId="1" fillId="8" borderId="5" xfId="453" applyNumberFormat="1" applyFont="1" applyFill="1" applyBorder="1" applyAlignment="1">
      <alignment horizontal="right" vertical="center"/>
    </xf>
    <xf numFmtId="186" fontId="1" fillId="8" borderId="14" xfId="453" applyNumberFormat="1" applyFont="1" applyFill="1" applyBorder="1" applyAlignment="1">
      <alignment horizontal="center" vertical="center"/>
    </xf>
    <xf numFmtId="179" fontId="1" fillId="8" borderId="30" xfId="453" applyNumberFormat="1" applyFont="1" applyFill="1" applyBorder="1" applyAlignment="1">
      <alignment horizontal="center" vertical="center"/>
    </xf>
    <xf numFmtId="0" fontId="1" fillId="8" borderId="14" xfId="453" applyNumberFormat="1" applyFont="1" applyFill="1" applyBorder="1" applyAlignment="1">
      <alignment horizontal="center" vertical="center"/>
    </xf>
    <xf numFmtId="0" fontId="1" fillId="8" borderId="19" xfId="820" applyNumberFormat="1" applyFont="1" applyFill="1" applyBorder="1" applyAlignment="1">
      <alignment horizontal="distributed" vertical="center"/>
    </xf>
    <xf numFmtId="179" fontId="1" fillId="8" borderId="2" xfId="453" applyNumberFormat="1" applyFont="1" applyFill="1" applyBorder="1" applyAlignment="1">
      <alignment horizontal="right" vertical="center"/>
    </xf>
    <xf numFmtId="179" fontId="1" fillId="8" borderId="3" xfId="453" applyNumberFormat="1" applyFont="1" applyFill="1" applyBorder="1" applyAlignment="1">
      <alignment horizontal="center" vertical="center"/>
    </xf>
    <xf numFmtId="179" fontId="1" fillId="8" borderId="19" xfId="453" applyNumberFormat="1" applyFont="1" applyFill="1" applyBorder="1" applyAlignment="1">
      <alignment horizontal="center" vertical="center"/>
    </xf>
    <xf numFmtId="0" fontId="1" fillId="8" borderId="3" xfId="453" applyNumberFormat="1" applyFont="1" applyFill="1" applyBorder="1" applyAlignment="1">
      <alignment horizontal="center" vertical="center"/>
    </xf>
    <xf numFmtId="0" fontId="1" fillId="8" borderId="0" xfId="837" applyNumberFormat="1" applyFont="1" applyFill="1" applyBorder="1" applyAlignment="1">
      <alignment horizontal="left" vertical="center"/>
    </xf>
    <xf numFmtId="0" fontId="1" fillId="8" borderId="0" xfId="837" quotePrefix="1" applyNumberFormat="1" applyFont="1" applyFill="1" applyBorder="1" applyAlignment="1">
      <alignment horizontal="left" vertical="center"/>
    </xf>
    <xf numFmtId="0" fontId="1" fillId="8" borderId="0" xfId="453" quotePrefix="1" applyNumberFormat="1" applyFont="1" applyFill="1" applyBorder="1" applyAlignment="1">
      <alignment horizontal="left" vertical="center"/>
    </xf>
    <xf numFmtId="186" fontId="1" fillId="8" borderId="25" xfId="453" applyNumberFormat="1" applyFont="1" applyFill="1" applyBorder="1" applyAlignment="1">
      <alignment horizontal="center" vertical="center"/>
    </xf>
    <xf numFmtId="186" fontId="1" fillId="8" borderId="0" xfId="453" applyNumberFormat="1" applyFont="1" applyFill="1" applyBorder="1" applyAlignment="1">
      <alignment horizontal="center" vertical="center"/>
    </xf>
    <xf numFmtId="41" fontId="1" fillId="8" borderId="25" xfId="453" applyFont="1" applyFill="1" applyBorder="1" applyAlignment="1">
      <alignment horizontal="left" vertical="center"/>
    </xf>
    <xf numFmtId="0" fontId="1" fillId="8" borderId="3" xfId="821" applyNumberFormat="1" applyFont="1" applyFill="1" applyBorder="1" applyAlignment="1">
      <alignment horizontal="center" vertical="center"/>
    </xf>
    <xf numFmtId="41" fontId="1" fillId="8" borderId="3" xfId="453" applyFont="1" applyFill="1" applyBorder="1" applyAlignment="1">
      <alignment horizontal="center" vertical="center"/>
    </xf>
    <xf numFmtId="41" fontId="1" fillId="8" borderId="3" xfId="821" applyNumberFormat="1" applyFont="1" applyFill="1" applyBorder="1" applyAlignment="1">
      <alignment horizontal="center" vertical="center"/>
    </xf>
    <xf numFmtId="186" fontId="1" fillId="8" borderId="30" xfId="453" applyNumberFormat="1" applyFont="1" applyFill="1" applyBorder="1" applyAlignment="1">
      <alignment horizontal="center" vertical="center"/>
    </xf>
    <xf numFmtId="186" fontId="1" fillId="8" borderId="19" xfId="453" applyNumberFormat="1" applyFont="1" applyFill="1" applyBorder="1" applyAlignment="1">
      <alignment horizontal="center" vertical="center"/>
    </xf>
    <xf numFmtId="0" fontId="3" fillId="8" borderId="0" xfId="453" applyNumberFormat="1" applyFont="1" applyFill="1" applyAlignment="1">
      <alignment horizontal="center" vertical="center"/>
    </xf>
    <xf numFmtId="0" fontId="2" fillId="8" borderId="48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vertical="center"/>
    </xf>
    <xf numFmtId="0" fontId="2" fillId="8" borderId="26" xfId="0" applyNumberFormat="1" applyFont="1" applyFill="1" applyBorder="1" applyAlignment="1">
      <alignment vertical="center"/>
    </xf>
    <xf numFmtId="0" fontId="2" fillId="8" borderId="25" xfId="0" applyNumberFormat="1" applyFont="1" applyFill="1" applyBorder="1" applyAlignment="1">
      <alignment vertical="center"/>
    </xf>
    <xf numFmtId="0" fontId="2" fillId="8" borderId="4" xfId="453" applyNumberFormat="1" applyFont="1" applyFill="1" applyBorder="1" applyAlignment="1">
      <alignment horizontal="left" vertical="center"/>
    </xf>
    <xf numFmtId="0" fontId="2" fillId="8" borderId="0" xfId="0" applyNumberFormat="1" applyFont="1" applyFill="1" applyBorder="1" applyAlignment="1">
      <alignment horizontal="distributed" vertical="center" shrinkToFit="1"/>
    </xf>
    <xf numFmtId="179" fontId="2" fillId="8" borderId="25" xfId="453" applyNumberFormat="1" applyFont="1" applyFill="1" applyBorder="1" applyAlignment="1">
      <alignment horizontal="center" vertical="center"/>
    </xf>
    <xf numFmtId="0" fontId="2" fillId="8" borderId="5" xfId="453" applyNumberFormat="1" applyFont="1" applyFill="1" applyBorder="1" applyAlignment="1">
      <alignment horizontal="left" vertical="center"/>
    </xf>
    <xf numFmtId="179" fontId="2" fillId="8" borderId="14" xfId="453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left" vertical="center"/>
    </xf>
    <xf numFmtId="0" fontId="3" fillId="8" borderId="0" xfId="453" quotePrefix="1" applyNumberFormat="1" applyFont="1" applyFill="1" applyBorder="1" applyAlignment="1">
      <alignment horizontal="centerContinuous" vertical="center"/>
    </xf>
    <xf numFmtId="0" fontId="3" fillId="8" borderId="0" xfId="0" applyNumberFormat="1" applyFont="1" applyFill="1" applyAlignment="1">
      <alignment horizontal="left" vertical="center"/>
    </xf>
    <xf numFmtId="179" fontId="2" fillId="8" borderId="2" xfId="453" applyNumberFormat="1" applyFont="1" applyFill="1" applyBorder="1" applyAlignment="1">
      <alignment horizontal="right" vertical="center"/>
    </xf>
    <xf numFmtId="179" fontId="2" fillId="8" borderId="24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horizontal="left" vertical="center"/>
    </xf>
    <xf numFmtId="0" fontId="1" fillId="8" borderId="24" xfId="453" applyNumberFormat="1" applyFont="1" applyFill="1" applyBorder="1" applyAlignment="1">
      <alignment horizontal="left" vertical="center"/>
    </xf>
    <xf numFmtId="183" fontId="1" fillId="8" borderId="2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vertical="center"/>
    </xf>
    <xf numFmtId="0" fontId="2" fillId="8" borderId="2" xfId="453" applyNumberFormat="1" applyFont="1" applyFill="1" applyBorder="1" applyAlignment="1">
      <alignment vertical="center"/>
    </xf>
    <xf numFmtId="186" fontId="2" fillId="8" borderId="0" xfId="0" applyNumberFormat="1" applyFont="1" applyFill="1" applyAlignment="1">
      <alignment horizontal="right" vertical="center"/>
    </xf>
    <xf numFmtId="183" fontId="2" fillId="8" borderId="2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vertical="center" wrapText="1"/>
    </xf>
    <xf numFmtId="0" fontId="2" fillId="8" borderId="2" xfId="453" applyNumberFormat="1" applyFont="1" applyFill="1" applyBorder="1" applyAlignment="1">
      <alignment vertical="center" wrapText="1"/>
    </xf>
    <xf numFmtId="0" fontId="2" fillId="8" borderId="19" xfId="453" applyNumberFormat="1" applyFont="1" applyFill="1" applyBorder="1" applyAlignment="1">
      <alignment horizontal="center" vertical="center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2" fillId="8" borderId="0" xfId="837" applyNumberFormat="1" applyFont="1" applyFill="1" applyBorder="1" applyAlignment="1">
      <alignment vertical="center"/>
    </xf>
    <xf numFmtId="183" fontId="2" fillId="8" borderId="24" xfId="453" applyNumberFormat="1" applyFont="1" applyFill="1" applyBorder="1" applyAlignment="1">
      <alignment horizontal="right" vertical="center"/>
    </xf>
    <xf numFmtId="183" fontId="2" fillId="8" borderId="19" xfId="453" applyNumberFormat="1" applyFont="1" applyFill="1" applyBorder="1" applyAlignment="1">
      <alignment horizontal="right" vertical="center"/>
    </xf>
    <xf numFmtId="0" fontId="2" fillId="8" borderId="3" xfId="0" applyNumberFormat="1" applyFont="1" applyFill="1" applyBorder="1" applyAlignment="1">
      <alignment horizontal="center" vertical="center" wrapText="1"/>
    </xf>
    <xf numFmtId="41" fontId="2" fillId="8" borderId="0" xfId="453" applyFont="1" applyFill="1" applyAlignment="1">
      <alignment horizontal="center" vertical="center"/>
    </xf>
    <xf numFmtId="179" fontId="2" fillId="8" borderId="0" xfId="0" applyNumberFormat="1" applyFont="1" applyFill="1" applyAlignment="1">
      <alignment horizontal="center" vertical="center"/>
    </xf>
    <xf numFmtId="0" fontId="2" fillId="8" borderId="0" xfId="453" applyNumberFormat="1" applyFont="1" applyFill="1" applyAlignment="1">
      <alignment horizontal="centerContinuous" vertical="center"/>
    </xf>
    <xf numFmtId="0" fontId="2" fillId="8" borderId="0" xfId="453" quotePrefix="1" applyNumberFormat="1" applyFont="1" applyFill="1" applyBorder="1" applyAlignment="1">
      <alignment horizontal="centerContinuous" vertical="center"/>
    </xf>
    <xf numFmtId="0" fontId="2" fillId="8" borderId="0" xfId="453" quotePrefix="1" applyNumberFormat="1" applyFont="1" applyFill="1" applyAlignment="1">
      <alignment horizontal="centerContinuous" vertical="center"/>
    </xf>
    <xf numFmtId="0" fontId="2" fillId="8" borderId="0" xfId="0" applyNumberFormat="1" applyFont="1" applyFill="1" applyAlignment="1">
      <alignment horizontal="right" vertical="center"/>
    </xf>
    <xf numFmtId="0" fontId="2" fillId="8" borderId="19" xfId="453" applyNumberFormat="1" applyFont="1" applyFill="1" applyBorder="1" applyAlignment="1">
      <alignment horizontal="right" vertical="center"/>
    </xf>
    <xf numFmtId="179" fontId="2" fillId="8" borderId="2" xfId="0" applyNumberFormat="1" applyFont="1" applyFill="1" applyBorder="1" applyAlignment="1">
      <alignment horizontal="right" vertical="center"/>
    </xf>
    <xf numFmtId="185" fontId="2" fillId="8" borderId="2" xfId="0" applyNumberFormat="1" applyFont="1" applyFill="1" applyBorder="1" applyAlignment="1">
      <alignment horizontal="right" vertical="center"/>
    </xf>
    <xf numFmtId="41" fontId="2" fillId="8" borderId="0" xfId="0" applyNumberFormat="1" applyFont="1" applyFill="1" applyAlignment="1">
      <alignment horizontal="center" vertical="center"/>
    </xf>
    <xf numFmtId="179" fontId="1" fillId="8" borderId="24" xfId="453" applyNumberFormat="1" applyFont="1" applyFill="1" applyBorder="1" applyAlignment="1">
      <alignment horizontal="right" vertical="center"/>
    </xf>
    <xf numFmtId="185" fontId="1" fillId="8" borderId="2" xfId="0" applyNumberFormat="1" applyFont="1" applyFill="1" applyBorder="1" applyAlignment="1">
      <alignment horizontal="right" vertical="center"/>
    </xf>
    <xf numFmtId="0" fontId="1" fillId="8" borderId="19" xfId="453" applyNumberFormat="1" applyFont="1" applyFill="1" applyBorder="1" applyAlignment="1">
      <alignment horizontal="right" vertical="center"/>
    </xf>
    <xf numFmtId="0" fontId="2" fillId="8" borderId="27" xfId="453" applyNumberFormat="1" applyFont="1" applyFill="1" applyBorder="1" applyAlignment="1">
      <alignment horizontal="center" vertical="center"/>
    </xf>
    <xf numFmtId="0" fontId="2" fillId="8" borderId="30" xfId="453" applyNumberFormat="1" applyFont="1" applyFill="1" applyBorder="1" applyAlignment="1">
      <alignment horizontal="center" vertical="center"/>
    </xf>
    <xf numFmtId="185" fontId="1" fillId="8" borderId="4" xfId="453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vertical="center"/>
    </xf>
    <xf numFmtId="0" fontId="2" fillId="3" borderId="2" xfId="453" applyNumberFormat="1" applyFont="1" applyFill="1" applyBorder="1" applyAlignment="1">
      <alignment horizontal="distributed" vertical="center"/>
    </xf>
    <xf numFmtId="0" fontId="2" fillId="3" borderId="19" xfId="453" applyNumberFormat="1" applyFont="1" applyFill="1" applyBorder="1" applyAlignment="1">
      <alignment horizontal="distributed" vertical="center" shrinkToFit="1"/>
    </xf>
    <xf numFmtId="0" fontId="2" fillId="3" borderId="24" xfId="453" applyNumberFormat="1" applyFont="1" applyFill="1" applyBorder="1" applyAlignment="1">
      <alignment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48" xfId="453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8" borderId="15" xfId="806" applyNumberFormat="1" applyFont="1" applyFill="1" applyBorder="1" applyAlignment="1">
      <alignment horizontal="center" vertical="center"/>
    </xf>
    <xf numFmtId="0" fontId="2" fillId="8" borderId="25" xfId="806" applyNumberFormat="1" applyFont="1" applyFill="1" applyBorder="1" applyAlignment="1">
      <alignment horizontal="center" vertical="center"/>
    </xf>
    <xf numFmtId="0" fontId="2" fillId="8" borderId="14" xfId="806" applyNumberFormat="1" applyFont="1" applyFill="1" applyBorder="1" applyAlignment="1">
      <alignment horizontal="center" vertical="center"/>
    </xf>
    <xf numFmtId="0" fontId="92" fillId="3" borderId="0" xfId="825" quotePrefix="1" applyNumberFormat="1" applyFont="1" applyFill="1" applyAlignment="1">
      <alignment horizontal="right" vertical="center"/>
    </xf>
    <xf numFmtId="176" fontId="2" fillId="8" borderId="0" xfId="454" applyNumberFormat="1" applyFont="1" applyFill="1" applyAlignment="1">
      <alignment horizontal="left" vertical="center"/>
    </xf>
    <xf numFmtId="179" fontId="2" fillId="8" borderId="24" xfId="453" applyNumberFormat="1" applyFont="1" applyFill="1" applyBorder="1" applyAlignment="1">
      <alignment horizontal="left" vertical="center"/>
    </xf>
    <xf numFmtId="41" fontId="2" fillId="8" borderId="3" xfId="453" applyFont="1" applyFill="1" applyBorder="1" applyAlignment="1">
      <alignment horizontal="left" vertical="center" wrapText="1"/>
    </xf>
    <xf numFmtId="41" fontId="2" fillId="8" borderId="3" xfId="453" applyFont="1" applyFill="1" applyBorder="1" applyAlignment="1">
      <alignment horizontal="left" vertical="center" wrapText="1"/>
    </xf>
    <xf numFmtId="0" fontId="2" fillId="3" borderId="0" xfId="453" applyNumberFormat="1" applyFont="1" applyFill="1" applyBorder="1" applyAlignment="1">
      <alignment horizontal="left" vertical="center" wrapText="1"/>
    </xf>
    <xf numFmtId="0" fontId="2" fillId="3" borderId="26" xfId="453" applyNumberFormat="1" applyFont="1" applyFill="1" applyBorder="1" applyAlignment="1">
      <alignment horizontal="left" vertical="center" wrapText="1"/>
    </xf>
    <xf numFmtId="0" fontId="0" fillId="3" borderId="3" xfId="453" applyNumberFormat="1" applyFont="1" applyFill="1" applyBorder="1" applyAlignment="1">
      <alignment horizontal="centerContinuous" vertical="center"/>
    </xf>
    <xf numFmtId="0" fontId="0" fillId="3" borderId="3" xfId="453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/>
    </xf>
    <xf numFmtId="0" fontId="94" fillId="3" borderId="3" xfId="0" applyNumberFormat="1" applyFont="1" applyFill="1" applyBorder="1" applyAlignment="1">
      <alignment vertical="center"/>
    </xf>
    <xf numFmtId="41" fontId="94" fillId="3" borderId="3" xfId="0" applyNumberFormat="1" applyFont="1" applyFill="1" applyBorder="1" applyAlignment="1">
      <alignment vertical="center"/>
    </xf>
    <xf numFmtId="233" fontId="94" fillId="3" borderId="3" xfId="0" applyNumberFormat="1" applyFont="1" applyFill="1" applyBorder="1" applyAlignment="1">
      <alignment vertical="center"/>
    </xf>
    <xf numFmtId="0" fontId="94" fillId="8" borderId="0" xfId="0" applyNumberFormat="1" applyFont="1" applyFill="1" applyBorder="1" applyAlignment="1">
      <alignment horizontal="distributed" vertical="center"/>
    </xf>
    <xf numFmtId="0" fontId="94" fillId="8" borderId="0" xfId="826" applyNumberFormat="1" applyFont="1" applyFill="1" applyBorder="1" applyAlignment="1">
      <alignment vertical="center"/>
    </xf>
    <xf numFmtId="0" fontId="94" fillId="8" borderId="4" xfId="826" applyNumberFormat="1" applyFont="1" applyFill="1" applyBorder="1" applyAlignment="1">
      <alignment vertical="center"/>
    </xf>
    <xf numFmtId="0" fontId="94" fillId="8" borderId="0" xfId="826" applyNumberFormat="1" applyFont="1" applyFill="1" applyBorder="1" applyAlignment="1">
      <alignment horizontal="distributed" vertical="center" shrinkToFit="1"/>
    </xf>
    <xf numFmtId="0" fontId="94" fillId="8" borderId="26" xfId="826" applyNumberFormat="1" applyFont="1" applyFill="1" applyBorder="1" applyAlignment="1">
      <alignment vertical="center"/>
    </xf>
    <xf numFmtId="179" fontId="94" fillId="8" borderId="4" xfId="453" applyNumberFormat="1" applyFont="1" applyFill="1" applyBorder="1" applyAlignment="1">
      <alignment horizontal="right" vertical="center"/>
    </xf>
    <xf numFmtId="179" fontId="94" fillId="8" borderId="26" xfId="453" applyNumberFormat="1" applyFont="1" applyFill="1" applyBorder="1" applyAlignment="1">
      <alignment horizontal="right" vertical="center"/>
    </xf>
    <xf numFmtId="185" fontId="94" fillId="8" borderId="0" xfId="826" applyNumberFormat="1" applyFont="1" applyFill="1" applyAlignment="1">
      <alignment horizontal="center" vertical="center"/>
    </xf>
    <xf numFmtId="179" fontId="94" fillId="8" borderId="25" xfId="453" applyNumberFormat="1" applyFont="1" applyFill="1" applyBorder="1" applyAlignment="1">
      <alignment horizontal="right" vertical="center"/>
    </xf>
    <xf numFmtId="0" fontId="94" fillId="8" borderId="19" xfId="0" applyNumberFormat="1" applyFont="1" applyFill="1" applyBorder="1" applyAlignment="1">
      <alignment horizontal="distributed" vertical="center"/>
    </xf>
    <xf numFmtId="179" fontId="94" fillId="8" borderId="0" xfId="826" applyNumberFormat="1" applyFont="1" applyFill="1" applyAlignment="1">
      <alignment horizontal="center" vertical="center"/>
    </xf>
    <xf numFmtId="0" fontId="94" fillId="8" borderId="26" xfId="453" applyNumberFormat="1" applyFont="1" applyFill="1" applyBorder="1" applyAlignment="1">
      <alignment horizontal="center" vertical="center"/>
    </xf>
    <xf numFmtId="186" fontId="94" fillId="8" borderId="25" xfId="453" applyNumberFormat="1" applyFont="1" applyFill="1" applyBorder="1" applyAlignment="1">
      <alignment horizontal="center" vertical="center"/>
    </xf>
    <xf numFmtId="0" fontId="94" fillId="8" borderId="26" xfId="453" applyNumberFormat="1" applyFont="1" applyFill="1" applyBorder="1" applyAlignment="1">
      <alignment horizontal="left" vertical="center"/>
    </xf>
    <xf numFmtId="0" fontId="94" fillId="8" borderId="26" xfId="0" applyNumberFormat="1" applyFont="1" applyFill="1" applyBorder="1" applyAlignment="1">
      <alignment horizontal="left" vertical="center"/>
    </xf>
    <xf numFmtId="179" fontId="94" fillId="8" borderId="25" xfId="0" applyNumberFormat="1" applyFont="1" applyFill="1" applyBorder="1" applyAlignment="1">
      <alignment horizontal="right" vertical="center" shrinkToFit="1"/>
    </xf>
    <xf numFmtId="179" fontId="94" fillId="8" borderId="26" xfId="453" applyNumberFormat="1" applyFont="1" applyFill="1" applyBorder="1" applyAlignment="1">
      <alignment horizontal="right" vertical="center" shrinkToFit="1"/>
    </xf>
    <xf numFmtId="186" fontId="94" fillId="8" borderId="26" xfId="453" applyNumberFormat="1" applyFont="1" applyFill="1" applyBorder="1" applyAlignment="1">
      <alignment horizontal="right" vertical="center" shrinkToFit="1"/>
    </xf>
    <xf numFmtId="179" fontId="94" fillId="8" borderId="3" xfId="453" applyNumberFormat="1" applyFont="1" applyFill="1" applyBorder="1" applyAlignment="1">
      <alignment horizontal="right" vertical="center"/>
    </xf>
    <xf numFmtId="179" fontId="94" fillId="8" borderId="2" xfId="453" applyNumberFormat="1" applyFont="1" applyFill="1" applyBorder="1" applyAlignment="1">
      <alignment horizontal="right" vertical="center"/>
    </xf>
    <xf numFmtId="0" fontId="3" fillId="8" borderId="0" xfId="0" applyNumberFormat="1" applyFont="1" applyFill="1" applyAlignment="1">
      <alignment horizontal="center" vertical="center"/>
    </xf>
    <xf numFmtId="179" fontId="87" fillId="0" borderId="30" xfId="822" applyNumberFormat="1" applyFont="1" applyFill="1" applyBorder="1" applyAlignment="1">
      <alignment horizontal="left" wrapText="1"/>
    </xf>
    <xf numFmtId="0" fontId="90" fillId="0" borderId="49" xfId="454" applyNumberFormat="1" applyFont="1" applyBorder="1" applyAlignment="1">
      <alignment horizontal="center" vertical="center" wrapText="1"/>
    </xf>
    <xf numFmtId="0" fontId="2" fillId="8" borderId="15" xfId="453" applyNumberFormat="1" applyFont="1" applyFill="1" applyBorder="1" applyAlignment="1">
      <alignment horizontal="center" vertical="center" shrinkToFit="1"/>
    </xf>
    <xf numFmtId="0" fontId="2" fillId="8" borderId="14" xfId="453" applyNumberFormat="1" applyFont="1" applyFill="1" applyBorder="1" applyAlignment="1">
      <alignment horizontal="center" vertical="center" shrinkToFit="1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 wrapText="1"/>
    </xf>
    <xf numFmtId="0" fontId="2" fillId="8" borderId="28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8" borderId="48" xfId="0" applyNumberFormat="1" applyFont="1" applyFill="1" applyBorder="1" applyAlignment="1">
      <alignment horizontal="center" vertical="center" wrapText="1"/>
    </xf>
    <xf numFmtId="0" fontId="2" fillId="8" borderId="15" xfId="0" applyNumberFormat="1" applyFont="1" applyFill="1" applyBorder="1" applyAlignment="1">
      <alignment horizontal="center" vertical="center" wrapText="1"/>
    </xf>
    <xf numFmtId="0" fontId="2" fillId="8" borderId="25" xfId="0" applyNumberFormat="1" applyFont="1" applyFill="1" applyBorder="1" applyAlignment="1">
      <alignment horizontal="center" vertical="center" wrapText="1"/>
    </xf>
    <xf numFmtId="0" fontId="2" fillId="8" borderId="14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0" fontId="1" fillId="8" borderId="25" xfId="0" applyNumberFormat="1" applyFont="1" applyFill="1" applyBorder="1" applyAlignment="1">
      <alignment horizontal="center" vertical="center" wrapText="1"/>
    </xf>
    <xf numFmtId="0" fontId="1" fillId="8" borderId="14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>
      <alignment horizontal="distributed" vertical="center"/>
    </xf>
    <xf numFmtId="0" fontId="2" fillId="8" borderId="19" xfId="0" applyNumberFormat="1" applyFont="1" applyFill="1" applyBorder="1" applyAlignment="1">
      <alignment horizontal="distributed" vertical="center"/>
    </xf>
    <xf numFmtId="179" fontId="8" fillId="8" borderId="0" xfId="0" applyNumberFormat="1" applyFont="1" applyFill="1" applyAlignment="1">
      <alignment horizontal="center" vertical="center"/>
    </xf>
    <xf numFmtId="0" fontId="2" fillId="8" borderId="29" xfId="453" applyNumberFormat="1" applyFont="1" applyFill="1" applyBorder="1" applyAlignment="1">
      <alignment horizontal="center" vertical="center"/>
    </xf>
    <xf numFmtId="0" fontId="2" fillId="8" borderId="28" xfId="453" applyNumberFormat="1" applyFont="1" applyFill="1" applyBorder="1" applyAlignment="1">
      <alignment horizontal="center" vertical="center"/>
    </xf>
    <xf numFmtId="0" fontId="2" fillId="8" borderId="5" xfId="453" applyNumberFormat="1" applyFont="1" applyFill="1" applyBorder="1" applyAlignment="1">
      <alignment horizontal="center" vertical="center"/>
    </xf>
    <xf numFmtId="0" fontId="2" fillId="8" borderId="48" xfId="453" applyNumberFormat="1" applyFont="1" applyFill="1" applyBorder="1" applyAlignment="1">
      <alignment horizontal="center" vertical="center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center" vertical="center" wrapText="1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28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8" borderId="48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15" xfId="453" applyNumberFormat="1" applyFont="1" applyFill="1" applyBorder="1" applyAlignment="1">
      <alignment horizontal="center" vertical="center" wrapText="1"/>
    </xf>
    <xf numFmtId="0" fontId="2" fillId="8" borderId="25" xfId="453" applyNumberFormat="1" applyFont="1" applyFill="1" applyBorder="1" applyAlignment="1">
      <alignment horizontal="center" vertical="center" wrapText="1"/>
    </xf>
    <xf numFmtId="0" fontId="2" fillId="8" borderId="19" xfId="453" applyNumberFormat="1" applyFont="1" applyFill="1" applyBorder="1" applyAlignment="1">
      <alignment horizontal="center" vertical="center"/>
    </xf>
    <xf numFmtId="231" fontId="2" fillId="8" borderId="29" xfId="834" applyNumberFormat="1" applyFont="1" applyFill="1" applyBorder="1" applyAlignment="1">
      <alignment horizontal="center" vertical="center"/>
    </xf>
    <xf numFmtId="231" fontId="2" fillId="8" borderId="5" xfId="834" applyNumberFormat="1" applyFont="1" applyFill="1" applyBorder="1" applyAlignment="1">
      <alignment horizontal="center" vertical="center"/>
    </xf>
    <xf numFmtId="231" fontId="2" fillId="8" borderId="15" xfId="834" applyNumberFormat="1" applyFont="1" applyFill="1" applyBorder="1" applyAlignment="1">
      <alignment horizontal="center" vertical="center"/>
    </xf>
    <xf numFmtId="231" fontId="2" fillId="8" borderId="14" xfId="834" applyNumberFormat="1" applyFont="1" applyFill="1" applyBorder="1" applyAlignment="1">
      <alignment horizontal="center" vertical="center"/>
    </xf>
    <xf numFmtId="0" fontId="2" fillId="8" borderId="29" xfId="833" applyNumberFormat="1" applyFont="1" applyFill="1" applyBorder="1" applyAlignment="1">
      <alignment horizontal="center" vertical="center"/>
    </xf>
    <xf numFmtId="0" fontId="2" fillId="8" borderId="27" xfId="833" applyNumberFormat="1" applyFont="1" applyFill="1" applyBorder="1" applyAlignment="1">
      <alignment horizontal="center" vertical="center"/>
    </xf>
    <xf numFmtId="0" fontId="2" fillId="8" borderId="28" xfId="833" applyNumberFormat="1" applyFont="1" applyFill="1" applyBorder="1" applyAlignment="1">
      <alignment horizontal="center" vertical="center"/>
    </xf>
    <xf numFmtId="0" fontId="2" fillId="8" borderId="5" xfId="833" applyNumberFormat="1" applyFont="1" applyFill="1" applyBorder="1" applyAlignment="1">
      <alignment horizontal="center" vertical="center"/>
    </xf>
    <xf numFmtId="0" fontId="2" fillId="8" borderId="30" xfId="833" applyNumberFormat="1" applyFont="1" applyFill="1" applyBorder="1" applyAlignment="1">
      <alignment horizontal="center" vertical="center"/>
    </xf>
    <xf numFmtId="0" fontId="2" fillId="8" borderId="48" xfId="833" applyNumberFormat="1" applyFont="1" applyFill="1" applyBorder="1" applyAlignment="1">
      <alignment horizontal="center" vertical="center"/>
    </xf>
    <xf numFmtId="0" fontId="2" fillId="8" borderId="2" xfId="806" applyNumberFormat="1" applyFont="1" applyFill="1" applyBorder="1" applyAlignment="1">
      <alignment horizontal="center" vertical="center"/>
    </xf>
    <xf numFmtId="0" fontId="0" fillId="8" borderId="1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2" fillId="8" borderId="15" xfId="823" applyNumberFormat="1" applyFont="1" applyFill="1" applyBorder="1" applyAlignment="1">
      <alignment horizontal="center" vertical="center"/>
    </xf>
    <xf numFmtId="0" fontId="2" fillId="8" borderId="14" xfId="823" applyNumberFormat="1" applyFont="1" applyFill="1" applyBorder="1" applyAlignment="1">
      <alignment horizontal="center" vertical="center"/>
    </xf>
    <xf numFmtId="0" fontId="2" fillId="8" borderId="15" xfId="806" applyNumberFormat="1" applyFont="1" applyFill="1" applyBorder="1" applyAlignment="1">
      <alignment horizontal="center" vertical="center" textRotation="255"/>
    </xf>
    <xf numFmtId="0" fontId="2" fillId="8" borderId="25" xfId="806" applyNumberFormat="1" applyFont="1" applyFill="1" applyBorder="1" applyAlignment="1">
      <alignment horizontal="center" vertical="center" textRotation="255"/>
    </xf>
    <xf numFmtId="0" fontId="2" fillId="8" borderId="14" xfId="806" applyNumberFormat="1" applyFont="1" applyFill="1" applyBorder="1" applyAlignment="1">
      <alignment horizontal="center" vertical="center" textRotation="255"/>
    </xf>
    <xf numFmtId="0" fontId="2" fillId="8" borderId="15" xfId="826" applyNumberFormat="1" applyFont="1" applyFill="1" applyBorder="1" applyAlignment="1">
      <alignment horizontal="center" vertical="center" wrapText="1"/>
    </xf>
    <xf numFmtId="0" fontId="2" fillId="8" borderId="14" xfId="826" applyNumberFormat="1" applyFont="1" applyFill="1" applyBorder="1" applyAlignment="1">
      <alignment horizontal="center" vertical="center" wrapText="1"/>
    </xf>
    <xf numFmtId="0" fontId="2" fillId="8" borderId="15" xfId="453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center" vertical="center"/>
    </xf>
    <xf numFmtId="0" fontId="2" fillId="8" borderId="15" xfId="454" applyNumberFormat="1" applyFont="1" applyFill="1" applyBorder="1" applyAlignment="1">
      <alignment horizontal="center" vertical="center" wrapText="1"/>
    </xf>
    <xf numFmtId="0" fontId="2" fillId="8" borderId="25" xfId="454" applyNumberFormat="1" applyFont="1" applyFill="1" applyBorder="1" applyAlignment="1">
      <alignment horizontal="center" vertical="center"/>
    </xf>
    <xf numFmtId="0" fontId="2" fillId="8" borderId="14" xfId="454" applyNumberFormat="1" applyFont="1" applyFill="1" applyBorder="1" applyAlignment="1">
      <alignment horizontal="center" vertical="center"/>
    </xf>
    <xf numFmtId="0" fontId="2" fillId="8" borderId="29" xfId="823" applyNumberFormat="1" applyFont="1" applyFill="1" applyBorder="1" applyAlignment="1">
      <alignment horizontal="center" vertical="center"/>
    </xf>
    <xf numFmtId="0" fontId="2" fillId="8" borderId="28" xfId="823" applyNumberFormat="1" applyFont="1" applyFill="1" applyBorder="1" applyAlignment="1">
      <alignment horizontal="center" vertical="center"/>
    </xf>
    <xf numFmtId="0" fontId="2" fillId="8" borderId="14" xfId="826" applyNumberFormat="1" applyFont="1" applyFill="1" applyBorder="1" applyAlignment="1">
      <alignment horizontal="center" vertical="center"/>
    </xf>
    <xf numFmtId="0" fontId="2" fillId="8" borderId="15" xfId="807" applyNumberFormat="1" applyFont="1" applyFill="1" applyBorder="1" applyAlignment="1">
      <alignment horizontal="center" vertical="center"/>
    </xf>
    <xf numFmtId="0" fontId="2" fillId="8" borderId="14" xfId="807" applyNumberFormat="1" applyFont="1" applyFill="1" applyBorder="1" applyAlignment="1">
      <alignment horizontal="center" vertical="center"/>
    </xf>
    <xf numFmtId="0" fontId="2" fillId="8" borderId="27" xfId="826" applyNumberFormat="1" applyFont="1" applyFill="1" applyBorder="1" applyAlignment="1">
      <alignment horizontal="center" vertical="center"/>
    </xf>
    <xf numFmtId="0" fontId="2" fillId="8" borderId="30" xfId="826" applyNumberFormat="1" applyFont="1" applyFill="1" applyBorder="1" applyAlignment="1">
      <alignment horizontal="center" vertical="center"/>
    </xf>
    <xf numFmtId="0" fontId="2" fillId="8" borderId="29" xfId="826" applyNumberFormat="1" applyFont="1" applyFill="1" applyBorder="1" applyAlignment="1">
      <alignment horizontal="center" vertical="center"/>
    </xf>
    <xf numFmtId="0" fontId="2" fillId="8" borderId="5" xfId="826" applyNumberFormat="1" applyFont="1" applyFill="1" applyBorder="1" applyAlignment="1">
      <alignment horizontal="center" vertical="center"/>
    </xf>
    <xf numFmtId="0" fontId="2" fillId="8" borderId="28" xfId="826" applyNumberFormat="1" applyFont="1" applyFill="1" applyBorder="1" applyAlignment="1">
      <alignment horizontal="center" vertical="center"/>
    </xf>
    <xf numFmtId="0" fontId="2" fillId="8" borderId="48" xfId="826" applyNumberFormat="1" applyFont="1" applyFill="1" applyBorder="1" applyAlignment="1">
      <alignment horizontal="center" vertical="center"/>
    </xf>
    <xf numFmtId="0" fontId="22" fillId="8" borderId="19" xfId="837" applyNumberFormat="1" applyFont="1" applyFill="1" applyBorder="1" applyAlignment="1">
      <alignment horizontal="center" vertical="center" wrapText="1"/>
    </xf>
    <xf numFmtId="0" fontId="22" fillId="8" borderId="2" xfId="837" applyNumberFormat="1" applyFont="1" applyFill="1" applyBorder="1" applyAlignment="1">
      <alignment horizontal="center" vertical="center" wrapText="1"/>
    </xf>
    <xf numFmtId="0" fontId="26" fillId="8" borderId="24" xfId="0" applyNumberFormat="1" applyFont="1" applyFill="1" applyBorder="1" applyAlignment="1">
      <alignment vertical="center"/>
    </xf>
  </cellXfs>
  <cellStyles count="969">
    <cellStyle name="" xfId="1"/>
    <cellStyle name="          _x000d__x000a_386grabber=vga.3gr_x000d__x000a_" xfId="2"/>
    <cellStyle name="Ი_x000b_" xfId="3"/>
    <cellStyle name="&quot;" xfId="4"/>
    <cellStyle name="#" xfId="5"/>
    <cellStyle name="#,##0" xfId="6"/>
    <cellStyle name="#,##0.0" xfId="7"/>
    <cellStyle name="#,##0.00" xfId="8"/>
    <cellStyle name="#,##0.000" xfId="9"/>
    <cellStyle name="#,##0_목차" xfId="10"/>
    <cellStyle name="#_1. 경기문화재단" xfId="11"/>
    <cellStyle name="#_1-1. 경기문화재단" xfId="12"/>
    <cellStyle name="#_2. 경기도박물관" xfId="13"/>
    <cellStyle name="#_4. 경기도자박물관" xfId="14"/>
    <cellStyle name="#_경기문화재단종합관리" xfId="15"/>
    <cellStyle name="#_청소업무용역(수정-최종)" xfId="16"/>
    <cellStyle name="$" xfId="17"/>
    <cellStyle name="$_0008금감원통합감독검사정보시스템" xfId="18"/>
    <cellStyle name="$_0009김포공항LED교체공사(광일)" xfId="19"/>
    <cellStyle name="$_0011긴급전화기정산(99년형광일)" xfId="20"/>
    <cellStyle name="$_0011부산종합경기장전광판" xfId="21"/>
    <cellStyle name="$_0011부산종합경기장전광판_강원지역본부(2006년_060109)" xfId="22"/>
    <cellStyle name="$_0011부산종합경기장전광판_경남지역본부-" xfId="23"/>
    <cellStyle name="$_0011부산종합경기장전광판_경북지역본부-" xfId="24"/>
    <cellStyle name="$_0011부산종합경기장전광판_중부지역본부-" xfId="25"/>
    <cellStyle name="$_0011부산종합경기장전광판_충청지역본부-" xfId="26"/>
    <cellStyle name="$_0011부산종합경기장전광판_통행료면탈방지시스템(최종)" xfId="27"/>
    <cellStyle name="$_0011부산종합경기장전광판_호남지역본부-" xfId="28"/>
    <cellStyle name="$_0011KIST소각설비제작설치" xfId="29"/>
    <cellStyle name="$_0012문화유적지표석제작설치" xfId="30"/>
    <cellStyle name="$_0102국제조명신공항분수조명" xfId="31"/>
    <cellStyle name="$_0102국제조명신공항분수조명_강원지역본부(2006년_060109)" xfId="32"/>
    <cellStyle name="$_0102국제조명신공항분수조명_경남지역본부-" xfId="33"/>
    <cellStyle name="$_0102국제조명신공항분수조명_경북지역본부-" xfId="34"/>
    <cellStyle name="$_0102국제조명신공항분수조명_중부지역본부-" xfId="35"/>
    <cellStyle name="$_0102국제조명신공항분수조명_충청지역본부-" xfId="36"/>
    <cellStyle name="$_0102국제조명신공항분수조명_통행료면탈방지시스템(최종)" xfId="37"/>
    <cellStyle name="$_0102국제조명신공항분수조명_호남지역본부-" xfId="38"/>
    <cellStyle name="$_0103회전식현수막게시대제작설치" xfId="39"/>
    <cellStyle name="$_0104포항시침출수처리시스템" xfId="40"/>
    <cellStyle name="$_0105담배자판기개조원가" xfId="41"/>
    <cellStyle name="$_0105담배자판기개조원가_강원지역본부(2006년_060109)" xfId="42"/>
    <cellStyle name="$_0105담배자판기개조원가_경남지역본부-" xfId="43"/>
    <cellStyle name="$_0105담배자판기개조원가_경북지역본부-" xfId="44"/>
    <cellStyle name="$_0105담배자판기개조원가_중부지역본부-" xfId="45"/>
    <cellStyle name="$_0105담배자판기개조원가_충청지역본부-" xfId="46"/>
    <cellStyle name="$_0105담배자판기개조원가_통행료면탈방지시스템(최종)" xfId="47"/>
    <cellStyle name="$_0105담배자판기개조원가_호남지역본부-" xfId="48"/>
    <cellStyle name="$_0106LG인버터냉난방기제작-1" xfId="49"/>
    <cellStyle name="$_0106LG인버터냉난방기제작-1_강원지역본부(2006년_060109)" xfId="50"/>
    <cellStyle name="$_0106LG인버터냉난방기제작-1_경남지역본부-" xfId="51"/>
    <cellStyle name="$_0106LG인버터냉난방기제작-1_경북지역본부-" xfId="52"/>
    <cellStyle name="$_0106LG인버터냉난방기제작-1_중부지역본부-" xfId="53"/>
    <cellStyle name="$_0106LG인버터냉난방기제작-1_충청지역본부-" xfId="54"/>
    <cellStyle name="$_0106LG인버터냉난방기제작-1_통행료면탈방지시스템(최종)" xfId="55"/>
    <cellStyle name="$_0106LG인버터냉난방기제작-1_호남지역본부-" xfId="56"/>
    <cellStyle name="$_0107광전송장비구매설치" xfId="57"/>
    <cellStyle name="$_0107도공IBS설비SW부문(참조)" xfId="58"/>
    <cellStyle name="$_0107문화재복원용목재-8월6일" xfId="59"/>
    <cellStyle name="$_0107문화재복원용목재-8월6일_강원지역본부(2006년_060109)" xfId="60"/>
    <cellStyle name="$_0107문화재복원용목재-8월6일_경남지역본부-" xfId="61"/>
    <cellStyle name="$_0107문화재복원용목재-8월6일_경북지역본부-" xfId="62"/>
    <cellStyle name="$_0107문화재복원용목재-8월6일_중부지역본부-" xfId="63"/>
    <cellStyle name="$_0107문화재복원용목재-8월6일_충청지역본부-" xfId="64"/>
    <cellStyle name="$_0107문화재복원용목재-8월6일_통행료면탈방지시스템(최종)" xfId="65"/>
    <cellStyle name="$_0107문화재복원용목재-8월6일_호남지역본부-" xfId="66"/>
    <cellStyle name="$_0107포천영중수배전반(제조,설치)" xfId="67"/>
    <cellStyle name="$_0108농기반미곡건조기제작설치" xfId="68"/>
    <cellStyle name="$_0108담배인삼공사영업춘추복" xfId="69"/>
    <cellStyle name="$_0108한국전기교통-LED교통신호등((원본))" xfId="70"/>
    <cellStyle name="$_0108한국전기교통-LED교통신호등((원본))_강원지역본부(2006년_060109)" xfId="71"/>
    <cellStyle name="$_0108한국전기교통-LED교통신호등((원본))_경남지역본부-" xfId="72"/>
    <cellStyle name="$_0108한국전기교통-LED교통신호등((원본))_경북지역본부-" xfId="73"/>
    <cellStyle name="$_0108한국전기교통-LED교통신호등((원본))_중부지역본부-" xfId="74"/>
    <cellStyle name="$_0108한국전기교통-LED교통신호등((원본))_충청지역본부-" xfId="75"/>
    <cellStyle name="$_0108한국전기교통-LED교통신호등((원본))_통행료면탈방지시스템(최종)" xfId="76"/>
    <cellStyle name="$_0108한국전기교통-LED교통신호등((원본))_호남지역본부-" xfId="77"/>
    <cellStyle name="$_0111해양수산부등명기제작" xfId="78"/>
    <cellStyle name="$_0111핸디소프트-전자표준문서시스템" xfId="79"/>
    <cellStyle name="$_0112금감원사무자동화시스템" xfId="80"/>
    <cellStyle name="$_0112수도권매립지SW원가" xfId="81"/>
    <cellStyle name="$_0112중고원-HRD종합정보망구축(完)" xfId="82"/>
    <cellStyle name="$_0201종합예술회관의자제작설치" xfId="83"/>
    <cellStyle name="$_0201종합예술회관의자제작설치-1" xfId="84"/>
    <cellStyle name="$_0202마사회근무복" xfId="85"/>
    <cellStyle name="$_0202마사회근무복_강원지역본부(2006년_060109)" xfId="86"/>
    <cellStyle name="$_0202마사회근무복_경남지역본부-" xfId="87"/>
    <cellStyle name="$_0202마사회근무복_경북지역본부-" xfId="88"/>
    <cellStyle name="$_0202마사회근무복_중부지역본부-" xfId="89"/>
    <cellStyle name="$_0202마사회근무복_충청지역본부-" xfId="90"/>
    <cellStyle name="$_0202마사회근무복_통행료면탈방지시스템(최종)" xfId="91"/>
    <cellStyle name="$_0202마사회근무복_호남지역본부-" xfId="92"/>
    <cellStyle name="$_0202부경교재-승강칠판" xfId="93"/>
    <cellStyle name="$_0202부경교재-승강칠판_강원지역본부(2006년_060109)" xfId="94"/>
    <cellStyle name="$_0202부경교재-승강칠판_경남지역본부-" xfId="95"/>
    <cellStyle name="$_0202부경교재-승강칠판_경북지역본부-" xfId="96"/>
    <cellStyle name="$_0202부경교재-승강칠판_중부지역본부-" xfId="97"/>
    <cellStyle name="$_0202부경교재-승강칠판_충청지역본부-" xfId="98"/>
    <cellStyle name="$_0202부경교재-승강칠판_통행료면탈방지시스템(최종)" xfId="99"/>
    <cellStyle name="$_0202부경교재-승강칠판_호남지역본부-" xfId="100"/>
    <cellStyle name="$_0204한국석묘납골함-1규격" xfId="101"/>
    <cellStyle name="$_0205TTMS-긴급전화기&amp;전체총괄" xfId="102"/>
    <cellStyle name="$_0206금감원금융정보교환망재구축" xfId="103"/>
    <cellStyle name="$_0206정통부수납장표기기제작설치" xfId="104"/>
    <cellStyle name="$_0207담배인삼공사-담요" xfId="105"/>
    <cellStyle name="$_0208레비텍-다층여과기설계변경" xfId="106"/>
    <cellStyle name="$_0209이산화염소발생기-설치(50K)" xfId="107"/>
    <cellStyle name="$_0210현대정보기술-TD이중계" xfId="108"/>
    <cellStyle name="$_0211조달청-#1대북지원사업정산(1월7일)" xfId="109"/>
    <cellStyle name="$_0212금감원-법규정보시스템(完)" xfId="110"/>
    <cellStyle name="$_0301교통방송-CCTV유지보수" xfId="111"/>
    <cellStyle name="$_0302인천경찰청-무인단속기위탁관리" xfId="112"/>
    <cellStyle name="$_0302조달청-대북지원2차(안성연)" xfId="113"/>
    <cellStyle name="$_0302조달청-대북지원2차(최수현)" xfId="114"/>
    <cellStyle name="$_0302표준문서-쌍용정보통신(신)" xfId="115"/>
    <cellStyle name="$_0304소프트파워-정부표준전자문서시스템" xfId="116"/>
    <cellStyle name="$_0304소프트파워-정부표준전자문서시스템(完)" xfId="117"/>
    <cellStyle name="$_0304철도청-주변환장치-1" xfId="118"/>
    <cellStyle name="$_0305금감원-금융통계정보시스템구축(完)" xfId="119"/>
    <cellStyle name="$_0305제낭조합-면범포지" xfId="120"/>
    <cellStyle name="$_0306제낭공업협동조합-면범포지원단(경비까지)" xfId="121"/>
    <cellStyle name="$_0307경찰청-무인교통단속표준SW개발용역(完)" xfId="122"/>
    <cellStyle name="$_0308조달청-#8대북지원사업정산" xfId="123"/>
    <cellStyle name="$_0309두합크린텍-설치원가" xfId="124"/>
    <cellStyle name="$_0309조달청-#9대북지원사업정산" xfId="125"/>
    <cellStyle name="$_0310여주상수도-탈수기(유천ENG)" xfId="126"/>
    <cellStyle name="$_0311대기해양작업시간" xfId="127"/>
    <cellStyle name="$_0311대기해양중형등명기" xfId="128"/>
    <cellStyle name="$_0312국민체육진흥공단-전기부문" xfId="129"/>
    <cellStyle name="$_0312대기해양-중형등명기제작설치" xfId="130"/>
    <cellStyle name="$_0312라이준-칼라아스콘4규격" xfId="131"/>
    <cellStyle name="$_0401집진기프로그램SW개발비산정" xfId="132"/>
    <cellStyle name="$_13. 관리동" xfId="133"/>
    <cellStyle name="$_2001-06조달청신성-한냉지형" xfId="134"/>
    <cellStyle name="$_2002-03경찰대학-졸업식" xfId="135"/>
    <cellStyle name="$_2002-03경찰청-경찰표지장" xfId="136"/>
    <cellStyle name="$_2002-03반디-가로등(열주형)" xfId="137"/>
    <cellStyle name="$_2002-03신화전자-감지기" xfId="138"/>
    <cellStyle name="$_2002-04강원랜드-슬러트머신" xfId="139"/>
    <cellStyle name="$_2002-04메가컴-외주무대" xfId="140"/>
    <cellStyle name="$_2002-04엘지애드-무대" xfId="141"/>
    <cellStyle name="$_2002-05강원랜드-슬러트머신(넥스터)" xfId="142"/>
    <cellStyle name="$_2002-05경기경찰청-냉온수기공사" xfId="143"/>
    <cellStyle name="$_2002-05대통령비서실-카페트" xfId="144"/>
    <cellStyle name="$_2002결과표" xfId="145"/>
    <cellStyle name="$_2002결과표_강원지역본부(2006년_060109)" xfId="146"/>
    <cellStyle name="$_2002결과표_경남지역본부-" xfId="147"/>
    <cellStyle name="$_2002결과표_경북지역본부-" xfId="148"/>
    <cellStyle name="$_2002결과표_중부지역본부-" xfId="149"/>
    <cellStyle name="$_2002결과표_충청지역본부-" xfId="150"/>
    <cellStyle name="$_2002결과표_통행료면탈방지시스템(최종)" xfId="151"/>
    <cellStyle name="$_2002결과표_호남지역본부-" xfId="152"/>
    <cellStyle name="$_2002결과표1" xfId="153"/>
    <cellStyle name="$_2003-01정일사-표창5종" xfId="154"/>
    <cellStyle name="$_간지,목차,페이지,표지" xfId="155"/>
    <cellStyle name="$_강원지역본부(2006년_060109)" xfId="156"/>
    <cellStyle name="$_견적2" xfId="157"/>
    <cellStyle name="$_경남지역본부-" xfId="158"/>
    <cellStyle name="$_경북지역본부-" xfId="159"/>
    <cellStyle name="$_경찰청-근무,기동복" xfId="160"/>
    <cellStyle name="$_공사일반관리비양식" xfId="161"/>
    <cellStyle name="$_관리동sw" xfId="162"/>
    <cellStyle name="$_기아" xfId="163"/>
    <cellStyle name="$_기초공사" xfId="164"/>
    <cellStyle name="$_네인텍정보기술-회로카드(수현)" xfId="165"/>
    <cellStyle name="$_대기해양노무비" xfId="166"/>
    <cellStyle name="$_대북자재8월분" xfId="167"/>
    <cellStyle name="$_대북자재8월분-1" xfId="168"/>
    <cellStyle name="$_동산용사촌수현(원본)" xfId="169"/>
    <cellStyle name="$_목차" xfId="170"/>
    <cellStyle name="$_백제군사전시1" xfId="171"/>
    <cellStyle name="$_수초제거기(대양기계)" xfId="172"/>
    <cellStyle name="$_수초제거기(대양기계)_강원지역본부(2006년_060109)" xfId="173"/>
    <cellStyle name="$_수초제거기(대양기계)_경남지역본부-" xfId="174"/>
    <cellStyle name="$_수초제거기(대양기계)_경북지역본부-" xfId="175"/>
    <cellStyle name="$_수초제거기(대양기계)_중부지역본부-" xfId="176"/>
    <cellStyle name="$_수초제거기(대양기계)_충청지역본부-" xfId="177"/>
    <cellStyle name="$_수초제거기(대양기계)_통행료면탈방지시스템(최종)" xfId="178"/>
    <cellStyle name="$_수초제거기(대양기계)_호남지역본부-" xfId="179"/>
    <cellStyle name="$_시설용역" xfId="180"/>
    <cellStyle name="$_암전정밀실체현미경(수현)" xfId="181"/>
    <cellStyle name="$_오리엔탈" xfId="182"/>
    <cellStyle name="$_원본 - 한국전기교통-개선형신호등 4종" xfId="183"/>
    <cellStyle name="$_원본 - 한국전기교통-개선형신호등 4종_강원지역본부(2006년_060109)" xfId="184"/>
    <cellStyle name="$_원본 - 한국전기교통-개선형신호등 4종_경남지역본부-" xfId="185"/>
    <cellStyle name="$_원본 - 한국전기교통-개선형신호등 4종_경북지역본부-" xfId="186"/>
    <cellStyle name="$_원본 - 한국전기교통-개선형신호등 4종_중부지역본부-" xfId="187"/>
    <cellStyle name="$_원본 - 한국전기교통-개선형신호등 4종_충청지역본부-" xfId="188"/>
    <cellStyle name="$_원본 - 한국전기교통-개선형신호등 4종_통행료면탈방지시스템(최종)" xfId="189"/>
    <cellStyle name="$_원본 - 한국전기교통-개선형신호등 4종_호남지역본부-" xfId="190"/>
    <cellStyle name="$_제경비율모음" xfId="191"/>
    <cellStyle name="$_제조원가" xfId="192"/>
    <cellStyle name="$_조달청-대북지원3차(최수현)" xfId="193"/>
    <cellStyle name="$_조달청-대북지원4차(최수현)" xfId="194"/>
    <cellStyle name="$_조달청-대북지원5차(최수현)" xfId="195"/>
    <cellStyle name="$_조달청-대북지원6차(번호)" xfId="196"/>
    <cellStyle name="$_조달청-대북지원6차(최수현)" xfId="197"/>
    <cellStyle name="$_조달청-대북지원7차(최수현)" xfId="198"/>
    <cellStyle name="$_조달청-대북지원8차(최수현)" xfId="199"/>
    <cellStyle name="$_조달청-대북지원9차(최수현)" xfId="200"/>
    <cellStyle name="$_조달청-B판사천강교제작(최종본)" xfId="201"/>
    <cellStyle name="$_중부지역본부-" xfId="202"/>
    <cellStyle name="$_중앙선관위(투표,개표)" xfId="203"/>
    <cellStyle name="$_중앙선관위(투표,개표)-사본" xfId="204"/>
    <cellStyle name="$_철공가공조립" xfId="205"/>
    <cellStyle name="$_최종-한국전기교통-개선형신호등 4종(공수조정)" xfId="206"/>
    <cellStyle name="$_최종-한국전기교통-개선형신호등 4종(공수조정)_강원지역본부(2006년_060109)" xfId="207"/>
    <cellStyle name="$_최종-한국전기교통-개선형신호등 4종(공수조정)_경남지역본부-" xfId="208"/>
    <cellStyle name="$_최종-한국전기교통-개선형신호등 4종(공수조정)_경북지역본부-" xfId="209"/>
    <cellStyle name="$_최종-한국전기교통-개선형신호등 4종(공수조정)_중부지역본부-" xfId="210"/>
    <cellStyle name="$_최종-한국전기교통-개선형신호등 4종(공수조정)_충청지역본부-" xfId="211"/>
    <cellStyle name="$_최종-한국전기교통-개선형신호등 4종(공수조정)_통행료면탈방지시스템(최종)" xfId="212"/>
    <cellStyle name="$_최종-한국전기교통-개선형신호등 4종(공수조정)_호남지역본부-" xfId="213"/>
    <cellStyle name="$_충청지역본부-" xfId="214"/>
    <cellStyle name="$_코솔라-제조원가" xfId="215"/>
    <cellStyle name="$_토지공사-간접비" xfId="216"/>
    <cellStyle name="$_통행료면탈방지시스템(최종)" xfId="217"/>
    <cellStyle name="$_한국도로공사" xfId="218"/>
    <cellStyle name="$_한전내역서-최종" xfId="219"/>
    <cellStyle name="$_호남지역본부-" xfId="220"/>
    <cellStyle name="$_db진흥" xfId="221"/>
    <cellStyle name="$_Pilot플랜트-계변경" xfId="222"/>
    <cellStyle name="$_Pilot플랜트이전설치-변경최종" xfId="223"/>
    <cellStyle name="$_SE40" xfId="224"/>
    <cellStyle name="$_SW(케이비)" xfId="225"/>
    <cellStyle name="??&amp;쏗?뷐9_x0008__x0011__x0007_?_x0007__x0001__x0001_" xfId="226"/>
    <cellStyle name="??&amp;O?&amp;H?_x0008__x000f__x0007_?_x0007__x0001__x0001_" xfId="227"/>
    <cellStyle name="??&amp;O?&amp;H?_x0008_??_x0007__x0001__x0001_" xfId="228"/>
    <cellStyle name="???­ [0]_¸ð??¸·" xfId="229"/>
    <cellStyle name="???­_¸ð??¸·" xfId="230"/>
    <cellStyle name="???Ø_¸ð??¸·" xfId="231"/>
    <cellStyle name="?曹%U?&amp;H?_x0008_?s_x000a__x0007__x0001__x0001_" xfId="232"/>
    <cellStyle name="?Þ¸¶ [0]_¸ð??¸·" xfId="233"/>
    <cellStyle name="?Þ¸¶_¸ð??¸·" xfId="234"/>
    <cellStyle name="?W?_laroux" xfId="235"/>
    <cellStyle name="@_laroux" xfId="236"/>
    <cellStyle name="@_laroux_제트베인" xfId="237"/>
    <cellStyle name="@_laroux_제트베인_1" xfId="238"/>
    <cellStyle name="_06년)하이패스_점검내역" xfId="239"/>
    <cellStyle name="_1_터널교통관리시설구축_공사설계서(달성12터널외2개소)" xfId="240"/>
    <cellStyle name="_11.통합보안관리서버" xfId="241"/>
    <cellStyle name="_1220-원가조사-전자지불" xfId="242"/>
    <cellStyle name="_2001 장애조치" xfId="243"/>
    <cellStyle name="_2002결과표1" xfId="244"/>
    <cellStyle name="_간지" xfId="245"/>
    <cellStyle name="_간지,목차,페이지,표지" xfId="246"/>
    <cellStyle name="_감가상각(01년도) (2)" xfId="247"/>
    <cellStyle name="_감가상각(01년도) (3)" xfId="248"/>
    <cellStyle name="_강산FRP" xfId="249"/>
    <cellStyle name="_강원지역본부" xfId="250"/>
    <cellStyle name="_강원지역본부(2006년)" xfId="251"/>
    <cellStyle name="_강원지역본부(2006년_060109)" xfId="252"/>
    <cellStyle name="_강원지역본부(2006년_060109)" xfId="253"/>
    <cellStyle name="_강원지역본부(2006년-051228)" xfId="254"/>
    <cellStyle name="_강원지역본부(2006년-060102)" xfId="255"/>
    <cellStyle name="_개요" xfId="256"/>
    <cellStyle name="_개요(봉림)-참고용" xfId="257"/>
    <cellStyle name="_개요(봉림)-최종" xfId="258"/>
    <cellStyle name="_개요(주안-인천)" xfId="259"/>
    <cellStyle name="_견적서_모바일경기-정현창" xfId="260"/>
    <cellStyle name="_경남본부_2006년도_유지관리대상수량" xfId="261"/>
    <cellStyle name="_경남본부_2006년도_유지관리대상수량_경남지역본부(2006년)" xfId="262"/>
    <cellStyle name="_경남본부_2006년도_유지관리대상수량_경남지역본부(2006년도)" xfId="263"/>
    <cellStyle name="_경남지역본부-" xfId="264"/>
    <cellStyle name="_경남지역본부-" xfId="265"/>
    <cellStyle name="_경남지역본부_20041220_상반기" xfId="266"/>
    <cellStyle name="_경남지역본부_20041220_상반기_2005년도급내역서" xfId="267"/>
    <cellStyle name="_경남지역본부_20041220_상반기_2005년도급내역서_강원지역본부(2006년)" xfId="268"/>
    <cellStyle name="_경남지역본부_20041220_상반기_2005년도급내역서_강원지역본부(2006년-051228)" xfId="269"/>
    <cellStyle name="_경남지역본부_20041220_상반기_2005년도급내역서_강원지역본부(2006년-060102)" xfId="270"/>
    <cellStyle name="_경남지역본부_20041220_상반기_2005년도급내역서_경남본부_2006년도_유지관리대상수량" xfId="271"/>
    <cellStyle name="_경남지역본부_20041220_상반기_2005년도급내역서_경남본부_2006년도_유지관리대상수량_경남지역본부(2006년)" xfId="272"/>
    <cellStyle name="_경남지역본부_20041220_상반기_2005년도급내역서_경남본부_2006년도_유지관리대상수량_경남지역본부(2006년도)" xfId="273"/>
    <cellStyle name="_경남지역본부_20041220_상반기_2005년도급내역서_중부지역본부(2006년)_기준" xfId="274"/>
    <cellStyle name="_경남지역본부_20041220_상반기_2005년도급내역서_중부지역본부(2006년)_기준_경남지역본부(2006년)" xfId="275"/>
    <cellStyle name="_경남지역본부_20041220_상반기_2005년도급내역서_중부지역본부(2006년)_기준_경남지역본부(2006년도)" xfId="276"/>
    <cellStyle name="_경남지역본부_20041220_상반기_2005년도급내역서_중부지역본부(2006년)_기준_경북지역본부(2006년)" xfId="277"/>
    <cellStyle name="_경남지역본부_20041220_상반기_2005년도급내역서_중부지역본부(2006년)_기준_경북지역본부(2006년도)" xfId="278"/>
    <cellStyle name="_경남지역본부_20041220_상반기_2005년도급내역서_중부지역본부(2006년-051220)" xfId="279"/>
    <cellStyle name="_경남지역본부_20041220_상반기_2005년도급내역서_중부지역본부(2006년-051228)" xfId="280"/>
    <cellStyle name="_경남지역본부_20041220_상반기_2005년도급내역서_중부지역본부(2006년-060102)" xfId="281"/>
    <cellStyle name="_경남지역본부_20041220_상반기_2005년도급내역서_TTMS위탁수량(KHC)" xfId="282"/>
    <cellStyle name="_경남지역본부_20041220_상반기_강원지역본부(2006년)" xfId="283"/>
    <cellStyle name="_경남지역본부_20041220_상반기_강원지역본부(2006년-051228)" xfId="284"/>
    <cellStyle name="_경남지역본부_20041220_상반기_강원지역본부(2006년-060102)" xfId="285"/>
    <cellStyle name="_경남지역본부_20041220_상반기_경남본부_2006년도_유지관리대상수량" xfId="286"/>
    <cellStyle name="_경남지역본부_20041220_상반기_경남본부_2006년도_유지관리대상수량_경남지역본부(2006년)" xfId="287"/>
    <cellStyle name="_경남지역본부_20041220_상반기_경남본부_2006년도_유지관리대상수량_경남지역본부(2006년도)" xfId="288"/>
    <cellStyle name="_경남지역본부_20041220_상반기_중부지역본부(2006년)_기준" xfId="289"/>
    <cellStyle name="_경남지역본부_20041220_상반기_중부지역본부(2006년)_기준_경남지역본부(2006년)" xfId="290"/>
    <cellStyle name="_경남지역본부_20041220_상반기_중부지역본부(2006년)_기준_경남지역본부(2006년도)" xfId="291"/>
    <cellStyle name="_경남지역본부_20041220_상반기_중부지역본부(2006년)_기준_경북지역본부(2006년)" xfId="292"/>
    <cellStyle name="_경남지역본부_20041220_상반기_중부지역본부(2006년)_기준_경북지역본부(2006년도)" xfId="293"/>
    <cellStyle name="_경남지역본부_20041220_상반기_중부지역본부(2006년-051220)" xfId="294"/>
    <cellStyle name="_경남지역본부_20041220_상반기_중부지역본부(2006년-051228)" xfId="295"/>
    <cellStyle name="_경남지역본부_20041220_상반기_중부지역본부(2006년-060102)" xfId="296"/>
    <cellStyle name="_경남지역본부_20041220_상반기_TTMS위탁수량(KHC)" xfId="297"/>
    <cellStyle name="_경북031002" xfId="298"/>
    <cellStyle name="_경북지역본부-" xfId="299"/>
    <cellStyle name="_경북지역본부-" xfId="300"/>
    <cellStyle name="_계중기(051216)" xfId="301"/>
    <cellStyle name="_고객서비스모니터링" xfId="302"/>
    <cellStyle name="_과학의 날 행사용 영상물제작" xfId="303"/>
    <cellStyle name="_광가입자전송장비(FLC)삼성" xfId="304"/>
    <cellStyle name="_광안리내역서(구도)" xfId="305"/>
    <cellStyle name="_광케이블_SNI_LGCNS_1" xfId="306"/>
    <cellStyle name="_구로지사 증축 및 보수공사 2차(최종)-12.16(신규)" xfId="307"/>
    <cellStyle name="_구로지사 증축 및 보수공사(최종)+개요" xfId="308"/>
    <cellStyle name="_기초공사" xfId="309"/>
    <cellStyle name="_나노엔텍(임금)" xfId="310"/>
    <cellStyle name="_내역(991895-7)" xfId="311"/>
    <cellStyle name="_내역(991895-7)-01" xfId="312"/>
    <cellStyle name="_내역(991895-7)-12-3일작업" xfId="313"/>
    <cellStyle name="_내역서" xfId="314"/>
    <cellStyle name="_내역서(서남권)" xfId="315"/>
    <cellStyle name="_내역서+개요(월배통신)" xfId="316"/>
    <cellStyle name="_내역서+개요(전기)-6.7(최종)" xfId="317"/>
    <cellStyle name="_내역서+개요(통신)" xfId="318"/>
    <cellStyle name="_농수로3종외-최종" xfId="319"/>
    <cellStyle name="_단가비교" xfId="320"/>
    <cellStyle name="_대전망운용국 대수선 전기공사+개요" xfId="321"/>
    <cellStyle name="_동목포전화국제4회기성청구서" xfId="322"/>
    <cellStyle name="_동학농민(전기)(02.09.05)" xfId="323"/>
    <cellStyle name="_모바일 경기넷 구축 사업(최종)" xfId="324"/>
    <cellStyle name="_목차" xfId="325"/>
    <cellStyle name="_목차_1. 경기문화재단" xfId="326"/>
    <cellStyle name="_목차_1-1. 경기문화재단" xfId="327"/>
    <cellStyle name="_목차_2. 경기도박물관" xfId="328"/>
    <cellStyle name="_목차_4. 경기도자박물관" xfId="329"/>
    <cellStyle name="_목차_경기문화재단종합관리" xfId="330"/>
    <cellStyle name="_목차_청소업무용역(수정-최종)" xfId="331"/>
    <cellStyle name="_무역 전시회 지원성과" xfId="332"/>
    <cellStyle name="_봉림고교 교사신축(최종)" xfId="333"/>
    <cellStyle name="_봉림고교 교사신축(최종)-참고용" xfId="334"/>
    <cellStyle name="_브랜드개발" xfId="335"/>
    <cellStyle name="_샤워식분무기(최종)" xfId="336"/>
    <cellStyle name="_서울과학관의장" xfId="337"/>
    <cellStyle name="_신흥기업사-최종" xfId="338"/>
    <cellStyle name="_안양지식산업진흥원" xfId="339"/>
    <cellStyle name="_연구원실험대(24종)-최종" xfId="340"/>
    <cellStyle name="_원격유지관리시스템(2004)" xfId="341"/>
    <cellStyle name="_유선설비(051216)" xfId="342"/>
    <cellStyle name="_일위대가" xfId="343"/>
    <cellStyle name="_자재비교표" xfId="344"/>
    <cellStyle name="_장현중(내역서+개요)" xfId="345"/>
    <cellStyle name="_재료비" xfId="346"/>
    <cellStyle name="_전자지불(삼성SDS)" xfId="347"/>
    <cellStyle name="_전자지불-(케이비)" xfId="348"/>
    <cellStyle name="_정보통신-광통신망관리(050214)" xfId="349"/>
    <cellStyle name="_제일은행하계근무복" xfId="350"/>
    <cellStyle name="_중부지역본부-" xfId="351"/>
    <cellStyle name="_중부지역본부-" xfId="352"/>
    <cellStyle name="_중부지역본부(2006년)_기준" xfId="353"/>
    <cellStyle name="_중부지역본부(2006년)_기준_경남지역본부(2006년)" xfId="354"/>
    <cellStyle name="_중부지역본부(2006년)_기준_경남지역본부(2006년도)" xfId="355"/>
    <cellStyle name="_중부지역본부(2006년)_기준_경북지역본부(2006년)" xfId="356"/>
    <cellStyle name="_중부지역본부(2006년)_기준_경북지역본부(2006년도)" xfId="357"/>
    <cellStyle name="_중부지역본부(2006년-051220)" xfId="358"/>
    <cellStyle name="_중부지역본부(2006년-051228)" xfId="359"/>
    <cellStyle name="_중부지역본부(2006년-060102)" xfId="360"/>
    <cellStyle name="_증권예탁원_퇴직연금시스템_구축_요약_Ver2" xfId="361"/>
    <cellStyle name="_직접경비" xfId="362"/>
    <cellStyle name="_창(에리트(설치제외)" xfId="363"/>
    <cellStyle name="_총괄(최종)" xfId="364"/>
    <cellStyle name="_춘천전화국증축통신+개요" xfId="365"/>
    <cellStyle name="_춘천합동내역+개요(수정한최종)" xfId="366"/>
    <cellStyle name="_충청지역본부-" xfId="367"/>
    <cellStyle name="_테마공사새로03" xfId="368"/>
    <cellStyle name="_통행료 전자지불 SW" xfId="369"/>
    <cellStyle name="_통행료면탈방지시스템(최종)" xfId="370"/>
    <cellStyle name="_통행료면탈방지시스템(최종)" xfId="371"/>
    <cellStyle name="_퇴직연금 기록관리 시스템" xfId="372"/>
    <cellStyle name="_표지" xfId="373"/>
    <cellStyle name="_하이패스 전자지불(050214)" xfId="374"/>
    <cellStyle name="_하이패스(최종)" xfId="375"/>
    <cellStyle name="_호남지역본부-" xfId="376"/>
    <cellStyle name="_호남지역본부-20041220" xfId="377"/>
    <cellStyle name="_흙막이공사(일위)" xfId="378"/>
    <cellStyle name="_C앤C" xfId="379"/>
    <cellStyle name="_C앤C(네트웍)" xfId="380"/>
    <cellStyle name="_C앤C원가계산" xfId="381"/>
    <cellStyle name="_GN_극동건설(주)_덕정병원_토목(작업)-1" xfId="382"/>
    <cellStyle name="_TCS 영업소(050214)" xfId="383"/>
    <cellStyle name="_TCS_축중기" xfId="384"/>
    <cellStyle name="_TTMS위탁수량(KHC)" xfId="385"/>
    <cellStyle name="´þ·?" xfId="386"/>
    <cellStyle name="’E‰Y [0.00]_laroux" xfId="387"/>
    <cellStyle name="’E‰Y_laroux" xfId="388"/>
    <cellStyle name="¤@?e_TEST-1 " xfId="389"/>
    <cellStyle name="°ia¤¼o¼ya¡" xfId="390"/>
    <cellStyle name="°ia¤aa·a1" xfId="391"/>
    <cellStyle name="°ia¤aa·a2" xfId="392"/>
    <cellStyle name="0%" xfId="393"/>
    <cellStyle name="0,0_x000d__x000a_NA_x000d__x000a_" xfId="394"/>
    <cellStyle name="0.0" xfId="395"/>
    <cellStyle name="0.0%" xfId="396"/>
    <cellStyle name="0.00" xfId="397"/>
    <cellStyle name="0.00%" xfId="398"/>
    <cellStyle name="0.000%" xfId="399"/>
    <cellStyle name="0.0000%" xfId="400"/>
    <cellStyle name="1" xfId="401"/>
    <cellStyle name="10" xfId="402"/>
    <cellStyle name="120" xfId="403"/>
    <cellStyle name="19990216" xfId="404"/>
    <cellStyle name="1월" xfId="405"/>
    <cellStyle name="¹éº" xfId="406"/>
    <cellStyle name="³?a￥" xfId="407"/>
    <cellStyle name="60" xfId="408"/>
    <cellStyle name="_x0014_7." xfId="409"/>
    <cellStyle name="고정소숫점" xfId="410"/>
    <cellStyle name="고정출력1" xfId="411"/>
    <cellStyle name="고정출력2" xfId="412"/>
    <cellStyle name="咬訌裝?INCOM1" xfId="413"/>
    <cellStyle name="咬訌裝?INCOM10" xfId="414"/>
    <cellStyle name="咬訌裝?INCOM2" xfId="415"/>
    <cellStyle name="咬訌裝?INCOM3" xfId="416"/>
    <cellStyle name="咬訌裝?INCOM4" xfId="417"/>
    <cellStyle name="咬訌裝?INCOM5" xfId="418"/>
    <cellStyle name="咬訌裝?INCOM6" xfId="419"/>
    <cellStyle name="咬訌裝?INCOM7" xfId="420"/>
    <cellStyle name="咬訌裝?INCOM8" xfId="421"/>
    <cellStyle name="咬訌裝?INCOM9" xfId="422"/>
    <cellStyle name="咬訌裝?PRIB11" xfId="423"/>
    <cellStyle name="구        분" xfId="424"/>
    <cellStyle name="금액" xfId="425"/>
    <cellStyle name="김해전기" xfId="426"/>
    <cellStyle name="날짜" xfId="427"/>
    <cellStyle name="내역서" xfId="428"/>
    <cellStyle name="단위(원)" xfId="429"/>
    <cellStyle name="달러" xfId="430"/>
    <cellStyle name="뒤에 오는 하이퍼링크" xfId="431"/>
    <cellStyle name="똿뗦먛귟 [0.00]_laroux" xfId="432"/>
    <cellStyle name="똿뗦먛귟_laroux" xfId="433"/>
    <cellStyle name="믅됞 [0.00]_laroux" xfId="434"/>
    <cellStyle name="믅됞_laroux" xfId="435"/>
    <cellStyle name="배분" xfId="436"/>
    <cellStyle name="백분율 [0]" xfId="437"/>
    <cellStyle name="백분율 [2]" xfId="438"/>
    <cellStyle name="백분율［△1］" xfId="439"/>
    <cellStyle name="백분율［△2］" xfId="440"/>
    <cellStyle name="뷭?_?긚??_1" xfId="441"/>
    <cellStyle name="선택영역의 가운데로" xfId="442"/>
    <cellStyle name="설계서" xfId="443"/>
    <cellStyle name="설계서-내용" xfId="444"/>
    <cellStyle name="설계서-내용-소수점" xfId="445"/>
    <cellStyle name="설계서-내용-우" xfId="446"/>
    <cellStyle name="설계서-내용-좌" xfId="447"/>
    <cellStyle name="설계서-소제목" xfId="448"/>
    <cellStyle name="설계서-타이틀" xfId="449"/>
    <cellStyle name="설계서-항목" xfId="450"/>
    <cellStyle name="수산" xfId="451"/>
    <cellStyle name="숫자(R)" xfId="452"/>
    <cellStyle name="쉼표 [0]" xfId="453" builtinId="6"/>
    <cellStyle name="쉼표 [0] 2" xfId="454"/>
    <cellStyle name="쉼표 [0]_2. 냉온수" xfId="455"/>
    <cellStyle name="쉼표 [0]_목차_1" xfId="456"/>
    <cellStyle name="스타일 1" xfId="457"/>
    <cellStyle name="스타일 10" xfId="458"/>
    <cellStyle name="스타일 11" xfId="459"/>
    <cellStyle name="스타일 12" xfId="460"/>
    <cellStyle name="스타일 13" xfId="461"/>
    <cellStyle name="스타일 14" xfId="462"/>
    <cellStyle name="스타일 15" xfId="463"/>
    <cellStyle name="스타일 16" xfId="464"/>
    <cellStyle name="스타일 17" xfId="465"/>
    <cellStyle name="스타일 18" xfId="466"/>
    <cellStyle name="스타일 19" xfId="467"/>
    <cellStyle name="스타일 2" xfId="468"/>
    <cellStyle name="스타일 20" xfId="469"/>
    <cellStyle name="스타일 21" xfId="470"/>
    <cellStyle name="스타일 22" xfId="471"/>
    <cellStyle name="스타일 23" xfId="472"/>
    <cellStyle name="스타일 24" xfId="473"/>
    <cellStyle name="스타일 25" xfId="474"/>
    <cellStyle name="스타일 26" xfId="475"/>
    <cellStyle name="스타일 27" xfId="476"/>
    <cellStyle name="스타일 28" xfId="477"/>
    <cellStyle name="스타일 29" xfId="478"/>
    <cellStyle name="스타일 3" xfId="479"/>
    <cellStyle name="스타일 30" xfId="480"/>
    <cellStyle name="스타일 31" xfId="481"/>
    <cellStyle name="스타일 32" xfId="482"/>
    <cellStyle name="스타일 33" xfId="483"/>
    <cellStyle name="스타일 34" xfId="484"/>
    <cellStyle name="스타일 35" xfId="485"/>
    <cellStyle name="스타일 36" xfId="486"/>
    <cellStyle name="스타일 37" xfId="487"/>
    <cellStyle name="스타일 38" xfId="488"/>
    <cellStyle name="스타일 39" xfId="489"/>
    <cellStyle name="스타일 4" xfId="490"/>
    <cellStyle name="스타일 5" xfId="491"/>
    <cellStyle name="스타일 6" xfId="492"/>
    <cellStyle name="스타일 7" xfId="493"/>
    <cellStyle name="스타일 8" xfId="494"/>
    <cellStyle name="스타일 9" xfId="495"/>
    <cellStyle name="안건회계법인" xfId="496"/>
    <cellStyle name="원" xfId="497"/>
    <cellStyle name="원_0008금감원통합감독검사정보시스템" xfId="498"/>
    <cellStyle name="원_0009김포공항LED교체공사(광일)" xfId="499"/>
    <cellStyle name="원_0009김포공항LED교체공사(광일)_강원지역본부(2006년_060109)" xfId="500"/>
    <cellStyle name="원_0009김포공항LED교체공사(광일)_경남지역본부-" xfId="501"/>
    <cellStyle name="원_0009김포공항LED교체공사(광일)_경북지역본부-" xfId="502"/>
    <cellStyle name="원_0009김포공항LED교체공사(광일)_중부지역본부-" xfId="503"/>
    <cellStyle name="원_0009김포공항LED교체공사(광일)_충청지역본부-" xfId="504"/>
    <cellStyle name="원_0009김포공항LED교체공사(광일)_통행료면탈방지시스템(최종)" xfId="505"/>
    <cellStyle name="원_0009김포공항LED교체공사(광일)_호남지역본부-" xfId="506"/>
    <cellStyle name="원_0011긴급전화기정산(99년형광일)" xfId="507"/>
    <cellStyle name="원_0011긴급전화기정산(99년형광일)_강원지역본부(2006년_060109)" xfId="508"/>
    <cellStyle name="원_0011긴급전화기정산(99년형광일)_경남지역본부-" xfId="509"/>
    <cellStyle name="원_0011긴급전화기정산(99년형광일)_경북지역본부-" xfId="510"/>
    <cellStyle name="원_0011긴급전화기정산(99년형광일)_중부지역본부-" xfId="511"/>
    <cellStyle name="원_0011긴급전화기정산(99년형광일)_충청지역본부-" xfId="512"/>
    <cellStyle name="원_0011긴급전화기정산(99년형광일)_통행료면탈방지시스템(최종)" xfId="513"/>
    <cellStyle name="원_0011긴급전화기정산(99년형광일)_호남지역본부-" xfId="514"/>
    <cellStyle name="원_0011부산종합경기장전광판" xfId="515"/>
    <cellStyle name="원_0011부산종합경기장전광판_강원지역본부(2006년_060109)" xfId="516"/>
    <cellStyle name="원_0011부산종합경기장전광판_경남지역본부-" xfId="517"/>
    <cellStyle name="원_0011부산종합경기장전광판_경북지역본부-" xfId="518"/>
    <cellStyle name="원_0011부산종합경기장전광판_중부지역본부-" xfId="519"/>
    <cellStyle name="원_0011부산종합경기장전광판_충청지역본부-" xfId="520"/>
    <cellStyle name="원_0011부산종합경기장전광판_통행료면탈방지시스템(최종)" xfId="521"/>
    <cellStyle name="원_0011부산종합경기장전광판_호남지역본부-" xfId="522"/>
    <cellStyle name="원_0011KIST소각설비제작설치" xfId="523"/>
    <cellStyle name="원_0011KIST소각설비제작설치_강원지역본부(2006년_060109)" xfId="524"/>
    <cellStyle name="원_0011KIST소각설비제작설치_경남지역본부-" xfId="525"/>
    <cellStyle name="원_0011KIST소각설비제작설치_경북지역본부-" xfId="526"/>
    <cellStyle name="원_0011KIST소각설비제작설치_중부지역본부-" xfId="527"/>
    <cellStyle name="원_0011KIST소각설비제작설치_충청지역본부-" xfId="528"/>
    <cellStyle name="원_0011KIST소각설비제작설치_통행료면탈방지시스템(최종)" xfId="529"/>
    <cellStyle name="원_0011KIST소각설비제작설치_호남지역본부-" xfId="530"/>
    <cellStyle name="원_0012문화유적지표석제작설치" xfId="531"/>
    <cellStyle name="원_0012문화유적지표석제작설치_강원지역본부(2006년_060109)" xfId="532"/>
    <cellStyle name="원_0012문화유적지표석제작설치_경남지역본부-" xfId="533"/>
    <cellStyle name="원_0012문화유적지표석제작설치_경북지역본부-" xfId="534"/>
    <cellStyle name="원_0012문화유적지표석제작설치_중부지역본부-" xfId="535"/>
    <cellStyle name="원_0012문화유적지표석제작설치_충청지역본부-" xfId="536"/>
    <cellStyle name="원_0012문화유적지표석제작설치_통행료면탈방지시스템(최종)" xfId="537"/>
    <cellStyle name="원_0012문화유적지표석제작설치_호남지역본부-" xfId="538"/>
    <cellStyle name="원_0102국제조명신공항분수조명" xfId="539"/>
    <cellStyle name="원_0102국제조명신공항분수조명_강원지역본부(2006년_060109)" xfId="540"/>
    <cellStyle name="원_0102국제조명신공항분수조명_경남지역본부-" xfId="541"/>
    <cellStyle name="원_0102국제조명신공항분수조명_경북지역본부-" xfId="542"/>
    <cellStyle name="원_0102국제조명신공항분수조명_중부지역본부-" xfId="543"/>
    <cellStyle name="원_0102국제조명신공항분수조명_충청지역본부-" xfId="544"/>
    <cellStyle name="원_0102국제조명신공항분수조명_통행료면탈방지시스템(최종)" xfId="545"/>
    <cellStyle name="원_0102국제조명신공항분수조명_호남지역본부-" xfId="546"/>
    <cellStyle name="원_0103회전식현수막게시대제작설치" xfId="547"/>
    <cellStyle name="원_0104포항시침출수처리시스템" xfId="548"/>
    <cellStyle name="원_0105담배자판기개조원가" xfId="549"/>
    <cellStyle name="원_0105담배자판기개조원가_강원지역본부(2006년_060109)" xfId="550"/>
    <cellStyle name="원_0105담배자판기개조원가_경남지역본부-" xfId="551"/>
    <cellStyle name="원_0105담배자판기개조원가_경북지역본부-" xfId="552"/>
    <cellStyle name="원_0105담배자판기개조원가_중부지역본부-" xfId="553"/>
    <cellStyle name="원_0105담배자판기개조원가_충청지역본부-" xfId="554"/>
    <cellStyle name="원_0105담배자판기개조원가_통행료면탈방지시스템(최종)" xfId="555"/>
    <cellStyle name="원_0105담배자판기개조원가_호남지역본부-" xfId="556"/>
    <cellStyle name="원_0106LG인버터냉난방기제작-1" xfId="557"/>
    <cellStyle name="원_0106LG인버터냉난방기제작-1_강원지역본부(2006년_060109)" xfId="558"/>
    <cellStyle name="원_0106LG인버터냉난방기제작-1_경남지역본부-" xfId="559"/>
    <cellStyle name="원_0106LG인버터냉난방기제작-1_경북지역본부-" xfId="560"/>
    <cellStyle name="원_0106LG인버터냉난방기제작-1_중부지역본부-" xfId="561"/>
    <cellStyle name="원_0106LG인버터냉난방기제작-1_충청지역본부-" xfId="562"/>
    <cellStyle name="원_0106LG인버터냉난방기제작-1_통행료면탈방지시스템(최종)" xfId="563"/>
    <cellStyle name="원_0106LG인버터냉난방기제작-1_호남지역본부-" xfId="564"/>
    <cellStyle name="원_0107광전송장비구매설치" xfId="565"/>
    <cellStyle name="원_0107광전송장비구매설치_강원지역본부(2006년_060109)" xfId="566"/>
    <cellStyle name="원_0107광전송장비구매설치_경남지역본부-" xfId="567"/>
    <cellStyle name="원_0107광전송장비구매설치_경북지역본부-" xfId="568"/>
    <cellStyle name="원_0107광전송장비구매설치_중부지역본부-" xfId="569"/>
    <cellStyle name="원_0107광전송장비구매설치_충청지역본부-" xfId="570"/>
    <cellStyle name="원_0107광전송장비구매설치_통행료면탈방지시스템(최종)" xfId="571"/>
    <cellStyle name="원_0107광전송장비구매설치_호남지역본부-" xfId="572"/>
    <cellStyle name="원_0107도공IBS설비SW부문(참조)" xfId="573"/>
    <cellStyle name="원_0107도공IBS설비SW부문(참조)_강원지역본부(2006년_060109)" xfId="574"/>
    <cellStyle name="원_0107도공IBS설비SW부문(참조)_경남지역본부-" xfId="575"/>
    <cellStyle name="원_0107도공IBS설비SW부문(참조)_경북지역본부-" xfId="576"/>
    <cellStyle name="원_0107도공IBS설비SW부문(참조)_중부지역본부-" xfId="577"/>
    <cellStyle name="원_0107도공IBS설비SW부문(참조)_충청지역본부-" xfId="578"/>
    <cellStyle name="원_0107도공IBS설비SW부문(참조)_통행료면탈방지시스템(최종)" xfId="579"/>
    <cellStyle name="원_0107도공IBS설비SW부문(참조)_호남지역본부-" xfId="580"/>
    <cellStyle name="원_0107문화재복원용목재-8월6일" xfId="581"/>
    <cellStyle name="원_0107문화재복원용목재-8월6일_강원지역본부(2006년_060109)" xfId="582"/>
    <cellStyle name="원_0107문화재복원용목재-8월6일_경남지역본부-" xfId="583"/>
    <cellStyle name="원_0107문화재복원용목재-8월6일_경북지역본부-" xfId="584"/>
    <cellStyle name="원_0107문화재복원용목재-8월6일_중부지역본부-" xfId="585"/>
    <cellStyle name="원_0107문화재복원용목재-8월6일_충청지역본부-" xfId="586"/>
    <cellStyle name="원_0107문화재복원용목재-8월6일_통행료면탈방지시스템(최종)" xfId="587"/>
    <cellStyle name="원_0107문화재복원용목재-8월6일_호남지역본부-" xfId="588"/>
    <cellStyle name="원_0107포천영중수배전반(제조,설치)" xfId="589"/>
    <cellStyle name="원_0107포천영중수배전반(제조,설치)_강원지역본부(2006년_060109)" xfId="590"/>
    <cellStyle name="원_0107포천영중수배전반(제조,설치)_경남지역본부-" xfId="591"/>
    <cellStyle name="원_0107포천영중수배전반(제조,설치)_경북지역본부-" xfId="592"/>
    <cellStyle name="원_0107포천영중수배전반(제조,설치)_중부지역본부-" xfId="593"/>
    <cellStyle name="원_0107포천영중수배전반(제조,설치)_충청지역본부-" xfId="594"/>
    <cellStyle name="원_0107포천영중수배전반(제조,설치)_통행료면탈방지시스템(최종)" xfId="595"/>
    <cellStyle name="원_0107포천영중수배전반(제조,설치)_호남지역본부-" xfId="596"/>
    <cellStyle name="원_0108농기반미곡건조기제작설치" xfId="597"/>
    <cellStyle name="원_0108담배인삼공사영업춘추복" xfId="598"/>
    <cellStyle name="원_0108한국전기교통-LED교통신호등((원본))" xfId="599"/>
    <cellStyle name="원_0108한국전기교통-LED교통신호등((원본))_강원지역본부(2006년_060109)" xfId="600"/>
    <cellStyle name="원_0108한국전기교통-LED교통신호등((원본))_경남지역본부-" xfId="601"/>
    <cellStyle name="원_0108한국전기교통-LED교통신호등((원본))_경북지역본부-" xfId="602"/>
    <cellStyle name="원_0108한국전기교통-LED교통신호등((원본))_중부지역본부-" xfId="603"/>
    <cellStyle name="원_0108한국전기교통-LED교통신호등((원본))_충청지역본부-" xfId="604"/>
    <cellStyle name="원_0108한국전기교통-LED교통신호등((원본))_통행료면탈방지시스템(최종)" xfId="605"/>
    <cellStyle name="원_0108한국전기교통-LED교통신호등((원본))_호남지역본부-" xfId="606"/>
    <cellStyle name="원_0111해양수산부등명기제작" xfId="607"/>
    <cellStyle name="원_0111해양수산부등명기제작_강원지역본부(2006년_060109)" xfId="608"/>
    <cellStyle name="원_0111해양수산부등명기제작_경남지역본부-" xfId="609"/>
    <cellStyle name="원_0111해양수산부등명기제작_경북지역본부-" xfId="610"/>
    <cellStyle name="원_0111해양수산부등명기제작_중부지역본부-" xfId="611"/>
    <cellStyle name="원_0111해양수산부등명기제작_충청지역본부-" xfId="612"/>
    <cellStyle name="원_0111해양수산부등명기제작_통행료면탈방지시스템(최종)" xfId="613"/>
    <cellStyle name="원_0111해양수산부등명기제작_호남지역본부-" xfId="614"/>
    <cellStyle name="원_0111핸디소프트-전자표준문서시스템" xfId="615"/>
    <cellStyle name="원_0112금감원사무자동화시스템" xfId="616"/>
    <cellStyle name="원_0112금감원사무자동화시스템_강원지역본부(2006년_060109)" xfId="617"/>
    <cellStyle name="원_0112금감원사무자동화시스템_경남지역본부-" xfId="618"/>
    <cellStyle name="원_0112금감원사무자동화시스템_경북지역본부-" xfId="619"/>
    <cellStyle name="원_0112금감원사무자동화시스템_중부지역본부-" xfId="620"/>
    <cellStyle name="원_0112금감원사무자동화시스템_충청지역본부-" xfId="621"/>
    <cellStyle name="원_0112금감원사무자동화시스템_통행료면탈방지시스템(최종)" xfId="622"/>
    <cellStyle name="원_0112금감원사무자동화시스템_호남지역본부-" xfId="623"/>
    <cellStyle name="원_0112수도권매립지SW원가" xfId="624"/>
    <cellStyle name="원_0112수도권매립지SW원가_강원지역본부(2006년_060109)" xfId="625"/>
    <cellStyle name="원_0112수도권매립지SW원가_경남지역본부-" xfId="626"/>
    <cellStyle name="원_0112수도권매립지SW원가_경북지역본부-" xfId="627"/>
    <cellStyle name="원_0112수도권매립지SW원가_중부지역본부-" xfId="628"/>
    <cellStyle name="원_0112수도권매립지SW원가_충청지역본부-" xfId="629"/>
    <cellStyle name="원_0112수도권매립지SW원가_통행료면탈방지시스템(최종)" xfId="630"/>
    <cellStyle name="원_0112수도권매립지SW원가_호남지역본부-" xfId="631"/>
    <cellStyle name="원_0112중고원-HRD종합정보망구축(完)" xfId="632"/>
    <cellStyle name="원_0201종합예술회관의자제작설치" xfId="633"/>
    <cellStyle name="원_0201종합예술회관의자제작설치-1" xfId="634"/>
    <cellStyle name="원_0202마사회근무복" xfId="635"/>
    <cellStyle name="원_0202마사회근무복_강원지역본부(2006년_060109)" xfId="636"/>
    <cellStyle name="원_0202마사회근무복_경남지역본부-" xfId="637"/>
    <cellStyle name="원_0202마사회근무복_경북지역본부-" xfId="638"/>
    <cellStyle name="원_0202마사회근무복_중부지역본부-" xfId="639"/>
    <cellStyle name="원_0202마사회근무복_충청지역본부-" xfId="640"/>
    <cellStyle name="원_0202마사회근무복_통행료면탈방지시스템(최종)" xfId="641"/>
    <cellStyle name="원_0202마사회근무복_호남지역본부-" xfId="642"/>
    <cellStyle name="원_0202부경교재-승강칠판" xfId="643"/>
    <cellStyle name="원_0202부경교재-승강칠판_강원지역본부(2006년_060109)" xfId="644"/>
    <cellStyle name="원_0202부경교재-승강칠판_경남지역본부-" xfId="645"/>
    <cellStyle name="원_0202부경교재-승강칠판_경북지역본부-" xfId="646"/>
    <cellStyle name="원_0202부경교재-승강칠판_중부지역본부-" xfId="647"/>
    <cellStyle name="원_0202부경교재-승강칠판_충청지역본부-" xfId="648"/>
    <cellStyle name="원_0202부경교재-승강칠판_통행료면탈방지시스템(최종)" xfId="649"/>
    <cellStyle name="원_0202부경교재-승강칠판_호남지역본부-" xfId="650"/>
    <cellStyle name="원_0204한국석묘납골함-1규격" xfId="651"/>
    <cellStyle name="원_0204한국석묘납골함-1규격_강원지역본부(2006년_060109)" xfId="652"/>
    <cellStyle name="원_0204한국석묘납골함-1규격_경남지역본부-" xfId="653"/>
    <cellStyle name="원_0204한국석묘납골함-1규격_경북지역본부-" xfId="654"/>
    <cellStyle name="원_0204한국석묘납골함-1규격_중부지역본부-" xfId="655"/>
    <cellStyle name="원_0204한국석묘납골함-1규격_충청지역본부-" xfId="656"/>
    <cellStyle name="원_0204한국석묘납골함-1규격_통행료면탈방지시스템(최종)" xfId="657"/>
    <cellStyle name="원_0204한국석묘납골함-1규격_호남지역본부-" xfId="658"/>
    <cellStyle name="원_0205TTMS-긴급전화기&amp;전체총괄" xfId="659"/>
    <cellStyle name="원_0206금감원금융정보교환망재구축" xfId="660"/>
    <cellStyle name="원_0206정통부수납장표기기제작설치" xfId="661"/>
    <cellStyle name="원_0207담배인삼공사-담요" xfId="662"/>
    <cellStyle name="원_0208레비텍-다층여과기설계변경" xfId="663"/>
    <cellStyle name="원_0209이산화염소발생기-설치(50K)" xfId="664"/>
    <cellStyle name="원_0210현대정보기술-TD이중계" xfId="665"/>
    <cellStyle name="원_0211조달청-#1대북지원사업정산(1월7일)" xfId="666"/>
    <cellStyle name="원_0212금감원-법규정보시스템(完)" xfId="667"/>
    <cellStyle name="원_0301교통방송-CCTV유지보수" xfId="668"/>
    <cellStyle name="원_0302인천경찰청-무인단속기위탁관리" xfId="669"/>
    <cellStyle name="원_0302조달청-대북지원2차(안성연)" xfId="670"/>
    <cellStyle name="원_0302조달청-대북지원2차(최수현)" xfId="671"/>
    <cellStyle name="원_0302표준문서-쌍용정보통신(신)" xfId="672"/>
    <cellStyle name="원_0304소프트파워-정부표준전자문서시스템" xfId="673"/>
    <cellStyle name="원_0304소프트파워-정부표준전자문서시스템(完)" xfId="674"/>
    <cellStyle name="원_0304철도청-주변환장치-1" xfId="675"/>
    <cellStyle name="원_0305금감원-금융통계정보시스템구축(完)" xfId="676"/>
    <cellStyle name="원_0305제낭조합-면범포지" xfId="677"/>
    <cellStyle name="원_0306제낭공업협동조합-면범포지원단(경비까지)" xfId="678"/>
    <cellStyle name="원_0307경찰청-무인교통단속표준SW개발용역(完)" xfId="679"/>
    <cellStyle name="원_0308조달청-#8대북지원사업정산" xfId="680"/>
    <cellStyle name="원_0309두합크린텍-설치원가" xfId="681"/>
    <cellStyle name="원_0309조달청-#9대북지원사업정산" xfId="682"/>
    <cellStyle name="원_0310여주상수도-탈수기(유천ENG)" xfId="683"/>
    <cellStyle name="원_0311대기해양작업시간" xfId="684"/>
    <cellStyle name="원_0311대기해양중형등명기" xfId="685"/>
    <cellStyle name="원_0312국민체육진흥공단-전기부문" xfId="686"/>
    <cellStyle name="원_0312대기해양-중형등명기제작설치" xfId="687"/>
    <cellStyle name="원_0312라이준-칼라아스콘4규격" xfId="688"/>
    <cellStyle name="원_0401집진기프로그램SW개발비산정" xfId="689"/>
    <cellStyle name="원_13. 관리동" xfId="690"/>
    <cellStyle name="원_2001-06조달청신성-한냉지형" xfId="691"/>
    <cellStyle name="원_2002-03경찰대학-졸업식" xfId="692"/>
    <cellStyle name="원_2002-03경찰청-경찰표지장" xfId="693"/>
    <cellStyle name="원_2002-03반디-가로등(열주형)" xfId="694"/>
    <cellStyle name="원_2002-03신화전자-감지기" xfId="695"/>
    <cellStyle name="원_2002-04강원랜드-슬러트머신" xfId="696"/>
    <cellStyle name="원_2002-04메가컴-외주무대" xfId="697"/>
    <cellStyle name="원_2002-04엘지애드-무대" xfId="698"/>
    <cellStyle name="원_2002-05강원랜드-슬러트머신(넥스터)" xfId="699"/>
    <cellStyle name="원_2002-05경기경찰청-냉온수기공사" xfId="700"/>
    <cellStyle name="원_2002-05대통령비서실-카페트" xfId="701"/>
    <cellStyle name="원_2002결과표" xfId="702"/>
    <cellStyle name="원_2002결과표_강원지역본부(2006년_060109)" xfId="703"/>
    <cellStyle name="원_2002결과표_경남지역본부-" xfId="704"/>
    <cellStyle name="원_2002결과표_경북지역본부-" xfId="705"/>
    <cellStyle name="원_2002결과표_중부지역본부-" xfId="706"/>
    <cellStyle name="원_2002결과표_충청지역본부-" xfId="707"/>
    <cellStyle name="원_2002결과표_통행료면탈방지시스템(최종)" xfId="708"/>
    <cellStyle name="원_2002결과표_호남지역본부-" xfId="709"/>
    <cellStyle name="원_2002결과표1" xfId="710"/>
    <cellStyle name="원_2003-01정일사-표창5종" xfId="711"/>
    <cellStyle name="원_간지,목차,페이지,표지" xfId="712"/>
    <cellStyle name="원_강원지역본부(2006년_060109)" xfId="713"/>
    <cellStyle name="원_경남지역본부-" xfId="714"/>
    <cellStyle name="원_경북지역본부-" xfId="715"/>
    <cellStyle name="원_경찰청-근무,기동복" xfId="716"/>
    <cellStyle name="원_공사일반관리비양식" xfId="717"/>
    <cellStyle name="원_관리동sw" xfId="718"/>
    <cellStyle name="원_기초공사" xfId="719"/>
    <cellStyle name="원_네인텍정보기술-회로카드(수현)" xfId="720"/>
    <cellStyle name="원_대기해양노무비" xfId="721"/>
    <cellStyle name="원_대북자재8월분" xfId="722"/>
    <cellStyle name="원_대북자재8월분-1" xfId="723"/>
    <cellStyle name="원_동산용사촌수현(원본)" xfId="724"/>
    <cellStyle name="원_동산용사촌수현(원본)_강원지역본부(2006년_060109)" xfId="725"/>
    <cellStyle name="원_동산용사촌수현(원본)_경남지역본부-" xfId="726"/>
    <cellStyle name="원_동산용사촌수현(원본)_경북지역본부-" xfId="727"/>
    <cellStyle name="원_동산용사촌수현(원본)_중부지역본부-" xfId="728"/>
    <cellStyle name="원_동산용사촌수현(원본)_충청지역본부-" xfId="729"/>
    <cellStyle name="원_동산용사촌수현(원본)_통행료면탈방지시스템(최종)" xfId="730"/>
    <cellStyle name="원_동산용사촌수현(원본)_호남지역본부-" xfId="731"/>
    <cellStyle name="원_목차" xfId="732"/>
    <cellStyle name="원_백제군사전시1" xfId="733"/>
    <cellStyle name="원_수초제거기(대양기계)" xfId="734"/>
    <cellStyle name="원_수초제거기(대양기계)_강원지역본부(2006년_060109)" xfId="735"/>
    <cellStyle name="원_수초제거기(대양기계)_경남지역본부-" xfId="736"/>
    <cellStyle name="원_수초제거기(대양기계)_경북지역본부-" xfId="737"/>
    <cellStyle name="원_수초제거기(대양기계)_중부지역본부-" xfId="738"/>
    <cellStyle name="원_수초제거기(대양기계)_충청지역본부-" xfId="739"/>
    <cellStyle name="원_수초제거기(대양기계)_통행료면탈방지시스템(최종)" xfId="740"/>
    <cellStyle name="원_수초제거기(대양기계)_호남지역본부-" xfId="741"/>
    <cellStyle name="원_시설용역" xfId="742"/>
    <cellStyle name="원_암전정밀실체현미경(수현)" xfId="743"/>
    <cellStyle name="원_오리엔탈" xfId="744"/>
    <cellStyle name="원_원본 - 한국전기교통-개선형신호등 4종" xfId="745"/>
    <cellStyle name="원_원본 - 한국전기교통-개선형신호등 4종_강원지역본부(2006년_060109)" xfId="746"/>
    <cellStyle name="원_원본 - 한국전기교통-개선형신호등 4종_경남지역본부-" xfId="747"/>
    <cellStyle name="원_원본 - 한국전기교통-개선형신호등 4종_경북지역본부-" xfId="748"/>
    <cellStyle name="원_원본 - 한국전기교통-개선형신호등 4종_중부지역본부-" xfId="749"/>
    <cellStyle name="원_원본 - 한국전기교통-개선형신호등 4종_충청지역본부-" xfId="750"/>
    <cellStyle name="원_원본 - 한국전기교통-개선형신호등 4종_통행료면탈방지시스템(최종)" xfId="751"/>
    <cellStyle name="원_원본 - 한국전기교통-개선형신호등 4종_호남지역본부-" xfId="752"/>
    <cellStyle name="원_제경비율모음" xfId="753"/>
    <cellStyle name="원_제조원가" xfId="754"/>
    <cellStyle name="원_조달청-대북지원3차(최수현)" xfId="755"/>
    <cellStyle name="원_조달청-대북지원4차(최수현)" xfId="756"/>
    <cellStyle name="원_조달청-대북지원5차(최수현)" xfId="757"/>
    <cellStyle name="원_조달청-대북지원6차(번호)" xfId="758"/>
    <cellStyle name="원_조달청-대북지원6차(최수현)" xfId="759"/>
    <cellStyle name="원_조달청-대북지원7차(최수현)" xfId="760"/>
    <cellStyle name="원_조달청-대북지원8차(최수현)" xfId="761"/>
    <cellStyle name="원_조달청-대북지원9차(최수현)" xfId="762"/>
    <cellStyle name="원_조달청-B판사천강교제작(최종본)" xfId="763"/>
    <cellStyle name="원_중부지역본부-" xfId="764"/>
    <cellStyle name="원_중앙선관위(투표,개표)" xfId="765"/>
    <cellStyle name="원_중앙선관위(투표,개표)_강원지역본부(2006년_060109)" xfId="766"/>
    <cellStyle name="원_중앙선관위(투표,개표)_경남지역본부-" xfId="767"/>
    <cellStyle name="원_중앙선관위(투표,개표)_경북지역본부-" xfId="768"/>
    <cellStyle name="원_중앙선관위(투표,개표)_중부지역본부-" xfId="769"/>
    <cellStyle name="원_중앙선관위(투표,개표)_충청지역본부-" xfId="770"/>
    <cellStyle name="원_중앙선관위(투표,개표)_통행료면탈방지시스템(최종)" xfId="771"/>
    <cellStyle name="원_중앙선관위(투표,개표)_호남지역본부-" xfId="772"/>
    <cellStyle name="원_중앙선관위(투표,개표)-사본" xfId="773"/>
    <cellStyle name="원_철공가공조립" xfId="774"/>
    <cellStyle name="원_최종-한국전기교통-개선형신호등 4종(공수조정)" xfId="775"/>
    <cellStyle name="원_최종-한국전기교통-개선형신호등 4종(공수조정)_강원지역본부(2006년_060109)" xfId="776"/>
    <cellStyle name="원_최종-한국전기교통-개선형신호등 4종(공수조정)_경남지역본부-" xfId="777"/>
    <cellStyle name="원_최종-한국전기교통-개선형신호등 4종(공수조정)_경북지역본부-" xfId="778"/>
    <cellStyle name="원_최종-한국전기교통-개선형신호등 4종(공수조정)_중부지역본부-" xfId="779"/>
    <cellStyle name="원_최종-한국전기교통-개선형신호등 4종(공수조정)_충청지역본부-" xfId="780"/>
    <cellStyle name="원_최종-한국전기교통-개선형신호등 4종(공수조정)_통행료면탈방지시스템(최종)" xfId="781"/>
    <cellStyle name="원_최종-한국전기교통-개선형신호등 4종(공수조정)_호남지역본부-" xfId="782"/>
    <cellStyle name="원_충청지역본부-" xfId="783"/>
    <cellStyle name="원_코솔라-제조원가" xfId="784"/>
    <cellStyle name="원_토지공사-간접비" xfId="785"/>
    <cellStyle name="원_통행료면탈방지시스템(최종)" xfId="786"/>
    <cellStyle name="원_한국도로공사" xfId="787"/>
    <cellStyle name="원_한전내역서-최종" xfId="788"/>
    <cellStyle name="원_호남지역본부-" xfId="789"/>
    <cellStyle name="원_Pilot플랜트-계변경" xfId="790"/>
    <cellStyle name="원_Pilot플랜트이전설치-변경최종" xfId="791"/>
    <cellStyle name="원_SW(케이비)" xfId="792"/>
    <cellStyle name="유영" xfId="793"/>
    <cellStyle name="일위대가" xfId="794"/>
    <cellStyle name="자리수" xfId="795"/>
    <cellStyle name="자리수0" xfId="796"/>
    <cellStyle name="점선" xfId="797"/>
    <cellStyle name="제목[1 줄]" xfId="798"/>
    <cellStyle name="제목[2줄 아래]" xfId="799"/>
    <cellStyle name="제목[2줄 위]" xfId="800"/>
    <cellStyle name="제목1" xfId="801"/>
    <cellStyle name="지정되지 않음" xfId="802"/>
    <cellStyle name="콤마 [#]" xfId="803"/>
    <cellStyle name="콤마 []" xfId="804"/>
    <cellStyle name="콤마 [0]" xfId="805"/>
    <cellStyle name="콤마 [0]_경비" xfId="806"/>
    <cellStyle name="콤마 [0]_국영테크" xfId="807"/>
    <cellStyle name="콤마 [0]_모형제조" xfId="808"/>
    <cellStyle name="콤마 [0]기기자재비" xfId="809"/>
    <cellStyle name="콤마 [2]" xfId="810"/>
    <cellStyle name="콤마 [금액]" xfId="811"/>
    <cellStyle name="콤마 [소수]" xfId="812"/>
    <cellStyle name="콤마 [수량]" xfId="813"/>
    <cellStyle name="콤마[ ]" xfId="814"/>
    <cellStyle name="콤마[*]" xfId="815"/>
    <cellStyle name="콤마[.]" xfId="816"/>
    <cellStyle name="콤마[0]" xfId="817"/>
    <cellStyle name="콤마_  종  합  " xfId="818"/>
    <cellStyle name="퍼센트" xfId="819"/>
    <cellStyle name="표준" xfId="0" builtinId="0"/>
    <cellStyle name="표준_1(1).청사경비용역" xfId="820"/>
    <cellStyle name="표준_1. 경기지역본부" xfId="821"/>
    <cellStyle name="표준_1.태백산맥(전시시설)" xfId="822"/>
    <cellStyle name="표준_2. 냉온수" xfId="823"/>
    <cellStyle name="표준_가변형_신성금고제작" xfId="824"/>
    <cellStyle name="표준_간지" xfId="825"/>
    <cellStyle name="표준_국영공사" xfId="826"/>
    <cellStyle name="표준_단말기" xfId="827"/>
    <cellStyle name="표준_마권용지" xfId="828"/>
    <cellStyle name="표준_모형제조" xfId="829"/>
    <cellStyle name="표준_모형제조_2-사인공사조정" xfId="830"/>
    <cellStyle name="표준_목차" xfId="831"/>
    <cellStyle name="표준_배부율" xfId="832"/>
    <cellStyle name="표준_비닐백" xfId="833"/>
    <cellStyle name="표준_양식11" xfId="834"/>
    <cellStyle name="표준_원가" xfId="835"/>
    <cellStyle name="표준_음식물쓰레기" xfId="836"/>
    <cellStyle name="표준_일반관리비" xfId="837"/>
    <cellStyle name="標準_Akia(F）-8" xfId="838"/>
    <cellStyle name="표준1" xfId="839"/>
    <cellStyle name="표준날짜" xfId="840"/>
    <cellStyle name="표준숫자" xfId="841"/>
    <cellStyle name="합산" xfId="842"/>
    <cellStyle name="화폐기호" xfId="843"/>
    <cellStyle name="화폐기호0" xfId="844"/>
    <cellStyle name="aa" xfId="845"/>
    <cellStyle name="Actual Date" xfId="846"/>
    <cellStyle name="Åë" xfId="847"/>
    <cellStyle name="Aee­ " xfId="848"/>
    <cellStyle name="Åëè­ [" xfId="849"/>
    <cellStyle name="ÅëÈ­ [0]_¸ðÇü¸·" xfId="850"/>
    <cellStyle name="AeE­ [0]_±a¼uAe½A " xfId="851"/>
    <cellStyle name="ÅëÈ­ [0]_laroux" xfId="852"/>
    <cellStyle name="Aee­ _06년)하이패스_점검내역" xfId="853"/>
    <cellStyle name="ÅëÈ­_¸ðÇü¸·" xfId="854"/>
    <cellStyle name="AeE­_±a¼uAe½A " xfId="855"/>
    <cellStyle name="ÅëÈ­_laroux" xfId="856"/>
    <cellStyle name="Æu¼¾æR" xfId="857"/>
    <cellStyle name="ALIGNMENT" xfId="858"/>
    <cellStyle name="Äþ" xfId="859"/>
    <cellStyle name="Äþ¸¶ [" xfId="860"/>
    <cellStyle name="ÄÞ¸¶ [0]_¸ðÇü¸·" xfId="861"/>
    <cellStyle name="AÞ¸¶ [0]_±a¼uAe½A " xfId="862"/>
    <cellStyle name="ÄÞ¸¶ [0]_laroux" xfId="863"/>
    <cellStyle name="ÄÞ¸¶_¸ðÇü¸·" xfId="864"/>
    <cellStyle name="AÞ¸¶_±a¼uAe½A " xfId="865"/>
    <cellStyle name="ÄÞ¸¶_laroux" xfId="866"/>
    <cellStyle name="Au¸R¼o" xfId="867"/>
    <cellStyle name="Au¸R¼o0" xfId="868"/>
    <cellStyle name="b?þ?b?þ?b?þ?b?þ?b?þ?b?þ?b?þ?b?þ?b?þ?b?þ?b灌þ?b?þ?&lt;?b?þ?b濬þ?b?þ?b?þ昰_x0018_?þ????_x0008_" xfId="869"/>
    <cellStyle name="b?þ?b?þ?b?þ?b灌þ?b?þ?&lt;?b?þ?b濬þ?b?þ?b?þ昰_x0018_?þ????_x0008_" xfId="870"/>
    <cellStyle name="b␌þකb濰þඪb瀠þයb灌þ්b炈þ宐&lt;෢b濈þෲb濬þขb瀐þฒb瀰þ昰_x0018_⋸þ㤕䰀ጤܕ_x0008_" xfId="871"/>
    <cellStyle name="b嬜þപb嬼þഺb孬þൊb⍜þ൚b⍼þ൪b⎨þൺb⏜þඊb␌þකb濰þඪb瀠þයb灌þ්b炈þ宐&lt;෢b濈þෲb濬þขb瀐þฒb瀰þ昰_x0018_⋸þ㤕䰀ጤܕ_x0008_" xfId="872"/>
    <cellStyle name="body" xfId="873"/>
    <cellStyle name="C¡IA¨ª_Sheet1 (2)" xfId="874"/>
    <cellStyle name="Ç¥" xfId="875"/>
    <cellStyle name="C￥AØ_  FAB AIA¤  " xfId="876"/>
    <cellStyle name="Ç¥ÁØ_¸ðÇü¸·" xfId="877"/>
    <cellStyle name="C￥AØ_¿μ¾÷CoE² " xfId="878"/>
    <cellStyle name="Ç¥ÁØ_°­´ç (2)" xfId="879"/>
    <cellStyle name="C￥AØ_°A·¡≫oE²" xfId="880"/>
    <cellStyle name="Calc Currency (0)" xfId="881"/>
    <cellStyle name="category" xfId="882"/>
    <cellStyle name="CIAIÆU¸μAⓒ" xfId="883"/>
    <cellStyle name="Co≫e" xfId="884"/>
    <cellStyle name="Comma" xfId="885"/>
    <cellStyle name="Comma [0]" xfId="886"/>
    <cellStyle name="comma zerodec" xfId="887"/>
    <cellStyle name="Comma_ SG&amp;A Bridge " xfId="888"/>
    <cellStyle name="Comma0" xfId="889"/>
    <cellStyle name="Copied" xfId="890"/>
    <cellStyle name="Curren?_x0012_퐀_x0017_?" xfId="891"/>
    <cellStyle name="Currency" xfId="892"/>
    <cellStyle name="Currency [0]" xfId="893"/>
    <cellStyle name="Currency_ SG&amp;A Bridge " xfId="894"/>
    <cellStyle name="Currency0" xfId="895"/>
    <cellStyle name="Currency1" xfId="896"/>
    <cellStyle name="Date" xfId="897"/>
    <cellStyle name="Dezimal [0]_Ausdruck RUND (D)" xfId="898"/>
    <cellStyle name="Dezimal_Ausdruck RUND (D)" xfId="899"/>
    <cellStyle name="Dollar (zero dec)" xfId="900"/>
    <cellStyle name="E­æo±ae￡" xfId="901"/>
    <cellStyle name="E­æo±ae￡0" xfId="902"/>
    <cellStyle name="Entered" xfId="903"/>
    <cellStyle name="Euro" xfId="904"/>
    <cellStyle name="F2" xfId="905"/>
    <cellStyle name="F3" xfId="906"/>
    <cellStyle name="F4" xfId="907"/>
    <cellStyle name="F5" xfId="908"/>
    <cellStyle name="F6" xfId="909"/>
    <cellStyle name="F7" xfId="910"/>
    <cellStyle name="F8" xfId="911"/>
    <cellStyle name="Fixed" xfId="912"/>
    <cellStyle name="G/표준" xfId="913"/>
    <cellStyle name="Grey" xfId="914"/>
    <cellStyle name="head" xfId="915"/>
    <cellStyle name="head 1" xfId="916"/>
    <cellStyle name="head 1-1" xfId="917"/>
    <cellStyle name="HEADER" xfId="918"/>
    <cellStyle name="Header1" xfId="919"/>
    <cellStyle name="Header2" xfId="920"/>
    <cellStyle name="Heading 1" xfId="921"/>
    <cellStyle name="Heading 2" xfId="922"/>
    <cellStyle name="Heading1" xfId="923"/>
    <cellStyle name="Heading2" xfId="924"/>
    <cellStyle name="Helv8_PFD4.XLS" xfId="925"/>
    <cellStyle name="HIGHLIGHT" xfId="926"/>
    <cellStyle name="Hyperlink_NEGS" xfId="927"/>
    <cellStyle name="Input [yellow]" xfId="928"/>
    <cellStyle name="Milliers [0]_Arabian Spec" xfId="929"/>
    <cellStyle name="Milliers_Arabian Spec" xfId="930"/>
    <cellStyle name="Model" xfId="931"/>
    <cellStyle name="Mon?aire [0]_Arabian Spec" xfId="932"/>
    <cellStyle name="Mon?aire_Arabian Spec" xfId="933"/>
    <cellStyle name="no dec" xfId="934"/>
    <cellStyle name="Normal - 유형1" xfId="935"/>
    <cellStyle name="Normal - Style1" xfId="936"/>
    <cellStyle name="Normal - Style2" xfId="937"/>
    <cellStyle name="Normal - Style3" xfId="938"/>
    <cellStyle name="Normal - Style4" xfId="939"/>
    <cellStyle name="Normal - Style5" xfId="940"/>
    <cellStyle name="Normal - Style6" xfId="941"/>
    <cellStyle name="Normal - Style7" xfId="942"/>
    <cellStyle name="Normal - Style8" xfId="943"/>
    <cellStyle name="Normal_ SG&amp;A Bridge" xfId="944"/>
    <cellStyle name="Œ…?æ맖?e [0.00]_laroux" xfId="945"/>
    <cellStyle name="Œ…?æ맖?e_laroux" xfId="946"/>
    <cellStyle name="oft Excel]_x000d__x000a_Comment=The open=/f lines load custom functions into the Paste Function list._x000d__x000a_Maximized=3_x000d__x000a_AutoFormat=" xfId="947"/>
    <cellStyle name="Percent" xfId="948"/>
    <cellStyle name="Percent [2]" xfId="949"/>
    <cellStyle name="Percent_06년)하이패스_점검내역" xfId="950"/>
    <cellStyle name="RevList" xfId="951"/>
    <cellStyle name="STANDARD" xfId="952"/>
    <cellStyle name="STD" xfId="953"/>
    <cellStyle name="subhead" xfId="954"/>
    <cellStyle name="Subtotal" xfId="955"/>
    <cellStyle name="þ?b?þ?b?þ?b?þ?b?þ?b?þ?b?þ?b灌þ?b?þ?&lt;?b?þ?b濬þ?b?þ?b?þ昰_x0018_?þ????_x0008_" xfId="956"/>
    <cellStyle name="þ൚b⍼þ൪b⎨þൺb⏜þඊb␌þකb濰þඪb瀠þයb灌þ්b炈þ宐&lt;෢b濈þෲb濬þขb瀐þฒb瀰þ昰_x0018_⋸þ㤕䰀ጤܕ_x0008_" xfId="957"/>
    <cellStyle name="Title" xfId="958"/>
    <cellStyle name="title [1]" xfId="959"/>
    <cellStyle name="title [2]" xfId="960"/>
    <cellStyle name="Total" xfId="961"/>
    <cellStyle name="UM" xfId="962"/>
    <cellStyle name="Unprot" xfId="963"/>
    <cellStyle name="Unprot$" xfId="964"/>
    <cellStyle name="Unprotect" xfId="965"/>
    <cellStyle name="W?rung [0]_Ausdruck RUND (D)" xfId="966"/>
    <cellStyle name="W?rung_Ausdruck RUND (D)" xfId="967"/>
    <cellStyle name="μU¿¡ ¿A´A CIAIÆU¸μAⓒ" xfId="9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externalLink" Target="externalLinks/externalLink8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3" Type="http://schemas.openxmlformats.org/officeDocument/2006/relationships/externalLink" Target="externalLinks/externalLink1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7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52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9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21</xdr:row>
      <xdr:rowOff>38100</xdr:rowOff>
    </xdr:from>
    <xdr:to>
      <xdr:col>3</xdr:col>
      <xdr:colOff>3162300</xdr:colOff>
      <xdr:row>21</xdr:row>
      <xdr:rowOff>466725</xdr:rowOff>
    </xdr:to>
    <xdr:pic>
      <xdr:nvPicPr>
        <xdr:cNvPr id="26708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86750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659" name="Line 2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660" name="Line 3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495300</xdr:rowOff>
    </xdr:from>
    <xdr:to>
      <xdr:col>3</xdr:col>
      <xdr:colOff>0</xdr:colOff>
      <xdr:row>3</xdr:row>
      <xdr:rowOff>495300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114300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16</xdr:row>
      <xdr:rowOff>28575</xdr:rowOff>
    </xdr:from>
    <xdr:to>
      <xdr:col>3</xdr:col>
      <xdr:colOff>2752725</xdr:colOff>
      <xdr:row>16</xdr:row>
      <xdr:rowOff>457200</xdr:rowOff>
    </xdr:to>
    <xdr:pic>
      <xdr:nvPicPr>
        <xdr:cNvPr id="33831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77225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807" name="Line 2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808" name="Line 3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>
          <a:off x="2152650" y="116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13</xdr:row>
      <xdr:rowOff>28575</xdr:rowOff>
    </xdr:from>
    <xdr:to>
      <xdr:col>3</xdr:col>
      <xdr:colOff>2752725</xdr:colOff>
      <xdr:row>13</xdr:row>
      <xdr:rowOff>457200</xdr:rowOff>
    </xdr:to>
    <xdr:pic>
      <xdr:nvPicPr>
        <xdr:cNvPr id="34855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305800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14</xdr:row>
      <xdr:rowOff>28575</xdr:rowOff>
    </xdr:from>
    <xdr:to>
      <xdr:col>3</xdr:col>
      <xdr:colOff>2752725</xdr:colOff>
      <xdr:row>14</xdr:row>
      <xdr:rowOff>457200</xdr:rowOff>
    </xdr:to>
    <xdr:pic>
      <xdr:nvPicPr>
        <xdr:cNvPr id="35879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67700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15</xdr:row>
      <xdr:rowOff>28575</xdr:rowOff>
    </xdr:from>
    <xdr:to>
      <xdr:col>3</xdr:col>
      <xdr:colOff>2752725</xdr:colOff>
      <xdr:row>15</xdr:row>
      <xdr:rowOff>457200</xdr:rowOff>
    </xdr:to>
    <xdr:pic>
      <xdr:nvPicPr>
        <xdr:cNvPr id="36903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77225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21</xdr:row>
      <xdr:rowOff>28575</xdr:rowOff>
    </xdr:from>
    <xdr:to>
      <xdr:col>3</xdr:col>
      <xdr:colOff>3162300</xdr:colOff>
      <xdr:row>21</xdr:row>
      <xdr:rowOff>457200</xdr:rowOff>
    </xdr:to>
    <xdr:pic>
      <xdr:nvPicPr>
        <xdr:cNvPr id="27732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77225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21</xdr:row>
      <xdr:rowOff>28575</xdr:rowOff>
    </xdr:from>
    <xdr:to>
      <xdr:col>3</xdr:col>
      <xdr:colOff>3162300</xdr:colOff>
      <xdr:row>21</xdr:row>
      <xdr:rowOff>457200</xdr:rowOff>
    </xdr:to>
    <xdr:pic>
      <xdr:nvPicPr>
        <xdr:cNvPr id="25684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77225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21</xdr:row>
      <xdr:rowOff>28575</xdr:rowOff>
    </xdr:from>
    <xdr:to>
      <xdr:col>3</xdr:col>
      <xdr:colOff>3162300</xdr:colOff>
      <xdr:row>21</xdr:row>
      <xdr:rowOff>457200</xdr:rowOff>
    </xdr:to>
    <xdr:pic>
      <xdr:nvPicPr>
        <xdr:cNvPr id="30762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77225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20</xdr:row>
      <xdr:rowOff>28575</xdr:rowOff>
    </xdr:from>
    <xdr:to>
      <xdr:col>3</xdr:col>
      <xdr:colOff>2752725</xdr:colOff>
      <xdr:row>20</xdr:row>
      <xdr:rowOff>457200</xdr:rowOff>
    </xdr:to>
    <xdr:pic>
      <xdr:nvPicPr>
        <xdr:cNvPr id="28755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324850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17</xdr:row>
      <xdr:rowOff>28575</xdr:rowOff>
    </xdr:from>
    <xdr:to>
      <xdr:col>3</xdr:col>
      <xdr:colOff>2752725</xdr:colOff>
      <xdr:row>17</xdr:row>
      <xdr:rowOff>457200</xdr:rowOff>
    </xdr:to>
    <xdr:pic>
      <xdr:nvPicPr>
        <xdr:cNvPr id="31783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39125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6343" name="Line 1"/>
        <xdr:cNvSpPr>
          <a:spLocks noChangeShapeType="1"/>
        </xdr:cNvSpPr>
      </xdr:nvSpPr>
      <xdr:spPr bwMode="auto">
        <a:xfrm>
          <a:off x="0" y="1247775"/>
          <a:ext cx="2552700" cy="6286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29831" name="Line 1"/>
        <xdr:cNvSpPr>
          <a:spLocks noChangeShapeType="1"/>
        </xdr:cNvSpPr>
      </xdr:nvSpPr>
      <xdr:spPr bwMode="auto">
        <a:xfrm>
          <a:off x="0" y="12477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6</xdr:col>
      <xdr:colOff>9525</xdr:colOff>
      <xdr:row>40</xdr:row>
      <xdr:rowOff>0</xdr:rowOff>
    </xdr:to>
    <xdr:sp macro="" textlink="">
      <xdr:nvSpPr>
        <xdr:cNvPr id="29832" name="Line 9"/>
        <xdr:cNvSpPr>
          <a:spLocks noChangeShapeType="1"/>
        </xdr:cNvSpPr>
      </xdr:nvSpPr>
      <xdr:spPr bwMode="auto">
        <a:xfrm>
          <a:off x="0" y="9925050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17</xdr:row>
      <xdr:rowOff>28575</xdr:rowOff>
    </xdr:from>
    <xdr:to>
      <xdr:col>3</xdr:col>
      <xdr:colOff>2752725</xdr:colOff>
      <xdr:row>17</xdr:row>
      <xdr:rowOff>457200</xdr:rowOff>
    </xdr:to>
    <xdr:pic>
      <xdr:nvPicPr>
        <xdr:cNvPr id="32807" name="그림 2" descr="휴먼엑스포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8239125"/>
          <a:ext cx="1933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&#54217;&#534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SJ\&#47932;&#44032;&#50672;&#46041;&#51228;\&#47932;&#44032;&#51312;&#51221;&#50984;\WINDOWS\EXCEL\KI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HEXCEL\XLS\XL_DATA\&#44204;&#51201;\&#50629;&#52404;\HIT\&#50500;&#49328;&#44277;&#51109;\&#50500;&#49328;&#51032;&#512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My%20Documents\&#51312;&#49324;&#51088;&#47308;\WINDOWS\EXCEL\K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2&#45380;\My%20Documents\KI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&#50896;&#44032;&#44228;&#49328;\4\2002&#50900;&#46300;&#52981;\KK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KK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02\cad00-e\HEXCEL\XLS\XL_DATA\&#44204;&#51201;\&#50629;&#52404;\HIT\&#50500;&#49328;&#44277;&#51109;\&#50500;&#49328;&#51032;&#5120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896;&#44032;&#44228;&#49328;\4\2002&#50900;&#46300;&#52981;\KK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건축"/>
      <sheetName val="건집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초자료"/>
      <sheetName val="내역"/>
      <sheetName val="#REF"/>
      <sheetName val="현장"/>
      <sheetName val="기본일위"/>
      <sheetName val="J直材4"/>
      <sheetName val="MAIN_TABLE"/>
      <sheetName val="I一般比"/>
      <sheetName val="교통대책내역"/>
      <sheetName val="백암비스타내역"/>
      <sheetName val="예산M11A"/>
      <sheetName val="건축내역"/>
      <sheetName val="101동"/>
      <sheetName val="2000년1차"/>
      <sheetName val="2000전체분"/>
      <sheetName val="출자한도"/>
      <sheetName val="3BL공동구 수량"/>
      <sheetName val="일대-1"/>
      <sheetName val="KKK"/>
      <sheetName val="공사비총괄표"/>
      <sheetName val="공사개요(서광주)"/>
      <sheetName val="자료"/>
      <sheetName val="재료"/>
      <sheetName val="기본단가표"/>
      <sheetName val="단가조사"/>
      <sheetName val="식재인부"/>
      <sheetName val="N賃率-職"/>
      <sheetName val="영창26"/>
      <sheetName val="설직재-1"/>
      <sheetName val="골재산출"/>
      <sheetName val="요율"/>
      <sheetName val="본공사"/>
      <sheetName val="대공종"/>
      <sheetName val="설계서"/>
      <sheetName val="단가산출"/>
      <sheetName val="적용토목"/>
      <sheetName val="갑지"/>
      <sheetName val="경산"/>
      <sheetName val="산근"/>
      <sheetName val="기초내역서"/>
      <sheetName val="수량산출"/>
      <sheetName val="대가목록표"/>
      <sheetName val="실행"/>
      <sheetName val="갑지(추정)"/>
      <sheetName val="AIR SHOWER(3인용)"/>
      <sheetName val="Customer Databas"/>
      <sheetName val="물가자료"/>
      <sheetName val="철탑공사"/>
      <sheetName val="스포회원매출"/>
      <sheetName val="교각별철근수량집계표"/>
      <sheetName val="금액내역서"/>
      <sheetName val="산출근거"/>
      <sheetName val="차수공개요"/>
      <sheetName val="CTEMCOST"/>
      <sheetName val="조명율표"/>
      <sheetName val="총괄표"/>
      <sheetName val="산출내역서"/>
      <sheetName val="5공철탑검토표"/>
      <sheetName val="4공철탑검토"/>
      <sheetName val="지질조사"/>
      <sheetName val="코드표"/>
      <sheetName val="재료비노무비"/>
      <sheetName val="당초"/>
      <sheetName val="노임"/>
      <sheetName val="NYS"/>
      <sheetName val="단중표"/>
      <sheetName val="예산"/>
      <sheetName val="원가 (2)"/>
      <sheetName val="본체"/>
      <sheetName val="위생설비"/>
      <sheetName val="연부97-1"/>
      <sheetName val="조건표"/>
      <sheetName val="자갈,시멘트,모래산출"/>
      <sheetName val="데이타"/>
      <sheetName val="DATA"/>
      <sheetName val="asd"/>
      <sheetName val="6PILE  (돌출)"/>
      <sheetName val="지하"/>
      <sheetName val="도급기성"/>
      <sheetName val="설비단가표"/>
      <sheetName val="Sheet5"/>
      <sheetName val="LEGEND"/>
      <sheetName val="오수공수량집계표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LF자재단가"/>
      <sheetName val="자재단가"/>
      <sheetName val="토공(우물통,기타) "/>
      <sheetName val="Sheet6"/>
      <sheetName val="공사직종별노임"/>
      <sheetName val="48전력선로일위"/>
      <sheetName val="단가표"/>
      <sheetName val="일위대가목차"/>
      <sheetName val="교수설계"/>
      <sheetName val="식생블럭단위수량"/>
      <sheetName val="1.설계조건"/>
      <sheetName val="시설물기초"/>
      <sheetName val=" 냉각수펌프"/>
      <sheetName val="AHU집계"/>
      <sheetName val="노임,재료비"/>
      <sheetName val="토공 total"/>
      <sheetName val=" HIT-&gt;HMC 견적(3900)"/>
      <sheetName val="중기"/>
      <sheetName val="RE9604"/>
      <sheetName val="내역서2안"/>
      <sheetName val="ELEC"/>
      <sheetName val="9GNG운반"/>
      <sheetName val="기술부대조건"/>
      <sheetName val="율촌법률사무소2내역"/>
      <sheetName val="공조기휀"/>
      <sheetName val="내역서(중수)"/>
      <sheetName val="CAT_5"/>
      <sheetName val="단가비교표_공통1"/>
      <sheetName val="CIVIL4"/>
      <sheetName val="N賃率_職"/>
      <sheetName val="내역서 "/>
      <sheetName val="특외대"/>
      <sheetName val="철거산출근거"/>
      <sheetName val="입찰안"/>
      <sheetName val="노무비"/>
      <sheetName val="조명시설"/>
      <sheetName val="목록"/>
      <sheetName val="시멘트"/>
      <sheetName val="102역사"/>
      <sheetName val="6호기"/>
      <sheetName val="금액집계"/>
      <sheetName val="96정변2"/>
      <sheetName val="수주추정"/>
      <sheetName val="내역(원안-대안)"/>
      <sheetName val="당진1,2호기전선관설치및접지4차공사내역서-을지"/>
      <sheetName val="본체철근표"/>
      <sheetName val="역공종"/>
      <sheetName val="대치판정"/>
      <sheetName val="원가서"/>
      <sheetName val="전기일위목록"/>
      <sheetName val="노무,재료"/>
      <sheetName val="견적"/>
      <sheetName val="사다리"/>
      <sheetName val="아파트건축"/>
      <sheetName val="도급견적가"/>
      <sheetName val="기계경비(시간당)"/>
      <sheetName val="공통가설공사"/>
      <sheetName val="표지"/>
      <sheetName val="조경일람"/>
      <sheetName val="guard(mac)"/>
      <sheetName val="제-노임"/>
      <sheetName val="제직재"/>
      <sheetName val="데리네이타현황"/>
      <sheetName val="총수량집계표"/>
      <sheetName val="제작비추산총괄표"/>
      <sheetName val="갑"/>
      <sheetName val="001"/>
      <sheetName val="단위내역서"/>
      <sheetName val="주beam"/>
      <sheetName val="공사개요"/>
      <sheetName val="견적서"/>
      <sheetName val="원가계산서"/>
      <sheetName val="부대공Ⅱ"/>
      <sheetName val="간접1"/>
      <sheetName val="장비가동"/>
      <sheetName val="내역관리1"/>
      <sheetName val="산출-설비"/>
      <sheetName val="설_(3)"/>
      <sheetName val="설_(2)"/>
      <sheetName val="3BL공동구_수량"/>
      <sheetName val="갑지1"/>
      <sheetName val="전선 및 전선관"/>
      <sheetName val="공통가설"/>
      <sheetName val="저"/>
      <sheetName val="내역(설계)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입력변수"/>
      <sheetName val="일위"/>
      <sheetName val="3.2제조설비"/>
      <sheetName val="적용건축"/>
      <sheetName val="일위대가1"/>
      <sheetName val="계약서"/>
      <sheetName val="DAT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F 회의실견적(5_14 일대)"/>
      <sheetName val="20관리비율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연부97-1"/>
      <sheetName val="갑지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일위대가목록"/>
      <sheetName val="사당"/>
      <sheetName val="한강운반비"/>
      <sheetName val="1차 내역서"/>
      <sheetName val="공통(20-91)"/>
      <sheetName val="물가"/>
      <sheetName val="원가 (2)"/>
      <sheetName val="백암비스타내역"/>
      <sheetName val="직재"/>
      <sheetName val="#REF"/>
      <sheetName val="6PILE  (돌출)"/>
      <sheetName val="일위대가(4층원격)"/>
      <sheetName val="을"/>
      <sheetName val="차액보증"/>
      <sheetName val="철거산출근거"/>
      <sheetName val="입찰안"/>
      <sheetName val="견적서"/>
      <sheetName val="부대공"/>
      <sheetName val="포장공"/>
      <sheetName val="토공"/>
      <sheetName val="J直材4"/>
      <sheetName val="설계서(표지)"/>
      <sheetName val="원가계산서"/>
      <sheetName val="내역서2안"/>
      <sheetName val="기초내역서"/>
      <sheetName val="수량산출"/>
      <sheetName val="대가목록표"/>
      <sheetName val="98지급계획"/>
      <sheetName val="현장"/>
      <sheetName val="2공구산출내역"/>
      <sheetName val="품셈TABLE"/>
      <sheetName val="토목공사일반"/>
      <sheetName val="추가대화"/>
      <sheetName val="공통가설"/>
      <sheetName val="인건-측정"/>
      <sheetName val="노무"/>
      <sheetName val="단가조사"/>
      <sheetName val="JUCK"/>
      <sheetName val="공사개요"/>
      <sheetName val="실행내역"/>
      <sheetName val="공사현황"/>
      <sheetName val="금액내역서"/>
      <sheetName val="소방사항"/>
      <sheetName val="교통대책내역"/>
      <sheetName val="DATE"/>
      <sheetName val="산출근거"/>
      <sheetName val="자재단가리스트"/>
      <sheetName val="패널"/>
      <sheetName val="계양가시설"/>
      <sheetName val="평가데이터"/>
      <sheetName val="N賃率-職"/>
      <sheetName val="도급FORM"/>
      <sheetName val="아파트 내역"/>
      <sheetName val="초기화면"/>
      <sheetName val="관급자재"/>
      <sheetName val="TANK견적대지"/>
      <sheetName val="골조시행"/>
      <sheetName val="첨부1"/>
      <sheetName val="부재리스트"/>
      <sheetName val="BID"/>
      <sheetName val="CT "/>
      <sheetName val="일위"/>
      <sheetName val="대상공사(조달청)"/>
      <sheetName val="자료(통합)"/>
      <sheetName val="내역서(설비+소방)"/>
      <sheetName val="전체"/>
      <sheetName val="별표"/>
      <sheetName val="KIM"/>
      <sheetName val="내역서총집계표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기본일위"/>
      <sheetName val="건축원가"/>
      <sheetName val="NEGO"/>
      <sheetName val="BCK3672"/>
      <sheetName val="설계내역서"/>
      <sheetName val="2공구하도급내역서"/>
      <sheetName val="현장경비"/>
      <sheetName val="중기조종사 단위단가"/>
      <sheetName val="요율"/>
      <sheetName val="2000.11월설계내역"/>
      <sheetName val="인테리어내역"/>
      <sheetName val="자  재"/>
      <sheetName val="건축외주"/>
      <sheetName val="갑지(추정)"/>
      <sheetName val="토목"/>
      <sheetName val="감가상각"/>
      <sheetName val="토사(PE)"/>
      <sheetName val="Total"/>
      <sheetName val="실행"/>
      <sheetName val="104동"/>
      <sheetName val="2006년일위대가"/>
      <sheetName val="Sheet4"/>
      <sheetName val="데이타"/>
      <sheetName val="시설장비부하계산서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ELECTRIC"/>
      <sheetName val="20관리비율"/>
      <sheetName val="사급자재(1단계)"/>
      <sheetName val="단가기준"/>
      <sheetName val="저"/>
      <sheetName val="설계명세서"/>
      <sheetName val="자료입력"/>
      <sheetName val="간접"/>
      <sheetName val="LP-S"/>
      <sheetName val="날개벽"/>
      <sheetName val="직접수량"/>
      <sheetName val="원가계산서 "/>
      <sheetName val="청천내"/>
      <sheetName val="단가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VXXXXX"/>
      <sheetName val="적용대가"/>
      <sheetName val="지수내역"/>
      <sheetName val="노(97.1,97.9,98.1)"/>
      <sheetName val="노임단가"/>
      <sheetName val="일위대가목록"/>
      <sheetName val="내역서2안"/>
      <sheetName val="Sheet1"/>
      <sheetName val="일위_파일"/>
      <sheetName val="견적서"/>
      <sheetName val="출력은 금물"/>
      <sheetName val="철거산출근거"/>
      <sheetName val="일위대가(건축)"/>
      <sheetName val="Baby일위대가"/>
      <sheetName val="일위대가"/>
      <sheetName val=" 냉각수펌프"/>
      <sheetName val="경산"/>
      <sheetName val="단가 "/>
      <sheetName val="COVER"/>
      <sheetName val="직재"/>
      <sheetName val="#REF"/>
      <sheetName val="소비자가"/>
      <sheetName val="수량산출"/>
      <sheetName val="EJ"/>
      <sheetName val="식재일위대가"/>
      <sheetName val="2공구산출내역"/>
      <sheetName val="단가조사"/>
      <sheetName val="저"/>
      <sheetName val="내역서(삼호)"/>
      <sheetName val="간접비"/>
      <sheetName val="일위대가(출입)"/>
      <sheetName val="대,유,램"/>
      <sheetName val="국별인원"/>
      <sheetName val="J直材4"/>
      <sheetName val="일위대가(4층원격)"/>
      <sheetName val="기계내역"/>
      <sheetName val="단가조사서"/>
      <sheetName val="기초일위대가"/>
      <sheetName val="단가대비표"/>
      <sheetName val="산출기초"/>
      <sheetName val="연결관암거"/>
      <sheetName val="적용건축"/>
      <sheetName val="표지"/>
      <sheetName val="KKK"/>
      <sheetName val="Sheet3"/>
      <sheetName val="도급내역서"/>
      <sheetName val="9GNG운반"/>
      <sheetName val="소방"/>
      <sheetName val="N賃率-職"/>
      <sheetName val="기계경비(시간당)"/>
      <sheetName val="램머"/>
      <sheetName val="차액보증"/>
      <sheetName val="부분별수량산출(조합기초)"/>
      <sheetName val="Sheet1 (2)"/>
      <sheetName val="2F 회의실견적(5_14 일대)"/>
      <sheetName val="기자재비"/>
      <sheetName val="금액내역서"/>
      <sheetName val="물가자료"/>
      <sheetName val="데리네이타현황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Sheet2"/>
      <sheetName val="COL"/>
      <sheetName val="터파기및재료"/>
      <sheetName val="Sheet38"/>
      <sheetName val="손익분석"/>
      <sheetName val="Sheet5"/>
      <sheetName val="Macro1"/>
      <sheetName val="일반전기C"/>
      <sheetName val="부대공"/>
      <sheetName val="포장공"/>
      <sheetName val="토공"/>
      <sheetName val="il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공조기휀"/>
      <sheetName val="#REF"/>
      <sheetName val="J直材4"/>
      <sheetName val="백암비스타내역"/>
      <sheetName val="Sheet3"/>
      <sheetName val="일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일위대가"/>
      <sheetName val="단가산출"/>
      <sheetName val="2F 회의실견적(5_14 일대)"/>
      <sheetName val="I一般比"/>
      <sheetName val="#REF"/>
      <sheetName val="SHL"/>
      <sheetName val="_HIT__HMC 견적_3900_"/>
      <sheetName val="아산의전"/>
      <sheetName val="TABLE"/>
      <sheetName val="J直材4"/>
      <sheetName val="민감도"/>
      <sheetName val="직노"/>
      <sheetName val="노임"/>
      <sheetName val="일위대가(가설)"/>
      <sheetName val="N賃率-職"/>
      <sheetName val="간접비계산"/>
      <sheetName val="1"/>
      <sheetName val="현장관리비"/>
      <sheetName val="설직재-1"/>
      <sheetName val="1,2공구원가계산서"/>
      <sheetName val="2공구산출내역"/>
      <sheetName val="1공구산출내역서"/>
    </sheetNames>
    <sheetDataSet>
      <sheetData sheetId="0" refreshError="1"/>
      <sheetData sheetId="1" refreshError="1">
        <row r="31">
          <cell r="J31">
            <v>1.4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일위대가"/>
      <sheetName val="일위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"/>
  <sheetViews>
    <sheetView zoomScaleNormal="100" workbookViewId="0">
      <selection activeCell="N7" sqref="N7"/>
    </sheetView>
  </sheetViews>
  <sheetFormatPr defaultRowHeight="12"/>
  <cols>
    <col min="1" max="1" width="9.42578125" style="21" customWidth="1"/>
    <col min="2" max="2" width="1.7109375" style="21" customWidth="1"/>
    <col min="3" max="3" width="9.85546875" style="22" customWidth="1"/>
    <col min="4" max="5" width="1.7109375" style="22" customWidth="1"/>
    <col min="6" max="6" width="13.42578125" style="22" customWidth="1"/>
    <col min="7" max="7" width="1.7109375" style="22" customWidth="1"/>
    <col min="8" max="8" width="5.7109375" style="91" customWidth="1"/>
    <col min="9" max="9" width="1.140625" style="22" customWidth="1"/>
    <col min="10" max="10" width="12.7109375" style="22" hidden="1" customWidth="1"/>
    <col min="11" max="11" width="12.7109375" style="9" hidden="1" customWidth="1"/>
    <col min="12" max="12" width="6.7109375" style="9" hidden="1" customWidth="1"/>
    <col min="13" max="13" width="1.7109375" style="10" hidden="1" customWidth="1"/>
    <col min="14" max="14" width="12.85546875" style="10" customWidth="1"/>
    <col min="15" max="15" width="14.7109375" style="10" customWidth="1"/>
    <col min="16" max="16" width="16.140625" style="21" customWidth="1"/>
    <col min="17" max="17" width="16.5703125" style="21" customWidth="1"/>
    <col min="18" max="16384" width="9.140625" style="21"/>
  </cols>
  <sheetData>
    <row r="1" spans="1:17" ht="20.100000000000001" customHeight="1">
      <c r="A1" s="24"/>
    </row>
    <row r="2" spans="1:17" ht="39.950000000000003" customHeight="1">
      <c r="A2" s="731" t="s">
        <v>975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</row>
    <row r="3" spans="1:17" ht="20.100000000000001" customHeight="1">
      <c r="A3" s="17"/>
      <c r="B3" s="17"/>
      <c r="C3" s="30"/>
      <c r="D3" s="30"/>
      <c r="E3" s="30"/>
      <c r="F3" s="30"/>
      <c r="G3" s="30"/>
      <c r="H3" s="93"/>
      <c r="I3" s="30"/>
      <c r="J3" s="30"/>
      <c r="K3" s="30"/>
      <c r="L3" s="30"/>
      <c r="M3" s="17"/>
      <c r="N3" s="17"/>
      <c r="O3" s="17"/>
    </row>
    <row r="4" spans="1:17" ht="20.100000000000001" customHeight="1">
      <c r="A4" s="21" t="s">
        <v>898</v>
      </c>
      <c r="O4" s="29"/>
      <c r="Q4" s="29" t="s">
        <v>189</v>
      </c>
    </row>
    <row r="5" spans="1:17" ht="44.25" customHeight="1">
      <c r="A5" s="77" t="s">
        <v>269</v>
      </c>
      <c r="B5" s="78" t="s">
        <v>271</v>
      </c>
      <c r="C5" s="78"/>
      <c r="D5" s="78"/>
      <c r="E5" s="5"/>
      <c r="F5" s="4" t="s">
        <v>123</v>
      </c>
      <c r="G5" s="3"/>
      <c r="H5" s="94" t="s">
        <v>797</v>
      </c>
      <c r="I5" s="79"/>
      <c r="J5" s="80" t="s">
        <v>796</v>
      </c>
      <c r="K5" s="76" t="s">
        <v>6</v>
      </c>
      <c r="L5" s="663" t="s">
        <v>7</v>
      </c>
      <c r="M5" s="662"/>
      <c r="N5" s="706" t="s">
        <v>973</v>
      </c>
      <c r="O5" s="705" t="s">
        <v>974</v>
      </c>
      <c r="P5" s="707" t="s">
        <v>971</v>
      </c>
      <c r="Q5" s="707" t="s">
        <v>972</v>
      </c>
    </row>
    <row r="6" spans="1:17" ht="43.5" customHeight="1">
      <c r="A6" s="14"/>
      <c r="B6" s="22"/>
      <c r="C6" s="23"/>
      <c r="D6" s="23"/>
      <c r="E6" s="82"/>
      <c r="F6" s="23"/>
      <c r="G6" s="13"/>
      <c r="H6" s="95" t="s">
        <v>9</v>
      </c>
      <c r="I6" s="84"/>
      <c r="J6" s="84" t="s">
        <v>10</v>
      </c>
      <c r="K6" s="84" t="s">
        <v>11</v>
      </c>
      <c r="L6" s="703" t="s">
        <v>12</v>
      </c>
      <c r="M6" s="704"/>
      <c r="N6" s="704" t="s">
        <v>13</v>
      </c>
      <c r="O6" s="84" t="s">
        <v>13</v>
      </c>
      <c r="P6" s="708"/>
      <c r="Q6" s="708"/>
    </row>
    <row r="7" spans="1:17" ht="43.5" customHeight="1">
      <c r="A7" s="670" t="s">
        <v>906</v>
      </c>
      <c r="B7" s="687"/>
      <c r="C7" s="7" t="str">
        <f>인집!B6</f>
        <v>운전원</v>
      </c>
      <c r="D7" s="7"/>
      <c r="E7" s="688"/>
      <c r="F7" s="689" t="str">
        <f>인집!E6</f>
        <v>보통인부</v>
      </c>
      <c r="G7" s="690"/>
      <c r="H7" s="653">
        <f>투입인원!F7</f>
        <v>2</v>
      </c>
      <c r="I7" s="26"/>
      <c r="J7" s="12">
        <f>원가!G34</f>
        <v>2830323</v>
      </c>
      <c r="K7" s="12">
        <f>TRUNC(J7*H7,0)</f>
        <v>5660646</v>
      </c>
      <c r="L7" s="20">
        <v>12</v>
      </c>
      <c r="M7" s="26"/>
      <c r="N7" s="26">
        <v>76099656</v>
      </c>
      <c r="O7" s="12">
        <f>TRUNC(K7*L7,0)</f>
        <v>67927752</v>
      </c>
      <c r="P7" s="709">
        <f>O7-N7</f>
        <v>-8171904</v>
      </c>
      <c r="Q7" s="710">
        <f>P7/N7</f>
        <v>-0.10738424362916962</v>
      </c>
    </row>
    <row r="8" spans="1:17" ht="43.5" customHeight="1">
      <c r="A8" s="118" t="s">
        <v>907</v>
      </c>
      <c r="B8" s="22"/>
      <c r="C8" s="8" t="str">
        <f>인집!B7</f>
        <v>사무원</v>
      </c>
      <c r="D8" s="8"/>
      <c r="E8" s="85"/>
      <c r="F8" s="86" t="str">
        <f>인집!E7</f>
        <v>보통인부</v>
      </c>
      <c r="G8" s="87"/>
      <c r="H8" s="96">
        <f>투입인원!F9</f>
        <v>1</v>
      </c>
      <c r="I8" s="18"/>
      <c r="J8" s="18">
        <f>원가!G68</f>
        <v>2695924</v>
      </c>
      <c r="K8" s="11">
        <f>TRUNC(J8*H8,0)</f>
        <v>2695924</v>
      </c>
      <c r="L8" s="19">
        <v>12</v>
      </c>
      <c r="M8" s="18"/>
      <c r="N8" s="18">
        <v>33973692</v>
      </c>
      <c r="O8" s="11">
        <f>TRUNC(K8*L8,0)</f>
        <v>32351088</v>
      </c>
      <c r="P8" s="709">
        <f>O8-N8</f>
        <v>-1622604</v>
      </c>
      <c r="Q8" s="710">
        <f>P8/N8</f>
        <v>-4.7760602527390901E-2</v>
      </c>
    </row>
    <row r="9" spans="1:17" ht="43.5" customHeight="1">
      <c r="A9" s="76" t="s">
        <v>14</v>
      </c>
      <c r="B9" s="27"/>
      <c r="C9" s="27"/>
      <c r="D9" s="27"/>
      <c r="E9" s="2"/>
      <c r="F9" s="7"/>
      <c r="G9" s="1"/>
      <c r="H9" s="98">
        <f>SUM(H7:H8)</f>
        <v>3</v>
      </c>
      <c r="I9" s="26"/>
      <c r="J9" s="26"/>
      <c r="K9" s="12"/>
      <c r="L9" s="20"/>
      <c r="M9" s="26"/>
      <c r="N9" s="26">
        <v>110073348</v>
      </c>
      <c r="O9" s="12">
        <f>SUM(O7:O8)</f>
        <v>100278840</v>
      </c>
      <c r="P9" s="709">
        <f>O9-N9</f>
        <v>-9794508</v>
      </c>
      <c r="Q9" s="710">
        <f>P9/N9</f>
        <v>-8.8981648854725481E-2</v>
      </c>
    </row>
    <row r="10" spans="1:17" ht="24.95" customHeight="1">
      <c r="A10" s="25" t="str">
        <f>"주 1) 투입인원 : "&amp;투입인원!A1&amp;투입인원!A2&amp;" 참조"</f>
        <v>주 1) 투입인원 : &lt; 표 : 10 &gt; 적용직종 및 소요인원산정표 참조</v>
      </c>
      <c r="B10" s="25"/>
      <c r="C10" s="25"/>
      <c r="D10" s="25"/>
      <c r="E10" s="6"/>
      <c r="F10" s="8"/>
      <c r="G10" s="6"/>
      <c r="H10" s="99"/>
      <c r="I10" s="6"/>
      <c r="J10" s="6"/>
      <c r="M10" s="9"/>
      <c r="N10" s="9"/>
      <c r="O10" s="9"/>
      <c r="P10" s="88"/>
    </row>
    <row r="11" spans="1:17" ht="24.95" customHeight="1">
      <c r="A11" s="25" t="str">
        <f>"   2) 단위(1인)당월간용역비 : "&amp;원가집계!A1&amp;원가집계!A2&amp;" 참조"</f>
        <v xml:space="preserve">   2) 단위(1인)당월간용역비 : &lt; 표 : 1 &gt; 용역원가계산서 참조</v>
      </c>
      <c r="B11" s="25"/>
      <c r="C11" s="25"/>
      <c r="D11" s="25"/>
      <c r="E11" s="6"/>
      <c r="F11" s="8"/>
      <c r="G11" s="6"/>
      <c r="H11" s="99"/>
      <c r="I11" s="6"/>
      <c r="J11" s="6"/>
      <c r="M11" s="9"/>
      <c r="N11" s="9"/>
      <c r="O11" s="90"/>
    </row>
    <row r="12" spans="1:17" ht="24.95" customHeight="1">
      <c r="A12" s="28" t="s">
        <v>799</v>
      </c>
      <c r="B12" s="28"/>
      <c r="C12" s="25"/>
      <c r="D12" s="25"/>
      <c r="E12" s="6"/>
      <c r="F12" s="8"/>
      <c r="G12" s="6"/>
      <c r="H12" s="99"/>
      <c r="I12" s="6"/>
      <c r="J12" s="6"/>
      <c r="M12" s="9"/>
      <c r="N12" s="9"/>
      <c r="O12" s="90"/>
    </row>
    <row r="13" spans="1:17" ht="24.95" customHeight="1">
      <c r="A13" s="28" t="s">
        <v>800</v>
      </c>
      <c r="B13" s="28"/>
      <c r="C13" s="25"/>
      <c r="D13" s="25"/>
      <c r="E13" s="6"/>
      <c r="F13" s="8"/>
      <c r="G13" s="6"/>
      <c r="H13" s="99"/>
      <c r="I13" s="6"/>
      <c r="J13" s="6"/>
      <c r="M13" s="9"/>
      <c r="N13" s="9"/>
      <c r="O13" s="90"/>
    </row>
    <row r="14" spans="1:17" ht="24.95" customHeight="1">
      <c r="A14" s="28" t="s">
        <v>190</v>
      </c>
      <c r="B14" s="28"/>
      <c r="C14" s="25"/>
      <c r="D14" s="25"/>
      <c r="E14" s="6"/>
      <c r="F14" s="8"/>
      <c r="G14" s="6"/>
      <c r="H14" s="99"/>
      <c r="I14" s="6"/>
      <c r="J14" s="6"/>
      <c r="M14" s="9"/>
      <c r="N14" s="9"/>
      <c r="O14" s="9"/>
    </row>
    <row r="15" spans="1:17" ht="24.95" customHeight="1">
      <c r="A15" s="28" t="s">
        <v>798</v>
      </c>
      <c r="B15" s="28"/>
      <c r="C15" s="25"/>
      <c r="D15" s="25"/>
      <c r="E15" s="6"/>
      <c r="F15" s="8"/>
      <c r="G15" s="6"/>
      <c r="H15" s="99"/>
      <c r="I15" s="6"/>
      <c r="J15" s="6"/>
      <c r="M15" s="9"/>
      <c r="N15" s="9"/>
      <c r="O15" s="9"/>
    </row>
  </sheetData>
  <mergeCells count="1">
    <mergeCell ref="A2:Q2"/>
  </mergeCells>
  <phoneticPr fontId="5" type="noConversion"/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Zeros="0" view="pageBreakPreview" topLeftCell="A13" zoomScaleNormal="100" zoomScaleSheetLayoutView="100" workbookViewId="0">
      <selection activeCell="G17" sqref="G17"/>
    </sheetView>
  </sheetViews>
  <sheetFormatPr defaultRowHeight="12"/>
  <cols>
    <col min="1" max="1" width="1.7109375" style="124" customWidth="1"/>
    <col min="2" max="2" width="3.7109375" style="135" customWidth="1"/>
    <col min="3" max="3" width="8.5703125" style="124" bestFit="1" customWidth="1"/>
    <col min="4" max="4" width="1.7109375" style="124" customWidth="1"/>
    <col min="5" max="5" width="20.7109375" style="135" customWidth="1"/>
    <col min="6" max="6" width="1.7109375" style="135" customWidth="1"/>
    <col min="7" max="8" width="20.140625" style="99" customWidth="1"/>
    <col min="9" max="9" width="16.7109375" style="99" customWidth="1"/>
    <col min="10" max="10" width="16.7109375" style="124" bestFit="1" customWidth="1"/>
    <col min="11" max="16384" width="9.140625" style="124"/>
  </cols>
  <sheetData>
    <row r="1" spans="1:12" ht="20.100000000000001" customHeight="1">
      <c r="A1" s="123" t="s">
        <v>655</v>
      </c>
      <c r="B1" s="123"/>
      <c r="C1" s="123"/>
      <c r="D1" s="123"/>
      <c r="E1" s="124"/>
      <c r="F1" s="124"/>
      <c r="G1" s="124"/>
      <c r="H1" s="124"/>
      <c r="I1" s="124"/>
      <c r="J1" s="125"/>
      <c r="K1" s="125"/>
      <c r="L1" s="125"/>
    </row>
    <row r="2" spans="1:12" s="93" customFormat="1" ht="39.950000000000003" customHeight="1">
      <c r="A2" s="92" t="s">
        <v>686</v>
      </c>
      <c r="B2" s="126"/>
      <c r="C2" s="127"/>
      <c r="D2" s="127"/>
      <c r="E2" s="128"/>
      <c r="F2" s="128"/>
      <c r="G2" s="129"/>
      <c r="H2" s="129"/>
      <c r="I2" s="129"/>
    </row>
    <row r="3" spans="1:12" ht="20.100000000000001" customHeight="1">
      <c r="A3" s="130"/>
      <c r="B3" s="131"/>
      <c r="C3" s="130"/>
      <c r="D3" s="130"/>
      <c r="E3" s="131"/>
      <c r="F3" s="131"/>
      <c r="G3" s="132"/>
      <c r="H3" s="132"/>
      <c r="I3" s="132"/>
      <c r="L3" s="93"/>
    </row>
    <row r="4" spans="1:12" ht="19.5" customHeight="1">
      <c r="A4" s="91" t="str">
        <f>집계!A4</f>
        <v>건 명 : 경기문화재단 2012년도 파견용역</v>
      </c>
      <c r="B4" s="133"/>
      <c r="C4" s="134"/>
      <c r="D4" s="134"/>
      <c r="G4" s="136"/>
      <c r="H4" s="136"/>
      <c r="I4" s="137" t="s">
        <v>189</v>
      </c>
      <c r="L4" s="93"/>
    </row>
    <row r="5" spans="1:12" ht="24.95" customHeight="1">
      <c r="A5" s="138"/>
      <c r="B5" s="139"/>
      <c r="C5" s="139"/>
      <c r="D5" s="139"/>
      <c r="E5" s="140" t="s">
        <v>231</v>
      </c>
      <c r="F5" s="140"/>
      <c r="G5" s="141" t="str">
        <f>인집!$B$6</f>
        <v>운전원</v>
      </c>
      <c r="H5" s="141" t="str">
        <f>인집!$B$7</f>
        <v>사무원</v>
      </c>
      <c r="I5" s="734" t="s">
        <v>913</v>
      </c>
      <c r="L5" s="93"/>
    </row>
    <row r="6" spans="1:12" ht="24.95" customHeight="1">
      <c r="A6" s="142" t="s">
        <v>232</v>
      </c>
      <c r="B6" s="143"/>
      <c r="C6" s="144"/>
      <c r="D6" s="144"/>
      <c r="E6" s="144"/>
      <c r="F6" s="144"/>
      <c r="G6" s="145" t="str">
        <f>"("&amp;인집!$E$6&amp;")"</f>
        <v>(보통인부)</v>
      </c>
      <c r="H6" s="145" t="str">
        <f>"("&amp;인집!$E$7&amp;")"</f>
        <v>(보통인부)</v>
      </c>
      <c r="I6" s="735"/>
    </row>
    <row r="7" spans="1:12" ht="18.95" customHeight="1">
      <c r="A7" s="739" t="s">
        <v>217</v>
      </c>
      <c r="B7" s="740"/>
      <c r="C7" s="736" t="s">
        <v>233</v>
      </c>
      <c r="D7" s="737"/>
      <c r="E7" s="737"/>
      <c r="F7" s="738"/>
      <c r="G7" s="146">
        <f>원가!G7</f>
        <v>1116360</v>
      </c>
      <c r="H7" s="146">
        <f>원가!G41</f>
        <v>1116360</v>
      </c>
      <c r="I7" s="146"/>
    </row>
    <row r="8" spans="1:12" ht="18.95" customHeight="1">
      <c r="A8" s="741"/>
      <c r="B8" s="742"/>
      <c r="C8" s="745" t="s">
        <v>659</v>
      </c>
      <c r="D8" s="147"/>
      <c r="E8" s="148" t="s">
        <v>0</v>
      </c>
      <c r="F8" s="149"/>
      <c r="G8" s="146">
        <f>원가!G8</f>
        <v>260795</v>
      </c>
      <c r="H8" s="146">
        <f>원가!G42</f>
        <v>260795</v>
      </c>
      <c r="I8" s="146"/>
    </row>
    <row r="9" spans="1:12" ht="18.95" customHeight="1">
      <c r="A9" s="741"/>
      <c r="B9" s="742"/>
      <c r="C9" s="746"/>
      <c r="D9" s="147"/>
      <c r="E9" s="148" t="s">
        <v>245</v>
      </c>
      <c r="F9" s="149"/>
      <c r="G9" s="146">
        <f>원가!G9</f>
        <v>256388</v>
      </c>
      <c r="H9" s="146">
        <f>원가!G43</f>
        <v>256388</v>
      </c>
      <c r="I9" s="146"/>
    </row>
    <row r="10" spans="1:12" ht="18.95" customHeight="1">
      <c r="A10" s="741"/>
      <c r="B10" s="742"/>
      <c r="C10" s="746"/>
      <c r="D10" s="147"/>
      <c r="E10" s="148" t="s">
        <v>4</v>
      </c>
      <c r="F10" s="149"/>
      <c r="G10" s="146">
        <f>원가!G10</f>
        <v>53414</v>
      </c>
      <c r="H10" s="146">
        <f>원가!G44</f>
        <v>53414</v>
      </c>
      <c r="I10" s="146"/>
    </row>
    <row r="11" spans="1:12" ht="18.95" customHeight="1">
      <c r="A11" s="741"/>
      <c r="B11" s="742"/>
      <c r="C11" s="746"/>
      <c r="D11" s="147"/>
      <c r="E11" s="148" t="s">
        <v>274</v>
      </c>
      <c r="F11" s="149"/>
      <c r="G11" s="146">
        <f>원가!G11</f>
        <v>0</v>
      </c>
      <c r="H11" s="146">
        <f>원가!G45</f>
        <v>0</v>
      </c>
      <c r="I11" s="146"/>
    </row>
    <row r="12" spans="1:12" ht="18.95" customHeight="1">
      <c r="A12" s="741"/>
      <c r="B12" s="742"/>
      <c r="C12" s="747"/>
      <c r="D12" s="147"/>
      <c r="E12" s="147" t="s">
        <v>5</v>
      </c>
      <c r="F12" s="150"/>
      <c r="G12" s="146">
        <f>원가!G12</f>
        <v>570597</v>
      </c>
      <c r="H12" s="146">
        <f>원가!G46</f>
        <v>570597</v>
      </c>
      <c r="I12" s="146"/>
    </row>
    <row r="13" spans="1:12" ht="18.95" customHeight="1">
      <c r="A13" s="741"/>
      <c r="B13" s="742"/>
      <c r="C13" s="736" t="s">
        <v>234</v>
      </c>
      <c r="D13" s="737"/>
      <c r="E13" s="737"/>
      <c r="F13" s="738"/>
      <c r="G13" s="146">
        <f>원가!G13</f>
        <v>372120</v>
      </c>
      <c r="H13" s="146">
        <f>원가!G47</f>
        <v>186060</v>
      </c>
      <c r="I13" s="146"/>
    </row>
    <row r="14" spans="1:12" ht="18.95" customHeight="1">
      <c r="A14" s="741"/>
      <c r="B14" s="742"/>
      <c r="C14" s="736" t="s">
        <v>235</v>
      </c>
      <c r="D14" s="737"/>
      <c r="E14" s="737"/>
      <c r="F14" s="738"/>
      <c r="G14" s="146">
        <f>원가!G14</f>
        <v>0</v>
      </c>
      <c r="H14" s="146">
        <f>원가!G48</f>
        <v>0</v>
      </c>
      <c r="I14" s="146"/>
    </row>
    <row r="15" spans="1:12" ht="18.95" customHeight="1">
      <c r="A15" s="743"/>
      <c r="B15" s="744"/>
      <c r="C15" s="736" t="s">
        <v>236</v>
      </c>
      <c r="D15" s="737"/>
      <c r="E15" s="737"/>
      <c r="F15" s="738"/>
      <c r="G15" s="146">
        <f>원가!G15</f>
        <v>2059077</v>
      </c>
      <c r="H15" s="146">
        <f>원가!G49</f>
        <v>1873017</v>
      </c>
      <c r="I15" s="146"/>
    </row>
    <row r="16" spans="1:12" ht="18.95" customHeight="1">
      <c r="A16" s="739" t="s">
        <v>248</v>
      </c>
      <c r="B16" s="740"/>
      <c r="C16" s="745" t="s">
        <v>3</v>
      </c>
      <c r="D16" s="147"/>
      <c r="E16" s="720" t="s">
        <v>27</v>
      </c>
      <c r="F16" s="720"/>
      <c r="G16" s="729">
        <f>원가!G16</f>
        <v>20590</v>
      </c>
      <c r="H16" s="729">
        <f>원가!G50</f>
        <v>18730</v>
      </c>
      <c r="I16" s="146"/>
    </row>
    <row r="17" spans="1:9" ht="18.95" customHeight="1">
      <c r="A17" s="741"/>
      <c r="B17" s="742"/>
      <c r="C17" s="746"/>
      <c r="D17" s="147"/>
      <c r="E17" s="148" t="s">
        <v>237</v>
      </c>
      <c r="F17" s="148"/>
      <c r="G17" s="146">
        <f>원가!G17</f>
        <v>0</v>
      </c>
      <c r="H17" s="146">
        <f>원가!G51</f>
        <v>84285</v>
      </c>
      <c r="I17" s="146"/>
    </row>
    <row r="18" spans="1:9" ht="18.95" customHeight="1">
      <c r="A18" s="741"/>
      <c r="B18" s="742"/>
      <c r="C18" s="746"/>
      <c r="D18" s="147"/>
      <c r="E18" s="148" t="s">
        <v>238</v>
      </c>
      <c r="F18" s="148"/>
      <c r="G18" s="146">
        <f>원가!G18</f>
        <v>16472</v>
      </c>
      <c r="H18" s="146">
        <f>원가!G52</f>
        <v>14984</v>
      </c>
      <c r="I18" s="146"/>
    </row>
    <row r="19" spans="1:9" ht="18.95" customHeight="1">
      <c r="A19" s="741"/>
      <c r="B19" s="742"/>
      <c r="C19" s="746"/>
      <c r="D19" s="147"/>
      <c r="E19" s="148" t="s">
        <v>239</v>
      </c>
      <c r="F19" s="148"/>
      <c r="G19" s="146">
        <f>원가!G19</f>
        <v>58065</v>
      </c>
      <c r="H19" s="146">
        <f>원가!G53</f>
        <v>52819</v>
      </c>
      <c r="I19" s="146"/>
    </row>
    <row r="20" spans="1:9" ht="18.95" customHeight="1">
      <c r="A20" s="741"/>
      <c r="B20" s="742"/>
      <c r="C20" s="746"/>
      <c r="D20" s="147"/>
      <c r="E20" s="151" t="s">
        <v>272</v>
      </c>
      <c r="F20" s="148"/>
      <c r="G20" s="146">
        <f>원가!G20</f>
        <v>3803</v>
      </c>
      <c r="H20" s="146">
        <f>원가!G54</f>
        <v>3459</v>
      </c>
      <c r="I20" s="146"/>
    </row>
    <row r="21" spans="1:9" ht="18.95" customHeight="1">
      <c r="A21" s="741"/>
      <c r="B21" s="742"/>
      <c r="C21" s="746"/>
      <c r="D21" s="147"/>
      <c r="E21" s="148" t="s">
        <v>240</v>
      </c>
      <c r="F21" s="148"/>
      <c r="G21" s="146">
        <f>원가!G21</f>
        <v>1647</v>
      </c>
      <c r="H21" s="146">
        <f>원가!G55</f>
        <v>1498</v>
      </c>
      <c r="I21" s="146"/>
    </row>
    <row r="22" spans="1:9" ht="18.95" customHeight="1">
      <c r="A22" s="741"/>
      <c r="B22" s="742"/>
      <c r="C22" s="747"/>
      <c r="D22" s="147"/>
      <c r="E22" s="150" t="s">
        <v>5</v>
      </c>
      <c r="F22" s="148"/>
      <c r="G22" s="146">
        <f>원가!G22</f>
        <v>100577</v>
      </c>
      <c r="H22" s="146">
        <f>원가!G56</f>
        <v>175775</v>
      </c>
      <c r="I22" s="146"/>
    </row>
    <row r="23" spans="1:9" ht="18.95" customHeight="1">
      <c r="A23" s="741"/>
      <c r="B23" s="742"/>
      <c r="C23" s="748" t="s">
        <v>684</v>
      </c>
      <c r="D23" s="147"/>
      <c r="E23" s="148" t="s">
        <v>241</v>
      </c>
      <c r="F23" s="148"/>
      <c r="G23" s="146">
        <f>원가!G23</f>
        <v>175000</v>
      </c>
      <c r="H23" s="146">
        <f>원가!G57</f>
        <v>175000</v>
      </c>
      <c r="I23" s="146"/>
    </row>
    <row r="24" spans="1:9" ht="18.95" customHeight="1">
      <c r="A24" s="741"/>
      <c r="B24" s="742"/>
      <c r="C24" s="749"/>
      <c r="D24" s="691"/>
      <c r="E24" s="720" t="s">
        <v>918</v>
      </c>
      <c r="F24" s="720"/>
      <c r="G24" s="729">
        <f>원가!G24</f>
        <v>0</v>
      </c>
      <c r="H24" s="729">
        <f>원가!G58</f>
        <v>0</v>
      </c>
      <c r="I24" s="146"/>
    </row>
    <row r="25" spans="1:9" ht="18.95" customHeight="1">
      <c r="A25" s="741"/>
      <c r="B25" s="742"/>
      <c r="C25" s="750"/>
      <c r="D25" s="147"/>
      <c r="E25" s="150" t="s">
        <v>5</v>
      </c>
      <c r="F25" s="148"/>
      <c r="G25" s="146">
        <f>원가!G25</f>
        <v>175000</v>
      </c>
      <c r="H25" s="146">
        <f>원가!G59</f>
        <v>175000</v>
      </c>
      <c r="I25" s="146"/>
    </row>
    <row r="26" spans="1:9" ht="18.95" customHeight="1">
      <c r="A26" s="741"/>
      <c r="B26" s="742"/>
      <c r="C26" s="745" t="s">
        <v>277</v>
      </c>
      <c r="D26" s="147"/>
      <c r="E26" s="720" t="s">
        <v>279</v>
      </c>
      <c r="F26" s="720"/>
      <c r="G26" s="729">
        <f>원가!G26</f>
        <v>0</v>
      </c>
      <c r="H26" s="729">
        <f>원가!G60</f>
        <v>0</v>
      </c>
      <c r="I26" s="146"/>
    </row>
    <row r="27" spans="1:9" ht="18.95" customHeight="1">
      <c r="A27" s="741"/>
      <c r="B27" s="742"/>
      <c r="C27" s="747"/>
      <c r="D27" s="147"/>
      <c r="E27" s="720" t="s">
        <v>278</v>
      </c>
      <c r="F27" s="720"/>
      <c r="G27" s="729">
        <f>원가!G27</f>
        <v>0</v>
      </c>
      <c r="H27" s="729">
        <f>원가!G61</f>
        <v>0</v>
      </c>
      <c r="I27" s="146"/>
    </row>
    <row r="28" spans="1:9" ht="18.95" customHeight="1">
      <c r="A28" s="743"/>
      <c r="B28" s="744"/>
      <c r="C28" s="736" t="s">
        <v>236</v>
      </c>
      <c r="D28" s="737"/>
      <c r="E28" s="737"/>
      <c r="F28" s="738"/>
      <c r="G28" s="146">
        <f>원가!G28</f>
        <v>275577</v>
      </c>
      <c r="H28" s="146">
        <f>원가!G62</f>
        <v>350775</v>
      </c>
      <c r="I28" s="146"/>
    </row>
    <row r="29" spans="1:9" ht="18.95" customHeight="1">
      <c r="A29" s="152"/>
      <c r="B29" s="752" t="s">
        <v>188</v>
      </c>
      <c r="C29" s="752"/>
      <c r="D29" s="752"/>
      <c r="E29" s="752"/>
      <c r="F29" s="153"/>
      <c r="G29" s="146">
        <f>원가!G29</f>
        <v>2334654</v>
      </c>
      <c r="H29" s="146">
        <f>원가!G63</f>
        <v>2223792</v>
      </c>
      <c r="I29" s="146"/>
    </row>
    <row r="30" spans="1:9" ht="18.95" customHeight="1">
      <c r="A30" s="154"/>
      <c r="B30" s="752" t="s">
        <v>962</v>
      </c>
      <c r="C30" s="752"/>
      <c r="D30" s="752"/>
      <c r="E30" s="752"/>
      <c r="F30" s="155"/>
      <c r="G30" s="146">
        <f>원가!G30</f>
        <v>70039</v>
      </c>
      <c r="H30" s="146">
        <f>원가!G64</f>
        <v>66713</v>
      </c>
      <c r="I30" s="146"/>
    </row>
    <row r="31" spans="1:9" ht="18.95" customHeight="1">
      <c r="A31" s="154"/>
      <c r="B31" s="752" t="s">
        <v>963</v>
      </c>
      <c r="C31" s="752"/>
      <c r="D31" s="752"/>
      <c r="E31" s="752"/>
      <c r="F31" s="155"/>
      <c r="G31" s="146">
        <f>원가!G31</f>
        <v>168328</v>
      </c>
      <c r="H31" s="146">
        <f>원가!G65</f>
        <v>160335</v>
      </c>
      <c r="I31" s="146"/>
    </row>
    <row r="32" spans="1:9" ht="18.95" customHeight="1">
      <c r="A32" s="154"/>
      <c r="B32" s="751" t="s">
        <v>676</v>
      </c>
      <c r="C32" s="751"/>
      <c r="D32" s="751"/>
      <c r="E32" s="751"/>
      <c r="F32" s="155"/>
      <c r="G32" s="146">
        <f>원가!G32</f>
        <v>2573021</v>
      </c>
      <c r="H32" s="146">
        <f>원가!G66</f>
        <v>2450840</v>
      </c>
      <c r="I32" s="146"/>
    </row>
    <row r="33" spans="1:9" ht="18.95" customHeight="1">
      <c r="A33" s="154"/>
      <c r="B33" s="751" t="s">
        <v>677</v>
      </c>
      <c r="C33" s="751"/>
      <c r="D33" s="751"/>
      <c r="E33" s="751"/>
      <c r="F33" s="155"/>
      <c r="G33" s="146">
        <f>원가!G33</f>
        <v>257302</v>
      </c>
      <c r="H33" s="146">
        <f>원가!G67</f>
        <v>245084</v>
      </c>
      <c r="I33" s="146"/>
    </row>
    <row r="34" spans="1:9" ht="18.95" customHeight="1">
      <c r="A34" s="154"/>
      <c r="B34" s="751" t="s">
        <v>678</v>
      </c>
      <c r="C34" s="751"/>
      <c r="D34" s="751"/>
      <c r="E34" s="751"/>
      <c r="F34" s="155"/>
      <c r="G34" s="146">
        <f>원가!G34</f>
        <v>2830323</v>
      </c>
      <c r="H34" s="146">
        <f>원가!G68</f>
        <v>2695924</v>
      </c>
      <c r="I34" s="146"/>
    </row>
  </sheetData>
  <mergeCells count="18">
    <mergeCell ref="B33:E33"/>
    <mergeCell ref="B34:E34"/>
    <mergeCell ref="B31:E31"/>
    <mergeCell ref="B32:E32"/>
    <mergeCell ref="B29:E29"/>
    <mergeCell ref="B30:E30"/>
    <mergeCell ref="I5:I6"/>
    <mergeCell ref="C7:F7"/>
    <mergeCell ref="A7:B15"/>
    <mergeCell ref="C16:C22"/>
    <mergeCell ref="C23:C25"/>
    <mergeCell ref="C8:C12"/>
    <mergeCell ref="C13:F13"/>
    <mergeCell ref="C14:F14"/>
    <mergeCell ref="C15:F15"/>
    <mergeCell ref="A16:B28"/>
    <mergeCell ref="C28:F28"/>
    <mergeCell ref="C26:C27"/>
  </mergeCells>
  <phoneticPr fontId="5" type="noConversion"/>
  <pageMargins left="0.78740157480314965" right="0.78740157480314965" top="0.78740157480314965" bottom="0.78740157480314965" header="0.51181102362204722" footer="0.51181102362204722"/>
  <pageSetup paperSize="9" firstPageNumber="17" orientation="portrait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O68"/>
  <sheetViews>
    <sheetView showGridLines="0" showZeros="0" tabSelected="1" view="pageBreakPreview" zoomScaleNormal="100" zoomScaleSheetLayoutView="100" workbookViewId="0">
      <selection activeCell="G17" sqref="G17"/>
    </sheetView>
  </sheetViews>
  <sheetFormatPr defaultRowHeight="12"/>
  <cols>
    <col min="1" max="1" width="1.7109375" style="124" customWidth="1"/>
    <col min="2" max="2" width="3.7109375" style="135" customWidth="1"/>
    <col min="3" max="3" width="6.85546875" style="124" customWidth="1"/>
    <col min="4" max="4" width="1.7109375" style="124" customWidth="1"/>
    <col min="5" max="5" width="20.7109375" style="135" customWidth="1"/>
    <col min="6" max="6" width="1.7109375" style="135" customWidth="1"/>
    <col min="7" max="7" width="14.28515625" style="99" customWidth="1"/>
    <col min="8" max="8" width="1" style="125" customWidth="1"/>
    <col min="9" max="9" width="9.28515625" style="99" bestFit="1" customWidth="1"/>
    <col min="10" max="10" width="1.140625" style="125" customWidth="1"/>
    <col min="11" max="11" width="0.85546875" style="99" customWidth="1"/>
    <col min="12" max="12" width="32.28515625" style="124" customWidth="1"/>
    <col min="13" max="13" width="11.7109375" style="124" bestFit="1" customWidth="1"/>
    <col min="14" max="14" width="10.7109375" style="124" bestFit="1" customWidth="1"/>
    <col min="15" max="16384" width="9.140625" style="124"/>
  </cols>
  <sheetData>
    <row r="1" spans="1:15" ht="20.100000000000001" customHeight="1">
      <c r="A1" s="123" t="s">
        <v>687</v>
      </c>
      <c r="B1" s="123"/>
      <c r="C1" s="123"/>
      <c r="D1" s="123"/>
      <c r="E1" s="124"/>
      <c r="F1" s="124"/>
      <c r="G1" s="124"/>
      <c r="I1" s="125"/>
      <c r="L1" s="125"/>
      <c r="M1" s="125"/>
      <c r="N1" s="125"/>
      <c r="O1" s="125"/>
    </row>
    <row r="2" spans="1:15" s="93" customFormat="1" ht="39.950000000000003" customHeight="1">
      <c r="A2" s="92" t="s">
        <v>919</v>
      </c>
      <c r="B2" s="126"/>
      <c r="C2" s="127"/>
      <c r="D2" s="127"/>
      <c r="E2" s="128"/>
      <c r="F2" s="128"/>
      <c r="G2" s="129"/>
      <c r="H2" s="375"/>
      <c r="I2" s="651"/>
      <c r="J2" s="492"/>
      <c r="K2" s="651"/>
      <c r="L2" s="92"/>
    </row>
    <row r="3" spans="1:15" ht="20.100000000000001" customHeight="1">
      <c r="A3" s="130"/>
      <c r="B3" s="131"/>
      <c r="C3" s="130"/>
      <c r="D3" s="130"/>
      <c r="E3" s="131"/>
      <c r="F3" s="131"/>
      <c r="G3" s="132"/>
      <c r="H3" s="673"/>
      <c r="I3" s="674"/>
      <c r="J3" s="675"/>
      <c r="K3" s="674"/>
      <c r="L3" s="537"/>
      <c r="O3" s="93"/>
    </row>
    <row r="4" spans="1:15" ht="20.100000000000001" customHeight="1">
      <c r="A4" s="134" t="str">
        <f>"구 분 : "&amp;월기본급!B9&amp;"                       직종명 : "&amp;월기본급!F9&amp;""</f>
        <v>구 분 : 운전원                       직종명 : 보통인부</v>
      </c>
      <c r="B4" s="133"/>
      <c r="C4" s="134"/>
      <c r="D4" s="134"/>
      <c r="G4" s="136"/>
      <c r="H4" s="136"/>
      <c r="I4" s="136"/>
      <c r="L4" s="676" t="s">
        <v>15</v>
      </c>
      <c r="O4" s="93"/>
    </row>
    <row r="5" spans="1:15" ht="20.100000000000001" customHeight="1">
      <c r="A5" s="138"/>
      <c r="B5" s="139"/>
      <c r="C5" s="139"/>
      <c r="D5" s="139"/>
      <c r="E5" s="140" t="s">
        <v>16</v>
      </c>
      <c r="F5" s="140"/>
      <c r="G5" s="754" t="s">
        <v>17</v>
      </c>
      <c r="H5" s="755"/>
      <c r="I5" s="754" t="s">
        <v>18</v>
      </c>
      <c r="J5" s="755"/>
      <c r="K5" s="754" t="s">
        <v>19</v>
      </c>
      <c r="L5" s="755"/>
      <c r="O5" s="93"/>
    </row>
    <row r="6" spans="1:15" ht="20.100000000000001" customHeight="1">
      <c r="A6" s="142" t="s">
        <v>20</v>
      </c>
      <c r="B6" s="143"/>
      <c r="C6" s="144"/>
      <c r="D6" s="144"/>
      <c r="E6" s="144"/>
      <c r="F6" s="144"/>
      <c r="G6" s="756"/>
      <c r="H6" s="757"/>
      <c r="I6" s="756"/>
      <c r="J6" s="757"/>
      <c r="K6" s="756"/>
      <c r="L6" s="757"/>
    </row>
    <row r="7" spans="1:15" ht="19.5" customHeight="1">
      <c r="A7" s="739" t="s">
        <v>216</v>
      </c>
      <c r="B7" s="740"/>
      <c r="C7" s="736" t="s">
        <v>21</v>
      </c>
      <c r="D7" s="737"/>
      <c r="E7" s="737"/>
      <c r="F7" s="738"/>
      <c r="G7" s="653">
        <f>단위당인건비!E6</f>
        <v>1116360</v>
      </c>
      <c r="H7" s="654"/>
      <c r="I7" s="653"/>
      <c r="J7" s="654"/>
      <c r="K7" s="677"/>
      <c r="L7" s="566"/>
    </row>
    <row r="8" spans="1:15" ht="19.5" customHeight="1">
      <c r="A8" s="741"/>
      <c r="B8" s="742"/>
      <c r="C8" s="745" t="s">
        <v>273</v>
      </c>
      <c r="D8" s="147"/>
      <c r="E8" s="148" t="s">
        <v>0</v>
      </c>
      <c r="F8" s="147"/>
      <c r="G8" s="653">
        <f>단위당인건비!E7</f>
        <v>260795</v>
      </c>
      <c r="H8" s="654"/>
      <c r="I8" s="653"/>
      <c r="J8" s="654"/>
      <c r="K8" s="677"/>
      <c r="L8" s="566"/>
    </row>
    <row r="9" spans="1:15" ht="19.5" customHeight="1">
      <c r="A9" s="741"/>
      <c r="B9" s="742"/>
      <c r="C9" s="746"/>
      <c r="D9" s="147"/>
      <c r="E9" s="148" t="s">
        <v>223</v>
      </c>
      <c r="F9" s="149"/>
      <c r="G9" s="653">
        <f>단위당인건비!E8</f>
        <v>256388</v>
      </c>
      <c r="H9" s="654"/>
      <c r="I9" s="653"/>
      <c r="J9" s="654"/>
      <c r="K9" s="677"/>
      <c r="L9" s="566"/>
    </row>
    <row r="10" spans="1:15" ht="19.5" customHeight="1">
      <c r="A10" s="741"/>
      <c r="B10" s="742"/>
      <c r="C10" s="746"/>
      <c r="D10" s="147"/>
      <c r="E10" s="148" t="s">
        <v>4</v>
      </c>
      <c r="F10" s="149"/>
      <c r="G10" s="653">
        <f>단위당인건비!E9</f>
        <v>53414</v>
      </c>
      <c r="H10" s="654"/>
      <c r="I10" s="653"/>
      <c r="J10" s="654"/>
      <c r="K10" s="677"/>
      <c r="L10" s="566"/>
    </row>
    <row r="11" spans="1:15" ht="19.5" customHeight="1">
      <c r="A11" s="741"/>
      <c r="B11" s="742"/>
      <c r="C11" s="746"/>
      <c r="D11" s="147"/>
      <c r="E11" s="148" t="s">
        <v>274</v>
      </c>
      <c r="F11" s="149"/>
      <c r="G11" s="653">
        <f>단위당인건비!E10</f>
        <v>0</v>
      </c>
      <c r="H11" s="654"/>
      <c r="I11" s="653"/>
      <c r="J11" s="654"/>
      <c r="K11" s="677"/>
      <c r="L11" s="566"/>
    </row>
    <row r="12" spans="1:15" ht="19.5" customHeight="1">
      <c r="A12" s="741"/>
      <c r="B12" s="742"/>
      <c r="C12" s="747"/>
      <c r="D12" s="147"/>
      <c r="E12" s="150" t="s">
        <v>23</v>
      </c>
      <c r="F12" s="150"/>
      <c r="G12" s="653">
        <f>단위당인건비!E11</f>
        <v>570597</v>
      </c>
      <c r="H12" s="654"/>
      <c r="I12" s="678"/>
      <c r="J12" s="654"/>
      <c r="K12" s="677"/>
      <c r="L12" s="122"/>
    </row>
    <row r="13" spans="1:15" ht="19.5" customHeight="1">
      <c r="A13" s="741"/>
      <c r="B13" s="742"/>
      <c r="C13" s="736" t="s">
        <v>24</v>
      </c>
      <c r="D13" s="737"/>
      <c r="E13" s="737"/>
      <c r="F13" s="738"/>
      <c r="G13" s="653">
        <f>단위당인건비!E12</f>
        <v>372120</v>
      </c>
      <c r="H13" s="654"/>
      <c r="I13" s="678"/>
      <c r="J13" s="654"/>
      <c r="K13" s="677"/>
      <c r="L13" s="122"/>
    </row>
    <row r="14" spans="1:15" ht="19.5" customHeight="1">
      <c r="A14" s="741"/>
      <c r="B14" s="742"/>
      <c r="C14" s="736" t="s">
        <v>25</v>
      </c>
      <c r="D14" s="737"/>
      <c r="E14" s="737"/>
      <c r="F14" s="738"/>
      <c r="G14" s="653">
        <f>단위당인건비!E13</f>
        <v>0</v>
      </c>
      <c r="H14" s="654"/>
      <c r="I14" s="678"/>
      <c r="J14" s="654"/>
      <c r="K14" s="677"/>
      <c r="L14" s="700">
        <f>(G15+G25)*0.87745</f>
        <v>1960290.86365</v>
      </c>
    </row>
    <row r="15" spans="1:15" ht="19.5" customHeight="1">
      <c r="A15" s="743"/>
      <c r="B15" s="744"/>
      <c r="C15" s="736" t="s">
        <v>26</v>
      </c>
      <c r="D15" s="737"/>
      <c r="E15" s="737"/>
      <c r="F15" s="738"/>
      <c r="G15" s="653">
        <f>단위당인건비!E14</f>
        <v>2059077</v>
      </c>
      <c r="H15" s="654"/>
      <c r="I15" s="679">
        <f>TRUNC(G15/$G$32*100,2)</f>
        <v>80.02</v>
      </c>
      <c r="J15" s="654"/>
      <c r="K15" s="677"/>
      <c r="L15" s="122" t="str">
        <f>단위당인건비!$A$1&amp;"참조"</f>
        <v>&lt; 표 : 4 &gt; 참조</v>
      </c>
    </row>
    <row r="16" spans="1:15" ht="19.5" customHeight="1">
      <c r="A16" s="739" t="s">
        <v>227</v>
      </c>
      <c r="B16" s="740"/>
      <c r="C16" s="745" t="s">
        <v>3</v>
      </c>
      <c r="D16" s="147"/>
      <c r="E16" s="720" t="s">
        <v>27</v>
      </c>
      <c r="F16" s="720"/>
      <c r="G16" s="730">
        <f>경비집계표!E7</f>
        <v>20590</v>
      </c>
      <c r="H16" s="654"/>
      <c r="I16" s="653"/>
      <c r="J16" s="654"/>
      <c r="K16" s="677"/>
      <c r="L16" s="122"/>
      <c r="M16" s="671">
        <f>TRUNC(SUM(G7+G12+G13)*2.1%)</f>
        <v>43240</v>
      </c>
      <c r="N16" s="671">
        <f t="shared" ref="N16:N21" si="0">G16-M16</f>
        <v>-22650</v>
      </c>
      <c r="O16" s="671"/>
    </row>
    <row r="17" spans="1:15" ht="19.5" customHeight="1">
      <c r="A17" s="741"/>
      <c r="B17" s="742"/>
      <c r="C17" s="746"/>
      <c r="D17" s="147"/>
      <c r="E17" s="148" t="s">
        <v>28</v>
      </c>
      <c r="F17" s="148"/>
      <c r="G17" s="653">
        <f>경비집계표!E8</f>
        <v>0</v>
      </c>
      <c r="H17" s="654"/>
      <c r="I17" s="653"/>
      <c r="J17" s="654"/>
      <c r="K17" s="677"/>
      <c r="L17" s="700"/>
      <c r="M17" s="671">
        <f>TRUNC(SUM(G7+G12+G13)*4.5%)</f>
        <v>92658</v>
      </c>
      <c r="N17" s="671">
        <f t="shared" si="0"/>
        <v>-92658</v>
      </c>
      <c r="O17" s="671"/>
    </row>
    <row r="18" spans="1:15" ht="19.5" customHeight="1">
      <c r="A18" s="741"/>
      <c r="B18" s="742"/>
      <c r="C18" s="746"/>
      <c r="D18" s="147"/>
      <c r="E18" s="148" t="s">
        <v>29</v>
      </c>
      <c r="F18" s="148"/>
      <c r="G18" s="653">
        <f>경비집계표!E9</f>
        <v>16472</v>
      </c>
      <c r="H18" s="654"/>
      <c r="I18" s="653"/>
      <c r="J18" s="654"/>
      <c r="K18" s="677"/>
      <c r="L18" s="122"/>
      <c r="M18" s="671">
        <f>TRUNC(SUM(G7+G12+G13)*1.15%)</f>
        <v>23679</v>
      </c>
      <c r="N18" s="671">
        <f t="shared" si="0"/>
        <v>-7207</v>
      </c>
      <c r="O18" s="671"/>
    </row>
    <row r="19" spans="1:15" ht="19.5" customHeight="1">
      <c r="A19" s="741"/>
      <c r="B19" s="742"/>
      <c r="C19" s="746"/>
      <c r="D19" s="147"/>
      <c r="E19" s="148" t="s">
        <v>30</v>
      </c>
      <c r="F19" s="148"/>
      <c r="G19" s="653">
        <f>경비집계표!E10</f>
        <v>58065</v>
      </c>
      <c r="H19" s="654"/>
      <c r="I19" s="653"/>
      <c r="J19" s="654"/>
      <c r="K19" s="677"/>
      <c r="L19" s="122"/>
      <c r="M19" s="671">
        <f>TRUNC(SUM(G7+G12+G13)*2.54%)</f>
        <v>52300</v>
      </c>
      <c r="N19" s="671">
        <f t="shared" si="0"/>
        <v>5765</v>
      </c>
      <c r="O19" s="671"/>
    </row>
    <row r="20" spans="1:15" ht="19.5" customHeight="1">
      <c r="A20" s="741"/>
      <c r="B20" s="742"/>
      <c r="C20" s="746"/>
      <c r="D20" s="147"/>
      <c r="E20" s="151" t="s">
        <v>272</v>
      </c>
      <c r="F20" s="148"/>
      <c r="G20" s="653">
        <f>경비집계표!E11</f>
        <v>3803</v>
      </c>
      <c r="H20" s="654"/>
      <c r="I20" s="653"/>
      <c r="J20" s="654"/>
      <c r="K20" s="677"/>
      <c r="L20" s="122"/>
      <c r="M20" s="671">
        <f>TRUNC(M19*4.78%)</f>
        <v>2499</v>
      </c>
      <c r="N20" s="671">
        <f t="shared" si="0"/>
        <v>1304</v>
      </c>
      <c r="O20" s="671"/>
    </row>
    <row r="21" spans="1:15" ht="19.5" customHeight="1">
      <c r="A21" s="741"/>
      <c r="B21" s="742"/>
      <c r="C21" s="746"/>
      <c r="D21" s="147"/>
      <c r="E21" s="148" t="s">
        <v>31</v>
      </c>
      <c r="F21" s="148"/>
      <c r="G21" s="653">
        <f>경비집계표!E12</f>
        <v>1647</v>
      </c>
      <c r="H21" s="654"/>
      <c r="I21" s="653"/>
      <c r="J21" s="654"/>
      <c r="K21" s="677"/>
      <c r="L21" s="122"/>
      <c r="M21" s="671">
        <f>TRUNC(SUM(G7+G12+G13)*0.04%)</f>
        <v>823</v>
      </c>
      <c r="N21" s="671">
        <f t="shared" si="0"/>
        <v>824</v>
      </c>
      <c r="O21" s="671"/>
    </row>
    <row r="22" spans="1:15" ht="19.5" customHeight="1">
      <c r="A22" s="741"/>
      <c r="B22" s="742"/>
      <c r="C22" s="747"/>
      <c r="D22" s="147"/>
      <c r="E22" s="150" t="s">
        <v>23</v>
      </c>
      <c r="F22" s="148"/>
      <c r="G22" s="653">
        <f>경비집계표!E13</f>
        <v>100577</v>
      </c>
      <c r="H22" s="654"/>
      <c r="I22" s="653"/>
      <c r="J22" s="654"/>
      <c r="K22" s="677"/>
      <c r="L22" s="122"/>
      <c r="M22" s="680">
        <f>SUM(M16:M21)</f>
        <v>215199</v>
      </c>
      <c r="N22" s="671">
        <f>G22-M22</f>
        <v>-114622</v>
      </c>
    </row>
    <row r="23" spans="1:15" ht="19.5" customHeight="1">
      <c r="A23" s="741"/>
      <c r="B23" s="742"/>
      <c r="C23" s="748" t="s">
        <v>685</v>
      </c>
      <c r="D23" s="147"/>
      <c r="E23" s="148" t="s">
        <v>32</v>
      </c>
      <c r="F23" s="148"/>
      <c r="G23" s="653">
        <f>경비집계표!E14</f>
        <v>175000</v>
      </c>
      <c r="H23" s="654"/>
      <c r="I23" s="653"/>
      <c r="J23" s="654"/>
      <c r="K23" s="677"/>
      <c r="L23" s="122"/>
    </row>
    <row r="24" spans="1:15" ht="19.5" customHeight="1">
      <c r="A24" s="741"/>
      <c r="B24" s="742"/>
      <c r="C24" s="749"/>
      <c r="D24" s="691"/>
      <c r="E24" s="720" t="s">
        <v>918</v>
      </c>
      <c r="F24" s="692"/>
      <c r="G24" s="653">
        <f>경비집계표!E15</f>
        <v>0</v>
      </c>
      <c r="H24" s="654"/>
      <c r="I24" s="653"/>
      <c r="J24" s="654"/>
      <c r="K24" s="677"/>
      <c r="L24" s="122"/>
    </row>
    <row r="25" spans="1:15" ht="19.5" customHeight="1">
      <c r="A25" s="741"/>
      <c r="B25" s="742"/>
      <c r="C25" s="750"/>
      <c r="D25" s="147"/>
      <c r="E25" s="150" t="s">
        <v>23</v>
      </c>
      <c r="F25" s="148"/>
      <c r="G25" s="653">
        <f>경비집계표!E16</f>
        <v>175000</v>
      </c>
      <c r="H25" s="654"/>
      <c r="I25" s="653"/>
      <c r="J25" s="654"/>
      <c r="K25" s="677"/>
      <c r="L25" s="122"/>
    </row>
    <row r="26" spans="1:15" ht="19.5" customHeight="1">
      <c r="A26" s="741"/>
      <c r="B26" s="742"/>
      <c r="C26" s="745" t="s">
        <v>277</v>
      </c>
      <c r="D26" s="147"/>
      <c r="E26" s="720" t="s">
        <v>279</v>
      </c>
      <c r="F26" s="148"/>
      <c r="G26" s="653">
        <f>경비집계표!E17</f>
        <v>0</v>
      </c>
      <c r="H26" s="654"/>
      <c r="I26" s="653"/>
      <c r="J26" s="654"/>
      <c r="K26" s="677"/>
      <c r="L26" s="122"/>
    </row>
    <row r="27" spans="1:15" ht="19.5" customHeight="1">
      <c r="A27" s="741"/>
      <c r="B27" s="742"/>
      <c r="C27" s="747"/>
      <c r="D27" s="147"/>
      <c r="E27" s="720" t="s">
        <v>278</v>
      </c>
      <c r="F27" s="148"/>
      <c r="G27" s="653">
        <f>경비집계표!E18</f>
        <v>0</v>
      </c>
      <c r="H27" s="654"/>
      <c r="I27" s="653"/>
      <c r="J27" s="654"/>
      <c r="K27" s="677"/>
      <c r="L27" s="122"/>
    </row>
    <row r="28" spans="1:15" ht="19.5" customHeight="1">
      <c r="A28" s="743"/>
      <c r="B28" s="744"/>
      <c r="C28" s="736" t="s">
        <v>26</v>
      </c>
      <c r="D28" s="737"/>
      <c r="E28" s="737"/>
      <c r="F28" s="738"/>
      <c r="G28" s="653">
        <f>경비집계표!E19</f>
        <v>275577</v>
      </c>
      <c r="H28" s="654"/>
      <c r="I28" s="679">
        <f>TRUNC(G28/$G$32*100,2)</f>
        <v>10.71</v>
      </c>
      <c r="J28" s="654"/>
      <c r="K28" s="677"/>
      <c r="L28" s="122" t="str">
        <f>경비집계표!$A$1&amp;"참조"</f>
        <v>&lt; 표 : 11 &gt; 참조</v>
      </c>
    </row>
    <row r="29" spans="1:15" ht="19.5" customHeight="1">
      <c r="A29" s="152"/>
      <c r="B29" s="752" t="s">
        <v>188</v>
      </c>
      <c r="C29" s="752"/>
      <c r="D29" s="752"/>
      <c r="E29" s="752"/>
      <c r="F29" s="153"/>
      <c r="G29" s="653">
        <f>SUM(G15,G28)</f>
        <v>2334654</v>
      </c>
      <c r="H29" s="654"/>
      <c r="I29" s="679">
        <f>TRUNC(G29/$G$32*100,2)</f>
        <v>90.73</v>
      </c>
      <c r="J29" s="654"/>
      <c r="K29" s="677"/>
      <c r="L29" s="122" t="s">
        <v>660</v>
      </c>
    </row>
    <row r="30" spans="1:15" ht="19.5" customHeight="1">
      <c r="A30" s="154"/>
      <c r="B30" s="752" t="s">
        <v>962</v>
      </c>
      <c r="C30" s="752"/>
      <c r="D30" s="752"/>
      <c r="E30" s="752"/>
      <c r="F30" s="155"/>
      <c r="G30" s="653">
        <f>TRUNC(G29*3%,0)</f>
        <v>70039</v>
      </c>
      <c r="H30" s="654"/>
      <c r="I30" s="679">
        <f>TRUNC(G30/$G$32*100,2)</f>
        <v>2.72</v>
      </c>
      <c r="J30" s="654"/>
      <c r="K30" s="677"/>
      <c r="L30" s="122" t="s">
        <v>964</v>
      </c>
    </row>
    <row r="31" spans="1:15" ht="19.5" customHeight="1">
      <c r="A31" s="154"/>
      <c r="B31" s="752" t="s">
        <v>963</v>
      </c>
      <c r="C31" s="752"/>
      <c r="D31" s="752"/>
      <c r="E31" s="752"/>
      <c r="F31" s="155"/>
      <c r="G31" s="653">
        <f>TRUNC(SUM(G15,G28,G30)*7%,0)</f>
        <v>168328</v>
      </c>
      <c r="H31" s="654"/>
      <c r="I31" s="679">
        <f>TRUNC(G31/$G$32*100,2)</f>
        <v>6.54</v>
      </c>
      <c r="J31" s="654"/>
      <c r="K31" s="677"/>
      <c r="L31" s="122" t="s">
        <v>965</v>
      </c>
    </row>
    <row r="32" spans="1:15" ht="19.5" customHeight="1">
      <c r="A32" s="154"/>
      <c r="B32" s="751" t="s">
        <v>676</v>
      </c>
      <c r="C32" s="751"/>
      <c r="D32" s="751"/>
      <c r="E32" s="751"/>
      <c r="F32" s="155"/>
      <c r="G32" s="653">
        <f>SUM(G29:G31)</f>
        <v>2573021</v>
      </c>
      <c r="H32" s="654"/>
      <c r="I32" s="679">
        <f>TRUNC(G32/$G$32*100,2)</f>
        <v>100</v>
      </c>
      <c r="J32" s="654"/>
      <c r="K32" s="677"/>
      <c r="L32" s="122" t="s">
        <v>289</v>
      </c>
    </row>
    <row r="33" spans="1:15" ht="19.5" customHeight="1">
      <c r="A33" s="154"/>
      <c r="B33" s="751" t="s">
        <v>679</v>
      </c>
      <c r="C33" s="751"/>
      <c r="D33" s="751"/>
      <c r="E33" s="751"/>
      <c r="F33" s="155"/>
      <c r="G33" s="625">
        <f>TRUNC(G32*10%)</f>
        <v>257302</v>
      </c>
      <c r="H33" s="681"/>
      <c r="I33" s="682"/>
      <c r="J33" s="681"/>
      <c r="K33" s="683"/>
      <c r="L33" s="656" t="s">
        <v>681</v>
      </c>
    </row>
    <row r="34" spans="1:15" ht="19.5" customHeight="1">
      <c r="A34" s="154"/>
      <c r="B34" s="751" t="s">
        <v>680</v>
      </c>
      <c r="C34" s="751"/>
      <c r="D34" s="751"/>
      <c r="E34" s="751"/>
      <c r="F34" s="155"/>
      <c r="G34" s="625">
        <f>SUM(G32:G33)</f>
        <v>2830323</v>
      </c>
      <c r="H34" s="681"/>
      <c r="I34" s="682"/>
      <c r="J34" s="681"/>
      <c r="K34" s="683"/>
      <c r="L34" s="656" t="s">
        <v>682</v>
      </c>
    </row>
    <row r="35" spans="1:15" ht="20.100000000000001" customHeight="1">
      <c r="A35" s="123"/>
      <c r="B35" s="123"/>
      <c r="C35" s="123"/>
      <c r="D35" s="123"/>
      <c r="E35" s="124"/>
      <c r="F35" s="124"/>
      <c r="G35" s="124"/>
      <c r="I35" s="125"/>
      <c r="L35" s="125"/>
      <c r="M35" s="125"/>
      <c r="N35" s="125"/>
      <c r="O35" s="125"/>
    </row>
    <row r="36" spans="1:15" s="93" customFormat="1" ht="39.950000000000003" customHeight="1">
      <c r="A36" s="92" t="s">
        <v>919</v>
      </c>
      <c r="B36" s="126"/>
      <c r="C36" s="127"/>
      <c r="D36" s="127"/>
      <c r="E36" s="128"/>
      <c r="F36" s="128"/>
      <c r="G36" s="129"/>
      <c r="H36" s="375"/>
      <c r="I36" s="651"/>
      <c r="J36" s="492"/>
      <c r="K36" s="651"/>
      <c r="L36" s="92"/>
    </row>
    <row r="37" spans="1:15" ht="20.100000000000001" customHeight="1">
      <c r="A37" s="130"/>
      <c r="B37" s="131"/>
      <c r="C37" s="130"/>
      <c r="D37" s="130"/>
      <c r="E37" s="131"/>
      <c r="F37" s="131"/>
      <c r="G37" s="132"/>
      <c r="H37" s="673"/>
      <c r="I37" s="674"/>
      <c r="J37" s="675"/>
      <c r="K37" s="674"/>
      <c r="L37" s="537"/>
      <c r="O37" s="93"/>
    </row>
    <row r="38" spans="1:15" ht="20.100000000000001" customHeight="1">
      <c r="A38" s="134" t="str">
        <f>"구 분 : "&amp;월기본급!B10&amp;"                       직종명 : "&amp;월기본급!F10&amp;""</f>
        <v>구 분 : 사무원                       직종명 : 보통인부</v>
      </c>
      <c r="B38" s="133"/>
      <c r="C38" s="134"/>
      <c r="D38" s="134"/>
      <c r="G38" s="136"/>
      <c r="H38" s="136"/>
      <c r="I38" s="136"/>
      <c r="L38" s="676" t="s">
        <v>15</v>
      </c>
      <c r="O38" s="93"/>
    </row>
    <row r="39" spans="1:15" ht="20.100000000000001" customHeight="1">
      <c r="A39" s="138"/>
      <c r="B39" s="139"/>
      <c r="C39" s="139"/>
      <c r="D39" s="139"/>
      <c r="E39" s="140" t="s">
        <v>16</v>
      </c>
      <c r="F39" s="140"/>
      <c r="G39" s="754" t="s">
        <v>17</v>
      </c>
      <c r="H39" s="755"/>
      <c r="I39" s="754" t="s">
        <v>18</v>
      </c>
      <c r="J39" s="755"/>
      <c r="K39" s="684"/>
      <c r="L39" s="755" t="s">
        <v>19</v>
      </c>
      <c r="O39" s="93"/>
    </row>
    <row r="40" spans="1:15" ht="20.100000000000001" customHeight="1">
      <c r="A40" s="142" t="s">
        <v>20</v>
      </c>
      <c r="B40" s="143"/>
      <c r="C40" s="144"/>
      <c r="D40" s="144"/>
      <c r="E40" s="144"/>
      <c r="F40" s="144"/>
      <c r="G40" s="756"/>
      <c r="H40" s="757"/>
      <c r="I40" s="756"/>
      <c r="J40" s="757"/>
      <c r="K40" s="685"/>
      <c r="L40" s="757"/>
    </row>
    <row r="41" spans="1:15" ht="19.5" customHeight="1">
      <c r="A41" s="739" t="s">
        <v>216</v>
      </c>
      <c r="B41" s="740"/>
      <c r="C41" s="736" t="s">
        <v>21</v>
      </c>
      <c r="D41" s="737"/>
      <c r="E41" s="737"/>
      <c r="F41" s="738"/>
      <c r="G41" s="653">
        <f>단위당인건비!E25</f>
        <v>1116360</v>
      </c>
      <c r="H41" s="654"/>
      <c r="I41" s="653"/>
      <c r="J41" s="654"/>
      <c r="K41" s="677"/>
      <c r="L41" s="566"/>
    </row>
    <row r="42" spans="1:15" ht="19.5" customHeight="1">
      <c r="A42" s="741"/>
      <c r="B42" s="742"/>
      <c r="C42" s="745" t="s">
        <v>273</v>
      </c>
      <c r="D42" s="147"/>
      <c r="E42" s="148" t="s">
        <v>0</v>
      </c>
      <c r="F42" s="147"/>
      <c r="G42" s="653">
        <f>단위당인건비!E26</f>
        <v>260795</v>
      </c>
      <c r="H42" s="654"/>
      <c r="I42" s="653"/>
      <c r="J42" s="654"/>
      <c r="K42" s="677"/>
      <c r="L42" s="566"/>
    </row>
    <row r="43" spans="1:15" ht="19.5" customHeight="1">
      <c r="A43" s="741"/>
      <c r="B43" s="742"/>
      <c r="C43" s="746"/>
      <c r="D43" s="147"/>
      <c r="E43" s="148" t="s">
        <v>223</v>
      </c>
      <c r="F43" s="149"/>
      <c r="G43" s="653">
        <f>단위당인건비!E27</f>
        <v>256388</v>
      </c>
      <c r="H43" s="654"/>
      <c r="I43" s="653"/>
      <c r="J43" s="654"/>
      <c r="K43" s="677"/>
      <c r="L43" s="566"/>
    </row>
    <row r="44" spans="1:15" ht="19.5" customHeight="1">
      <c r="A44" s="741"/>
      <c r="B44" s="742"/>
      <c r="C44" s="746"/>
      <c r="D44" s="147"/>
      <c r="E44" s="148" t="s">
        <v>4</v>
      </c>
      <c r="F44" s="149"/>
      <c r="G44" s="653">
        <f>단위당인건비!E28</f>
        <v>53414</v>
      </c>
      <c r="H44" s="654"/>
      <c r="I44" s="653"/>
      <c r="J44" s="654"/>
      <c r="K44" s="677"/>
      <c r="L44" s="566"/>
    </row>
    <row r="45" spans="1:15" ht="19.5" customHeight="1">
      <c r="A45" s="741"/>
      <c r="B45" s="742"/>
      <c r="C45" s="746"/>
      <c r="D45" s="147"/>
      <c r="E45" s="148" t="s">
        <v>274</v>
      </c>
      <c r="F45" s="149"/>
      <c r="G45" s="653">
        <f>단위당인건비!E29</f>
        <v>0</v>
      </c>
      <c r="H45" s="654"/>
      <c r="I45" s="653"/>
      <c r="J45" s="654"/>
      <c r="K45" s="677"/>
      <c r="L45" s="566"/>
    </row>
    <row r="46" spans="1:15" ht="19.5" customHeight="1">
      <c r="A46" s="741"/>
      <c r="B46" s="742"/>
      <c r="C46" s="747"/>
      <c r="D46" s="147"/>
      <c r="E46" s="150" t="s">
        <v>23</v>
      </c>
      <c r="F46" s="150"/>
      <c r="G46" s="653">
        <f>단위당인건비!E30</f>
        <v>570597</v>
      </c>
      <c r="H46" s="654"/>
      <c r="I46" s="678"/>
      <c r="J46" s="654"/>
      <c r="K46" s="677"/>
      <c r="L46" s="122"/>
    </row>
    <row r="47" spans="1:15" ht="19.5" customHeight="1">
      <c r="A47" s="741"/>
      <c r="B47" s="742"/>
      <c r="C47" s="736" t="s">
        <v>24</v>
      </c>
      <c r="D47" s="737"/>
      <c r="E47" s="737"/>
      <c r="F47" s="738"/>
      <c r="G47" s="653">
        <f>단위당인건비!E31</f>
        <v>186060</v>
      </c>
      <c r="H47" s="654"/>
      <c r="I47" s="678"/>
      <c r="J47" s="654"/>
      <c r="K47" s="677"/>
      <c r="L47" s="122"/>
    </row>
    <row r="48" spans="1:15" ht="19.5" customHeight="1">
      <c r="A48" s="741"/>
      <c r="B48" s="742"/>
      <c r="C48" s="736" t="s">
        <v>25</v>
      </c>
      <c r="D48" s="737"/>
      <c r="E48" s="737"/>
      <c r="F48" s="738"/>
      <c r="G48" s="653">
        <f>단위당인건비!E32</f>
        <v>0</v>
      </c>
      <c r="H48" s="654"/>
      <c r="I48" s="678"/>
      <c r="J48" s="654"/>
      <c r="K48" s="677"/>
      <c r="L48" s="700">
        <f>(G49+G59)*0.87745</f>
        <v>1797032.5166499999</v>
      </c>
      <c r="N48" s="753">
        <f>(L14*2)+L48</f>
        <v>5717614.24395</v>
      </c>
      <c r="O48" s="753"/>
    </row>
    <row r="49" spans="1:14" ht="19.5" customHeight="1">
      <c r="A49" s="743"/>
      <c r="B49" s="744"/>
      <c r="C49" s="736" t="s">
        <v>26</v>
      </c>
      <c r="D49" s="737"/>
      <c r="E49" s="737"/>
      <c r="F49" s="738"/>
      <c r="G49" s="653">
        <f>단위당인건비!E33</f>
        <v>1873017</v>
      </c>
      <c r="H49" s="654"/>
      <c r="I49" s="679">
        <f>TRUNC(G49/$G$66*100,2)</f>
        <v>76.42</v>
      </c>
      <c r="J49" s="654"/>
      <c r="K49" s="677"/>
      <c r="L49" s="122" t="str">
        <f>단위당인건비!$A$1&amp;"참조"</f>
        <v>&lt; 표 : 4 &gt; 참조</v>
      </c>
    </row>
    <row r="50" spans="1:14" ht="19.5" customHeight="1">
      <c r="A50" s="739" t="s">
        <v>227</v>
      </c>
      <c r="B50" s="740"/>
      <c r="C50" s="745" t="s">
        <v>3</v>
      </c>
      <c r="D50" s="147"/>
      <c r="E50" s="148" t="s">
        <v>27</v>
      </c>
      <c r="F50" s="148"/>
      <c r="G50" s="653">
        <f>경비집계표!F7</f>
        <v>18730</v>
      </c>
      <c r="H50" s="654"/>
      <c r="I50" s="653"/>
      <c r="J50" s="654"/>
      <c r="K50" s="677"/>
      <c r="L50" s="122"/>
      <c r="M50" s="671">
        <f>TRUNC(SUM(G41+G46+G47)*2.1%)</f>
        <v>39333</v>
      </c>
      <c r="N50" s="671">
        <f t="shared" ref="N50:N55" si="1">G50-M50</f>
        <v>-20603</v>
      </c>
    </row>
    <row r="51" spans="1:14" ht="19.5" customHeight="1">
      <c r="A51" s="741"/>
      <c r="B51" s="742"/>
      <c r="C51" s="746"/>
      <c r="D51" s="147"/>
      <c r="E51" s="148" t="s">
        <v>28</v>
      </c>
      <c r="F51" s="148"/>
      <c r="G51" s="653">
        <f>경비집계표!F8</f>
        <v>84285</v>
      </c>
      <c r="H51" s="654"/>
      <c r="I51" s="653"/>
      <c r="J51" s="654"/>
      <c r="K51" s="677"/>
      <c r="L51" s="700"/>
      <c r="M51" s="671">
        <f>TRUNC(SUM(G41+G46+G47)*4.5%)</f>
        <v>84285</v>
      </c>
      <c r="N51" s="671">
        <f t="shared" si="1"/>
        <v>0</v>
      </c>
    </row>
    <row r="52" spans="1:14" ht="19.5" customHeight="1">
      <c r="A52" s="741"/>
      <c r="B52" s="742"/>
      <c r="C52" s="746"/>
      <c r="D52" s="147"/>
      <c r="E52" s="148" t="s">
        <v>29</v>
      </c>
      <c r="F52" s="148"/>
      <c r="G52" s="653">
        <f>경비집계표!F9</f>
        <v>14984</v>
      </c>
      <c r="H52" s="654"/>
      <c r="I52" s="653"/>
      <c r="J52" s="654"/>
      <c r="K52" s="677"/>
      <c r="L52" s="122"/>
      <c r="M52" s="671">
        <f>TRUNC(SUM(G41+G46+G47)*1.15%)</f>
        <v>21539</v>
      </c>
      <c r="N52" s="671">
        <f t="shared" si="1"/>
        <v>-6555</v>
      </c>
    </row>
    <row r="53" spans="1:14" ht="19.5" customHeight="1">
      <c r="A53" s="741"/>
      <c r="B53" s="742"/>
      <c r="C53" s="746"/>
      <c r="D53" s="147"/>
      <c r="E53" s="148" t="s">
        <v>30</v>
      </c>
      <c r="F53" s="148"/>
      <c r="G53" s="653">
        <f>경비집계표!F10</f>
        <v>52819</v>
      </c>
      <c r="H53" s="654"/>
      <c r="I53" s="653"/>
      <c r="J53" s="654"/>
      <c r="K53" s="677"/>
      <c r="L53" s="122"/>
      <c r="M53" s="671">
        <f>TRUNC(SUM(G41+G46+G47)*2.54%)</f>
        <v>47574</v>
      </c>
      <c r="N53" s="671">
        <f t="shared" si="1"/>
        <v>5245</v>
      </c>
    </row>
    <row r="54" spans="1:14" ht="19.5" customHeight="1">
      <c r="A54" s="741"/>
      <c r="B54" s="742"/>
      <c r="C54" s="746"/>
      <c r="D54" s="147"/>
      <c r="E54" s="151" t="s">
        <v>272</v>
      </c>
      <c r="F54" s="148"/>
      <c r="G54" s="653">
        <f>경비집계표!F11</f>
        <v>3459</v>
      </c>
      <c r="H54" s="654"/>
      <c r="I54" s="653"/>
      <c r="J54" s="654"/>
      <c r="K54" s="677"/>
      <c r="L54" s="122"/>
      <c r="M54" s="671">
        <f>TRUNC(M53*4.78%)</f>
        <v>2274</v>
      </c>
      <c r="N54" s="671">
        <f t="shared" si="1"/>
        <v>1185</v>
      </c>
    </row>
    <row r="55" spans="1:14" ht="19.5" customHeight="1">
      <c r="A55" s="741"/>
      <c r="B55" s="742"/>
      <c r="C55" s="746"/>
      <c r="D55" s="147"/>
      <c r="E55" s="148" t="s">
        <v>31</v>
      </c>
      <c r="F55" s="148"/>
      <c r="G55" s="653">
        <f>경비집계표!F12</f>
        <v>1498</v>
      </c>
      <c r="H55" s="654"/>
      <c r="I55" s="653"/>
      <c r="J55" s="654"/>
      <c r="K55" s="677"/>
      <c r="L55" s="122"/>
      <c r="M55" s="671">
        <f>TRUNC(SUM(G41+G46+G47)*0.04%)</f>
        <v>749</v>
      </c>
      <c r="N55" s="671">
        <f t="shared" si="1"/>
        <v>749</v>
      </c>
    </row>
    <row r="56" spans="1:14" ht="19.5" customHeight="1">
      <c r="A56" s="741"/>
      <c r="B56" s="742"/>
      <c r="C56" s="747"/>
      <c r="D56" s="147"/>
      <c r="E56" s="150" t="s">
        <v>23</v>
      </c>
      <c r="F56" s="148"/>
      <c r="G56" s="653">
        <f>경비집계표!F13</f>
        <v>175775</v>
      </c>
      <c r="H56" s="654"/>
      <c r="I56" s="653"/>
      <c r="J56" s="654"/>
      <c r="K56" s="677"/>
      <c r="L56" s="122"/>
      <c r="M56" s="680">
        <f>SUM(M50:M55)</f>
        <v>195754</v>
      </c>
      <c r="N56" s="671">
        <f>G56-M56</f>
        <v>-19979</v>
      </c>
    </row>
    <row r="57" spans="1:14" ht="19.5" customHeight="1">
      <c r="A57" s="741"/>
      <c r="B57" s="742"/>
      <c r="C57" s="748" t="s">
        <v>685</v>
      </c>
      <c r="D57" s="147"/>
      <c r="E57" s="148" t="s">
        <v>32</v>
      </c>
      <c r="F57" s="148"/>
      <c r="G57" s="653">
        <f>경비집계표!F14</f>
        <v>175000</v>
      </c>
      <c r="H57" s="654"/>
      <c r="I57" s="653"/>
      <c r="J57" s="654"/>
      <c r="K57" s="677"/>
      <c r="L57" s="122"/>
    </row>
    <row r="58" spans="1:14" ht="19.5" customHeight="1">
      <c r="A58" s="741"/>
      <c r="B58" s="742"/>
      <c r="C58" s="749"/>
      <c r="D58" s="691"/>
      <c r="E58" s="720" t="s">
        <v>918</v>
      </c>
      <c r="F58" s="692"/>
      <c r="G58" s="653">
        <f>경비집계표!F15</f>
        <v>0</v>
      </c>
      <c r="H58" s="654"/>
      <c r="I58" s="653"/>
      <c r="J58" s="654"/>
      <c r="K58" s="677"/>
      <c r="L58" s="122"/>
    </row>
    <row r="59" spans="1:14" ht="19.5" customHeight="1">
      <c r="A59" s="741"/>
      <c r="B59" s="742"/>
      <c r="C59" s="750"/>
      <c r="D59" s="147"/>
      <c r="E59" s="150" t="s">
        <v>23</v>
      </c>
      <c r="F59" s="148"/>
      <c r="G59" s="653">
        <f>경비집계표!F16</f>
        <v>175000</v>
      </c>
      <c r="H59" s="654"/>
      <c r="I59" s="653"/>
      <c r="J59" s="654"/>
      <c r="K59" s="677"/>
      <c r="L59" s="122"/>
    </row>
    <row r="60" spans="1:14" ht="19.5" customHeight="1">
      <c r="A60" s="741"/>
      <c r="B60" s="742"/>
      <c r="C60" s="745" t="s">
        <v>277</v>
      </c>
      <c r="D60" s="147"/>
      <c r="E60" s="720" t="s">
        <v>279</v>
      </c>
      <c r="F60" s="148"/>
      <c r="G60" s="653">
        <f>경비집계표!F17</f>
        <v>0</v>
      </c>
      <c r="H60" s="654"/>
      <c r="I60" s="653"/>
      <c r="J60" s="654"/>
      <c r="K60" s="677"/>
      <c r="L60" s="122"/>
    </row>
    <row r="61" spans="1:14" ht="19.5" customHeight="1">
      <c r="A61" s="741"/>
      <c r="B61" s="742"/>
      <c r="C61" s="747"/>
      <c r="D61" s="147"/>
      <c r="E61" s="720" t="s">
        <v>278</v>
      </c>
      <c r="F61" s="148"/>
      <c r="G61" s="653">
        <f>경비집계표!F18</f>
        <v>0</v>
      </c>
      <c r="H61" s="654"/>
      <c r="I61" s="653"/>
      <c r="J61" s="654"/>
      <c r="K61" s="677"/>
      <c r="L61" s="122"/>
    </row>
    <row r="62" spans="1:14" ht="19.5" customHeight="1">
      <c r="A62" s="743"/>
      <c r="B62" s="744"/>
      <c r="C62" s="736" t="s">
        <v>26</v>
      </c>
      <c r="D62" s="737"/>
      <c r="E62" s="737"/>
      <c r="F62" s="738"/>
      <c r="G62" s="653">
        <f>경비집계표!F19</f>
        <v>350775</v>
      </c>
      <c r="H62" s="654"/>
      <c r="I62" s="679">
        <f>ROUNDUP(G62/$G$66*100,1)-0.1</f>
        <v>14.3</v>
      </c>
      <c r="J62" s="654"/>
      <c r="K62" s="677"/>
      <c r="L62" s="122" t="str">
        <f>경비집계표!$A$1&amp;"참조"</f>
        <v>&lt; 표 : 11 &gt; 참조</v>
      </c>
    </row>
    <row r="63" spans="1:14" ht="19.5" customHeight="1">
      <c r="A63" s="152"/>
      <c r="B63" s="752" t="s">
        <v>188</v>
      </c>
      <c r="C63" s="752"/>
      <c r="D63" s="752"/>
      <c r="E63" s="752"/>
      <c r="F63" s="153"/>
      <c r="G63" s="653">
        <f>SUM(G49,G62)</f>
        <v>2223792</v>
      </c>
      <c r="H63" s="654"/>
      <c r="I63" s="679">
        <f>TRUNC(G63/$G$66*100,2)</f>
        <v>90.73</v>
      </c>
      <c r="J63" s="654"/>
      <c r="K63" s="677"/>
      <c r="L63" s="122" t="s">
        <v>660</v>
      </c>
    </row>
    <row r="64" spans="1:14" ht="19.5" customHeight="1">
      <c r="A64" s="154"/>
      <c r="B64" s="752" t="s">
        <v>962</v>
      </c>
      <c r="C64" s="752"/>
      <c r="D64" s="752"/>
      <c r="E64" s="752"/>
      <c r="F64" s="155"/>
      <c r="G64" s="653">
        <f>TRUNC(G63*3%,0)</f>
        <v>66713</v>
      </c>
      <c r="H64" s="654"/>
      <c r="I64" s="679">
        <f>TRUNC(G64/$G$66*100,2)</f>
        <v>2.72</v>
      </c>
      <c r="J64" s="654"/>
      <c r="K64" s="677"/>
      <c r="L64" s="122" t="s">
        <v>964</v>
      </c>
    </row>
    <row r="65" spans="1:12" ht="19.5" customHeight="1">
      <c r="A65" s="154"/>
      <c r="B65" s="752" t="s">
        <v>963</v>
      </c>
      <c r="C65" s="752"/>
      <c r="D65" s="752"/>
      <c r="E65" s="752"/>
      <c r="F65" s="155"/>
      <c r="G65" s="653">
        <f>TRUNC(SUM(G49,G62,G64)*7%,0)</f>
        <v>160335</v>
      </c>
      <c r="H65" s="654"/>
      <c r="I65" s="679">
        <f>TRUNC(G65/$G$66*100,2)</f>
        <v>6.54</v>
      </c>
      <c r="J65" s="654"/>
      <c r="K65" s="677"/>
      <c r="L65" s="122" t="s">
        <v>965</v>
      </c>
    </row>
    <row r="66" spans="1:12" ht="19.5" customHeight="1">
      <c r="A66" s="154"/>
      <c r="B66" s="752" t="s">
        <v>675</v>
      </c>
      <c r="C66" s="752"/>
      <c r="D66" s="752"/>
      <c r="E66" s="752"/>
      <c r="F66" s="155"/>
      <c r="G66" s="653">
        <f>SUM(G63:G65)</f>
        <v>2450840</v>
      </c>
      <c r="H66" s="654"/>
      <c r="I66" s="679">
        <f>TRUNC(G66/$G$66*100,2)</f>
        <v>100</v>
      </c>
      <c r="J66" s="654"/>
      <c r="K66" s="677"/>
      <c r="L66" s="122" t="s">
        <v>289</v>
      </c>
    </row>
    <row r="67" spans="1:12" ht="19.5" customHeight="1">
      <c r="A67" s="154"/>
      <c r="B67" s="751" t="s">
        <v>679</v>
      </c>
      <c r="C67" s="751"/>
      <c r="D67" s="751"/>
      <c r="E67" s="751"/>
      <c r="F67" s="155"/>
      <c r="G67" s="625">
        <f>TRUNC(G66*10%)</f>
        <v>245084</v>
      </c>
      <c r="H67" s="681"/>
      <c r="I67" s="682"/>
      <c r="J67" s="681"/>
      <c r="K67" s="683"/>
      <c r="L67" s="656" t="s">
        <v>681</v>
      </c>
    </row>
    <row r="68" spans="1:12" ht="19.5" customHeight="1">
      <c r="A68" s="154"/>
      <c r="B68" s="751" t="s">
        <v>680</v>
      </c>
      <c r="C68" s="751"/>
      <c r="D68" s="751"/>
      <c r="E68" s="751"/>
      <c r="F68" s="155"/>
      <c r="G68" s="625">
        <f>SUM(G66:G67)</f>
        <v>2695924</v>
      </c>
      <c r="H68" s="681"/>
      <c r="I68" s="682"/>
      <c r="J68" s="681"/>
      <c r="K68" s="683"/>
      <c r="L68" s="656" t="s">
        <v>682</v>
      </c>
    </row>
  </sheetData>
  <mergeCells count="41">
    <mergeCell ref="B67:E67"/>
    <mergeCell ref="B68:E68"/>
    <mergeCell ref="B63:E63"/>
    <mergeCell ref="B64:E64"/>
    <mergeCell ref="B65:E65"/>
    <mergeCell ref="B66:E66"/>
    <mergeCell ref="C7:F7"/>
    <mergeCell ref="C13:F13"/>
    <mergeCell ref="B30:E30"/>
    <mergeCell ref="C26:C27"/>
    <mergeCell ref="C16:C22"/>
    <mergeCell ref="C23:C25"/>
    <mergeCell ref="C28:F28"/>
    <mergeCell ref="B29:E29"/>
    <mergeCell ref="B33:E33"/>
    <mergeCell ref="B34:E34"/>
    <mergeCell ref="C57:C59"/>
    <mergeCell ref="C62:F62"/>
    <mergeCell ref="C60:C61"/>
    <mergeCell ref="C42:C46"/>
    <mergeCell ref="C47:F47"/>
    <mergeCell ref="C48:F48"/>
    <mergeCell ref="C49:F49"/>
    <mergeCell ref="A50:B62"/>
    <mergeCell ref="C50:C56"/>
    <mergeCell ref="N48:O48"/>
    <mergeCell ref="K5:L6"/>
    <mergeCell ref="B31:E31"/>
    <mergeCell ref="B32:E32"/>
    <mergeCell ref="A16:B28"/>
    <mergeCell ref="C14:F14"/>
    <mergeCell ref="C8:C12"/>
    <mergeCell ref="G5:H6"/>
    <mergeCell ref="I5:J6"/>
    <mergeCell ref="C15:F15"/>
    <mergeCell ref="A7:B15"/>
    <mergeCell ref="L39:L40"/>
    <mergeCell ref="G39:H40"/>
    <mergeCell ref="I39:J40"/>
    <mergeCell ref="A41:B49"/>
    <mergeCell ref="C41:F41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r:id="rId1"/>
  <headerFooter alignWithMargins="0">
    <oddFooter>&amp;C-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showGridLines="0" showZeros="0" view="pageBreakPreview" zoomScale="55" zoomScaleNormal="60" zoomScaleSheetLayoutView="55" workbookViewId="0">
      <selection activeCell="J15" sqref="J15"/>
    </sheetView>
  </sheetViews>
  <sheetFormatPr defaultColWidth="8.140625" defaultRowHeight="30" customHeight="1"/>
  <cols>
    <col min="1" max="1" width="11.5703125" style="100" customWidth="1"/>
    <col min="2" max="2" width="24.5703125" style="100" customWidth="1"/>
    <col min="3" max="3" width="15.85546875" style="100" bestFit="1" customWidth="1"/>
    <col min="4" max="4" width="42.570312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7"/>
      <c r="C4" s="107"/>
      <c r="D4" s="107"/>
    </row>
    <row r="5" spans="1:4" ht="39.950000000000003" customHeight="1">
      <c r="A5" s="108"/>
      <c r="B5" s="109"/>
      <c r="C5" s="733" t="s">
        <v>948</v>
      </c>
      <c r="D5" s="733"/>
    </row>
    <row r="6" spans="1:4" ht="39.75" customHeight="1">
      <c r="A6" s="108"/>
      <c r="B6" s="109"/>
      <c r="C6" s="110"/>
      <c r="D6" s="113"/>
    </row>
    <row r="7" spans="1:4" ht="39.75" customHeight="1">
      <c r="A7" s="108"/>
      <c r="B7" s="109"/>
      <c r="C7" s="114" t="s">
        <v>876</v>
      </c>
      <c r="D7" s="115" t="str">
        <f>인집!A2</f>
        <v>단위당인건비집계표</v>
      </c>
    </row>
    <row r="8" spans="1:4" ht="39.75" customHeight="1">
      <c r="A8" s="108"/>
      <c r="B8" s="109"/>
      <c r="C8" s="114" t="s">
        <v>877</v>
      </c>
      <c r="D8" s="115" t="str">
        <f>단위당인건비!A2</f>
        <v>단위(1인)당인건비산출표</v>
      </c>
    </row>
    <row r="9" spans="1:4" ht="39.75" customHeight="1">
      <c r="A9" s="108"/>
      <c r="B9" s="109"/>
      <c r="C9" s="114" t="s">
        <v>878</v>
      </c>
      <c r="D9" s="115" t="str">
        <f>월기본급!A2</f>
        <v>M/M당기본급산출표</v>
      </c>
    </row>
    <row r="10" spans="1:4" ht="39.75" customHeight="1">
      <c r="A10" s="108"/>
      <c r="B10" s="109"/>
      <c r="C10" s="114" t="s">
        <v>879</v>
      </c>
      <c r="D10" s="115" t="str">
        <f>연장근로!A2</f>
        <v>연장근로시간산출표</v>
      </c>
    </row>
    <row r="11" spans="1:4" ht="39.75" customHeight="1">
      <c r="A11" s="108"/>
      <c r="B11" s="109"/>
      <c r="C11" s="114" t="s">
        <v>880</v>
      </c>
      <c r="D11" s="115" t="str">
        <f>휴일근로!A2</f>
        <v>휴일근로시간산출표</v>
      </c>
    </row>
    <row r="12" spans="1:4" ht="39.75" customHeight="1">
      <c r="A12" s="108"/>
      <c r="B12" s="109"/>
      <c r="C12" s="114" t="s">
        <v>881</v>
      </c>
      <c r="D12" s="115" t="str">
        <f>산정기준!A2</f>
        <v>인건비산정기준 및 관련법규</v>
      </c>
    </row>
    <row r="13" spans="1:4" ht="39.75" customHeight="1">
      <c r="A13" s="108"/>
      <c r="B13" s="109"/>
      <c r="C13" s="114" t="s">
        <v>882</v>
      </c>
      <c r="D13" s="115" t="str">
        <f>근무일수!A2</f>
        <v>용역기간현황표</v>
      </c>
    </row>
    <row r="14" spans="1:4" ht="39.75" customHeight="1">
      <c r="A14" s="108"/>
      <c r="B14" s="109"/>
      <c r="C14" s="114" t="s">
        <v>883</v>
      </c>
      <c r="D14" s="115" t="str">
        <f>투입인원!A2</f>
        <v>적용직종 및 소요인원산정표</v>
      </c>
    </row>
    <row r="15" spans="1:4" ht="39.75" customHeight="1">
      <c r="A15" s="108"/>
      <c r="B15" s="109"/>
      <c r="C15" s="114"/>
      <c r="D15" s="115"/>
    </row>
    <row r="16" spans="1:4" ht="39.75" customHeight="1">
      <c r="A16" s="108"/>
      <c r="B16" s="109"/>
      <c r="C16" s="114"/>
      <c r="D16" s="115"/>
    </row>
    <row r="17" spans="1:4" ht="39.75" customHeight="1">
      <c r="A17" s="108"/>
      <c r="B17" s="109"/>
      <c r="C17" s="116"/>
      <c r="D17" s="117"/>
    </row>
    <row r="18" spans="1:4" ht="39.950000000000003" customHeight="1">
      <c r="A18" s="112"/>
      <c r="B18" s="112"/>
      <c r="C18" s="112"/>
      <c r="D18" s="112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7" orientation="portrait" useFirstPageNumber="1" r:id="rId1"/>
  <headerFooter alignWithMargins="0">
    <oddFooter>&amp;C-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M10"/>
  <sheetViews>
    <sheetView showGridLines="0" showZeros="0" view="pageBreakPreview" zoomScaleNormal="100" workbookViewId="0">
      <selection activeCell="J15" sqref="J15"/>
    </sheetView>
  </sheetViews>
  <sheetFormatPr defaultRowHeight="12"/>
  <cols>
    <col min="1" max="1" width="1.7109375" style="135" customWidth="1"/>
    <col min="2" max="2" width="13.7109375" style="135" customWidth="1"/>
    <col min="3" max="3" width="1.7109375" style="135" customWidth="1"/>
    <col min="4" max="4" width="1.7109375" style="124" customWidth="1"/>
    <col min="5" max="5" width="15.28515625" style="124" customWidth="1"/>
    <col min="6" max="6" width="1.7109375" style="124" customWidth="1"/>
    <col min="7" max="10" width="11.7109375" style="125" customWidth="1"/>
    <col min="11" max="11" width="12.7109375" style="125" customWidth="1"/>
    <col min="12" max="12" width="13" style="125" bestFit="1" customWidth="1"/>
    <col min="13" max="16384" width="9.140625" style="124"/>
  </cols>
  <sheetData>
    <row r="1" spans="1:13" ht="20.100000000000001" customHeight="1">
      <c r="A1" s="123" t="s">
        <v>688</v>
      </c>
      <c r="B1" s="123"/>
      <c r="C1" s="123"/>
    </row>
    <row r="2" spans="1:13" s="93" customFormat="1" ht="39.950000000000003" customHeight="1">
      <c r="A2" s="126" t="s">
        <v>35</v>
      </c>
      <c r="B2" s="126"/>
      <c r="C2" s="126"/>
      <c r="D2" s="127"/>
      <c r="E2" s="127"/>
      <c r="F2" s="127"/>
      <c r="G2" s="375"/>
      <c r="H2" s="375"/>
      <c r="I2" s="375"/>
      <c r="J2" s="375"/>
      <c r="K2" s="375"/>
      <c r="L2" s="640"/>
    </row>
    <row r="3" spans="1:13" s="93" customFormat="1" ht="20.100000000000001" customHeight="1">
      <c r="A3" s="126"/>
      <c r="B3" s="126"/>
      <c r="C3" s="126"/>
      <c r="D3" s="127"/>
      <c r="E3" s="127"/>
      <c r="F3" s="127"/>
      <c r="G3" s="375"/>
      <c r="H3" s="375"/>
      <c r="I3" s="375"/>
      <c r="J3" s="375"/>
      <c r="K3" s="375"/>
      <c r="L3" s="640"/>
    </row>
    <row r="4" spans="1:13" ht="20.100000000000001" customHeight="1">
      <c r="A4" s="133"/>
      <c r="B4" s="133"/>
      <c r="C4" s="133"/>
      <c r="D4" s="134"/>
      <c r="E4" s="134"/>
      <c r="F4" s="134"/>
      <c r="K4" s="137" t="s">
        <v>36</v>
      </c>
    </row>
    <row r="5" spans="1:13" s="388" customFormat="1" ht="50.1" customHeight="1">
      <c r="A5" s="565"/>
      <c r="B5" s="147" t="s">
        <v>37</v>
      </c>
      <c r="C5" s="566"/>
      <c r="D5" s="565"/>
      <c r="E5" s="521" t="s">
        <v>38</v>
      </c>
      <c r="F5" s="566"/>
      <c r="G5" s="670" t="s">
        <v>39</v>
      </c>
      <c r="H5" s="670" t="s">
        <v>40</v>
      </c>
      <c r="I5" s="670" t="s">
        <v>41</v>
      </c>
      <c r="J5" s="670" t="s">
        <v>42</v>
      </c>
      <c r="K5" s="670" t="s">
        <v>14</v>
      </c>
      <c r="L5" s="535"/>
    </row>
    <row r="6" spans="1:13" ht="57" customHeight="1">
      <c r="A6" s="645"/>
      <c r="B6" s="561" t="str">
        <f>월기본급!B9</f>
        <v>운전원</v>
      </c>
      <c r="C6" s="390"/>
      <c r="D6" s="381"/>
      <c r="E6" s="646" t="str">
        <f>월기본급!F9</f>
        <v>보통인부</v>
      </c>
      <c r="F6" s="382"/>
      <c r="G6" s="271">
        <f>단위당인건비!E6</f>
        <v>1116360</v>
      </c>
      <c r="H6" s="271">
        <f>단위당인건비!E11</f>
        <v>570597</v>
      </c>
      <c r="I6" s="271">
        <f>단위당인건비!E12</f>
        <v>372120</v>
      </c>
      <c r="J6" s="271">
        <f>단위당인건비!E13</f>
        <v>0</v>
      </c>
      <c r="K6" s="271">
        <f>SUM(G6:J6)</f>
        <v>2059077</v>
      </c>
      <c r="L6" s="671">
        <f>단위당인건비!E14</f>
        <v>2059077</v>
      </c>
      <c r="M6" s="672">
        <f>K6-L6</f>
        <v>0</v>
      </c>
    </row>
    <row r="7" spans="1:13" ht="57" customHeight="1">
      <c r="A7" s="645"/>
      <c r="B7" s="561" t="str">
        <f>월기본급!B10</f>
        <v>사무원</v>
      </c>
      <c r="C7" s="390"/>
      <c r="D7" s="381"/>
      <c r="E7" s="646" t="str">
        <f>월기본급!F10</f>
        <v>보통인부</v>
      </c>
      <c r="F7" s="382"/>
      <c r="G7" s="271">
        <f>단위당인건비!E25</f>
        <v>1116360</v>
      </c>
      <c r="H7" s="271">
        <f>단위당인건비!E30</f>
        <v>570597</v>
      </c>
      <c r="I7" s="271">
        <f>단위당인건비!E31</f>
        <v>186060</v>
      </c>
      <c r="J7" s="271">
        <f>단위당인건비!E32</f>
        <v>0</v>
      </c>
      <c r="K7" s="271">
        <f>SUM(G7:J7)</f>
        <v>1873017</v>
      </c>
      <c r="L7" s="671">
        <f>단위당인건비!E33</f>
        <v>1873017</v>
      </c>
      <c r="M7" s="672">
        <f>K7-L7</f>
        <v>0</v>
      </c>
    </row>
    <row r="8" spans="1:13" ht="12.75" customHeight="1">
      <c r="A8" s="648"/>
      <c r="B8" s="562"/>
      <c r="C8" s="397"/>
      <c r="D8" s="393"/>
      <c r="E8" s="274"/>
      <c r="F8" s="641"/>
      <c r="G8" s="329"/>
      <c r="H8" s="329"/>
      <c r="I8" s="329"/>
      <c r="J8" s="329"/>
      <c r="K8" s="329"/>
    </row>
    <row r="9" spans="1:13" ht="24.95" customHeight="1">
      <c r="A9" s="133" t="str">
        <f>"주) 금액 : "&amp;단위당인건비!A1&amp;단위당인건비!A2&amp;" 참조"</f>
        <v>주) 금액 : &lt; 표 : 4 &gt; 단위(1인)당인건비산출표 참조</v>
      </c>
    </row>
    <row r="10" spans="1:13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29" orientation="portrait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L41"/>
  <sheetViews>
    <sheetView showGridLines="0" showZeros="0" view="pageBreakPreview" zoomScaleNormal="100" zoomScaleSheetLayoutView="100" workbookViewId="0">
      <selection activeCell="E32" sqref="E32"/>
    </sheetView>
  </sheetViews>
  <sheetFormatPr defaultRowHeight="12"/>
  <cols>
    <col min="1" max="1" width="6.7109375" style="537" customWidth="1"/>
    <col min="2" max="2" width="1.7109375" style="493" customWidth="1"/>
    <col min="3" max="3" width="20.85546875" style="493" customWidth="1"/>
    <col min="4" max="4" width="1.7109375" style="493" customWidth="1"/>
    <col min="5" max="5" width="18.42578125" style="99" customWidth="1"/>
    <col min="6" max="6" width="2.7109375" style="99" customWidth="1"/>
    <col min="7" max="7" width="0.85546875" style="99" customWidth="1"/>
    <col min="8" max="8" width="25.28515625" style="99" bestFit="1" customWidth="1"/>
    <col min="9" max="9" width="0.85546875" style="99" customWidth="1"/>
    <col min="10" max="10" width="15.85546875" style="125" customWidth="1"/>
    <col min="11" max="11" width="10.28515625" style="124" customWidth="1"/>
    <col min="12" max="12" width="16.7109375" style="134" customWidth="1"/>
    <col min="13" max="16384" width="9.140625" style="124"/>
  </cols>
  <sheetData>
    <row r="1" spans="1:12" ht="20.100000000000001" customHeight="1">
      <c r="A1" s="91" t="s">
        <v>921</v>
      </c>
      <c r="B1" s="388"/>
      <c r="C1" s="388"/>
      <c r="D1" s="388"/>
    </row>
    <row r="2" spans="1:12" s="93" customFormat="1" ht="39.950000000000003" customHeight="1">
      <c r="A2" s="92" t="s">
        <v>43</v>
      </c>
      <c r="B2" s="126"/>
      <c r="C2" s="126"/>
      <c r="D2" s="126"/>
      <c r="E2" s="129"/>
      <c r="F2" s="129"/>
      <c r="G2" s="129"/>
      <c r="H2" s="651"/>
      <c r="I2" s="651"/>
      <c r="J2" s="492"/>
      <c r="L2" s="652"/>
    </row>
    <row r="3" spans="1:12" s="93" customFormat="1" ht="20.100000000000001" customHeight="1">
      <c r="A3" s="92"/>
      <c r="B3" s="126"/>
      <c r="C3" s="126"/>
      <c r="D3" s="126"/>
      <c r="E3" s="129"/>
      <c r="F3" s="129"/>
      <c r="G3" s="129"/>
      <c r="H3" s="651"/>
      <c r="I3" s="651"/>
      <c r="J3" s="492"/>
      <c r="L3" s="652"/>
    </row>
    <row r="4" spans="1:12" ht="20.100000000000001" customHeight="1">
      <c r="A4" s="134" t="str">
        <f>"구 분 : "&amp;월기본급!B9&amp;"                       직종명 : "&amp;월기본급!F9&amp;""</f>
        <v>구 분 : 운전원                       직종명 : 보통인부</v>
      </c>
      <c r="B4" s="133"/>
      <c r="C4" s="133"/>
      <c r="D4" s="133"/>
      <c r="E4" s="530"/>
      <c r="F4" s="530"/>
      <c r="G4" s="530"/>
      <c r="J4" s="137" t="s">
        <v>36</v>
      </c>
      <c r="K4" s="124">
        <v>209</v>
      </c>
      <c r="L4" s="134" t="s">
        <v>44</v>
      </c>
    </row>
    <row r="5" spans="1:12" ht="50.1" customHeight="1">
      <c r="A5" s="736" t="s">
        <v>45</v>
      </c>
      <c r="B5" s="737"/>
      <c r="C5" s="737"/>
      <c r="D5" s="738"/>
      <c r="E5" s="758" t="s">
        <v>46</v>
      </c>
      <c r="F5" s="759"/>
      <c r="G5" s="380" t="s">
        <v>187</v>
      </c>
      <c r="H5" s="378"/>
      <c r="I5" s="380" t="s">
        <v>47</v>
      </c>
      <c r="J5" s="378"/>
    </row>
    <row r="6" spans="1:12" ht="33.950000000000003" customHeight="1">
      <c r="A6" s="736" t="s">
        <v>48</v>
      </c>
      <c r="B6" s="737"/>
      <c r="C6" s="737"/>
      <c r="D6" s="738"/>
      <c r="E6" s="653">
        <f>월기본급!J9</f>
        <v>1116360</v>
      </c>
      <c r="F6" s="654"/>
      <c r="G6" s="98"/>
      <c r="H6" s="655" t="s">
        <v>794</v>
      </c>
      <c r="I6" s="585"/>
      <c r="J6" s="656" t="s">
        <v>49</v>
      </c>
    </row>
    <row r="7" spans="1:12" ht="33.950000000000003" customHeight="1">
      <c r="A7" s="745" t="s">
        <v>275</v>
      </c>
      <c r="B7" s="565"/>
      <c r="C7" s="148" t="s">
        <v>0</v>
      </c>
      <c r="D7" s="566"/>
      <c r="E7" s="657">
        <f>TRUNC((E6/K4*($L$7*4.34)*1.5),0)</f>
        <v>260795</v>
      </c>
      <c r="F7" s="654"/>
      <c r="G7" s="98"/>
      <c r="H7" s="658" t="s">
        <v>213</v>
      </c>
      <c r="I7" s="659"/>
      <c r="J7" s="656" t="s">
        <v>10</v>
      </c>
      <c r="K7" s="660"/>
      <c r="L7" s="134">
        <f>연장근로!D8</f>
        <v>7.5</v>
      </c>
    </row>
    <row r="8" spans="1:12" ht="33.950000000000003" customHeight="1">
      <c r="A8" s="746"/>
      <c r="B8" s="565"/>
      <c r="C8" s="148" t="s">
        <v>245</v>
      </c>
      <c r="D8" s="566"/>
      <c r="E8" s="661">
        <f>TRUNC(E6/K4*K8*1.5,0)</f>
        <v>256388</v>
      </c>
      <c r="F8" s="654"/>
      <c r="G8" s="98"/>
      <c r="H8" s="658" t="s">
        <v>213</v>
      </c>
      <c r="I8" s="659"/>
      <c r="J8" s="656" t="s">
        <v>11</v>
      </c>
      <c r="K8" s="660">
        <f>휴일근로!$F$10</f>
        <v>32</v>
      </c>
    </row>
    <row r="9" spans="1:12" ht="33.950000000000003" customHeight="1">
      <c r="A9" s="746"/>
      <c r="B9" s="565"/>
      <c r="C9" s="148" t="s">
        <v>50</v>
      </c>
      <c r="D9" s="566"/>
      <c r="E9" s="653">
        <f>TRUNC(((E6/K4)*8*15)/12,0)</f>
        <v>53414</v>
      </c>
      <c r="F9" s="654"/>
      <c r="G9" s="98"/>
      <c r="H9" s="658" t="s">
        <v>212</v>
      </c>
      <c r="I9" s="659"/>
      <c r="J9" s="656" t="s">
        <v>12</v>
      </c>
    </row>
    <row r="10" spans="1:12" ht="33.950000000000003" customHeight="1">
      <c r="A10" s="746"/>
      <c r="B10" s="565"/>
      <c r="C10" s="148" t="s">
        <v>274</v>
      </c>
      <c r="D10" s="566"/>
      <c r="E10" s="653"/>
      <c r="F10" s="654"/>
      <c r="G10" s="98"/>
      <c r="H10" s="658" t="s">
        <v>795</v>
      </c>
      <c r="I10" s="659"/>
      <c r="J10" s="656" t="s">
        <v>13</v>
      </c>
    </row>
    <row r="11" spans="1:12" ht="33.950000000000003" customHeight="1">
      <c r="A11" s="747"/>
      <c r="B11" s="565"/>
      <c r="C11" s="148" t="s">
        <v>51</v>
      </c>
      <c r="D11" s="566"/>
      <c r="E11" s="653">
        <f>SUM(E7:E10)</f>
        <v>570597</v>
      </c>
      <c r="F11" s="654"/>
      <c r="G11" s="98"/>
      <c r="H11" s="658"/>
      <c r="I11" s="659"/>
      <c r="J11" s="656"/>
    </row>
    <row r="12" spans="1:12" ht="33.950000000000003" customHeight="1">
      <c r="A12" s="736" t="s">
        <v>52</v>
      </c>
      <c r="B12" s="737"/>
      <c r="C12" s="737"/>
      <c r="D12" s="738"/>
      <c r="E12" s="653">
        <f>TRUNC(E6*4/12,0)</f>
        <v>372120</v>
      </c>
      <c r="F12" s="654"/>
      <c r="G12" s="98"/>
      <c r="H12" s="662" t="s">
        <v>869</v>
      </c>
      <c r="I12" s="663"/>
      <c r="J12" s="656" t="s">
        <v>285</v>
      </c>
    </row>
    <row r="13" spans="1:12" ht="33.950000000000003" customHeight="1">
      <c r="A13" s="736" t="s">
        <v>53</v>
      </c>
      <c r="B13" s="737"/>
      <c r="C13" s="737"/>
      <c r="D13" s="738"/>
      <c r="E13" s="653">
        <f>TRUNC(SUM(E6,E11,E12)/12,0)*0</f>
        <v>0</v>
      </c>
      <c r="F13" s="654"/>
      <c r="G13" s="98"/>
      <c r="H13" s="658" t="s">
        <v>54</v>
      </c>
      <c r="I13" s="659"/>
      <c r="J13" s="656" t="s">
        <v>286</v>
      </c>
    </row>
    <row r="14" spans="1:12" ht="45" customHeight="1">
      <c r="A14" s="736" t="s">
        <v>55</v>
      </c>
      <c r="B14" s="737"/>
      <c r="C14" s="737"/>
      <c r="D14" s="738"/>
      <c r="E14" s="653">
        <f>SUM(E6,E11,E12,E13)</f>
        <v>2059077</v>
      </c>
      <c r="F14" s="654"/>
      <c r="G14" s="98"/>
      <c r="H14" s="664"/>
      <c r="I14" s="665"/>
      <c r="J14" s="666"/>
    </row>
    <row r="15" spans="1:12" s="528" customFormat="1" ht="24.95" customHeight="1">
      <c r="A15" s="527" t="str">
        <f>"주 1) 기본급 : "&amp;월기본급!$A$1&amp;월기본급!$A$2&amp;" 참조"</f>
        <v>주 1) 기본급 : &lt; 표 : 5 &gt; M/M당기본급산출표 참조</v>
      </c>
      <c r="B15" s="527"/>
      <c r="C15" s="527"/>
      <c r="D15" s="527"/>
      <c r="E15" s="529"/>
      <c r="F15" s="529"/>
      <c r="G15" s="529"/>
      <c r="H15" s="529"/>
      <c r="I15" s="529"/>
      <c r="J15" s="529"/>
      <c r="L15" s="533"/>
    </row>
    <row r="16" spans="1:12" s="528" customFormat="1" ht="24.95" customHeight="1">
      <c r="A16" s="532" t="str">
        <f>"   2) 연장근로수당 : "&amp;FIXED(E6,0)&amp;"(기본급)÷"&amp;K4&amp;"시간(월근로시간)×("&amp;(연장근로!$D$8)&amp;"시간×"&amp;(연장근로!$E$8)&amp;"주)×1.5(할증)"</f>
        <v xml:space="preserve">   2) 연장근로수당 : 1,116,360(기본급)÷209시간(월근로시간)×(7.5시간×4.34주)×1.5(할증)</v>
      </c>
      <c r="B16" s="527"/>
      <c r="C16" s="527"/>
      <c r="D16" s="527"/>
      <c r="E16" s="529"/>
      <c r="F16" s="529"/>
      <c r="G16" s="529"/>
      <c r="H16" s="529"/>
      <c r="I16" s="529"/>
      <c r="J16" s="529"/>
      <c r="L16" s="533"/>
    </row>
    <row r="17" spans="1:12" s="528" customFormat="1" ht="24.95" customHeight="1">
      <c r="A17" s="134" t="s">
        <v>654</v>
      </c>
      <c r="B17" s="527"/>
      <c r="C17" s="527"/>
      <c r="D17" s="527"/>
      <c r="E17" s="529"/>
      <c r="F17" s="529"/>
      <c r="G17" s="529"/>
      <c r="H17" s="529"/>
      <c r="I17" s="529"/>
      <c r="J17" s="529"/>
      <c r="L17" s="533"/>
    </row>
    <row r="18" spans="1:12" s="528" customFormat="1" ht="24.95" customHeight="1">
      <c r="A18" s="532" t="str">
        <f>"   3) 휴일근로수당 : "&amp;FIXED(E6,0)&amp;"(기본급)÷"&amp;K4&amp;"(월근로시간)×"&amp;K8&amp;"시간(휴일근로시간)×1.5(할증)"</f>
        <v xml:space="preserve">   3) 휴일근로수당 : 1,116,360(기본급)÷209(월근로시간)×32시간(휴일근로시간)×1.5(할증)</v>
      </c>
      <c r="B18" s="527"/>
      <c r="C18" s="527"/>
      <c r="D18" s="527"/>
      <c r="E18" s="529"/>
      <c r="F18" s="529"/>
      <c r="G18" s="529"/>
      <c r="H18" s="529"/>
      <c r="I18" s="529"/>
      <c r="J18" s="529"/>
      <c r="L18" s="533"/>
    </row>
    <row r="19" spans="1:12" s="528" customFormat="1" ht="24.95" customHeight="1">
      <c r="A19" s="532" t="str">
        <f>"   4) 년차수당 : "&amp;FIXED(E6,0)&amp;"(기본급)÷"&amp;K4&amp;"(월근로시간)×8시간(일근로시간)×15일/년÷12개월"</f>
        <v xml:space="preserve">   4) 년차수당 : 1,116,360(기본급)÷209(월근로시간)×8시간(일근로시간)×15일/년÷12개월</v>
      </c>
      <c r="B19" s="667"/>
      <c r="C19" s="667"/>
      <c r="D19" s="667"/>
      <c r="E19" s="530"/>
      <c r="F19" s="530"/>
      <c r="G19" s="530"/>
      <c r="H19" s="530"/>
      <c r="I19" s="530"/>
      <c r="J19" s="136"/>
      <c r="L19" s="533"/>
    </row>
    <row r="20" spans="1:12" s="528" customFormat="1" ht="24.95" customHeight="1">
      <c r="A20" s="532" t="s">
        <v>287</v>
      </c>
      <c r="B20" s="667"/>
      <c r="C20" s="667"/>
      <c r="D20" s="667"/>
      <c r="E20" s="530"/>
      <c r="F20" s="530"/>
      <c r="G20" s="530"/>
      <c r="H20" s="530"/>
      <c r="I20" s="530"/>
      <c r="J20" s="136"/>
      <c r="L20" s="533"/>
    </row>
    <row r="21" spans="1:12" ht="24.95" customHeight="1">
      <c r="A21" s="532" t="str">
        <f>"   6) 상여금 : "&amp;FIXED(E6,0)&amp;"(기본급)×2.5개월(년 250%적용)÷12개월"</f>
        <v xml:space="preserve">   6) 상여금 : 1,116,360(기본급)×2.5개월(년 250%적용)÷12개월</v>
      </c>
      <c r="J21" s="99"/>
    </row>
    <row r="22" spans="1:12" ht="24.95" customHeight="1">
      <c r="A22" s="532" t="str">
        <f>"   7) 퇴직급여충당금 : {"&amp;FIXED(E6,0)&amp;"(기본급)+"&amp;FIXED(E11,0)&amp;"(제수당)+"&amp;FIXED(E12,0)&amp;"(상여금)}÷12개월"</f>
        <v xml:space="preserve">   7) 퇴직급여충당금 : {1,116,360(기본급)+570,597(제수당)+372,120(상여금)}÷12개월</v>
      </c>
      <c r="J22" s="99"/>
    </row>
    <row r="23" spans="1:12" ht="20.100000000000001" customHeight="1">
      <c r="A23" s="134" t="str">
        <f>"구 분 : "&amp;월기본급!B10&amp;"                       직종명 : "&amp;월기본급!F10&amp;""</f>
        <v>구 분 : 사무원                       직종명 : 보통인부</v>
      </c>
      <c r="B23" s="133"/>
      <c r="C23" s="133"/>
      <c r="D23" s="133"/>
      <c r="E23" s="530"/>
      <c r="F23" s="530"/>
      <c r="G23" s="530"/>
      <c r="J23" s="137" t="s">
        <v>36</v>
      </c>
      <c r="K23" s="124">
        <v>209</v>
      </c>
      <c r="L23" s="134" t="s">
        <v>44</v>
      </c>
    </row>
    <row r="24" spans="1:12" ht="50.1" customHeight="1">
      <c r="A24" s="736" t="s">
        <v>45</v>
      </c>
      <c r="B24" s="737"/>
      <c r="C24" s="737"/>
      <c r="D24" s="738"/>
      <c r="E24" s="758" t="s">
        <v>46</v>
      </c>
      <c r="F24" s="759"/>
      <c r="G24" s="380" t="s">
        <v>187</v>
      </c>
      <c r="H24" s="378"/>
      <c r="I24" s="380" t="s">
        <v>47</v>
      </c>
      <c r="J24" s="378"/>
    </row>
    <row r="25" spans="1:12" ht="36" customHeight="1">
      <c r="A25" s="736" t="s">
        <v>48</v>
      </c>
      <c r="B25" s="737"/>
      <c r="C25" s="737"/>
      <c r="D25" s="738"/>
      <c r="E25" s="661">
        <f>월기본급!J10</f>
        <v>1116360</v>
      </c>
      <c r="F25" s="668"/>
      <c r="G25" s="669"/>
      <c r="H25" s="655" t="s">
        <v>794</v>
      </c>
      <c r="I25" s="585"/>
      <c r="J25" s="656" t="s">
        <v>49</v>
      </c>
    </row>
    <row r="26" spans="1:12" ht="36" customHeight="1">
      <c r="A26" s="745" t="s">
        <v>275</v>
      </c>
      <c r="B26" s="565"/>
      <c r="C26" s="148" t="s">
        <v>0</v>
      </c>
      <c r="D26" s="566"/>
      <c r="E26" s="657">
        <f>TRUNC((E25/K23*($L$7*4.34)*1.5),0)</f>
        <v>260795</v>
      </c>
      <c r="F26" s="668"/>
      <c r="G26" s="669"/>
      <c r="H26" s="658" t="s">
        <v>213</v>
      </c>
      <c r="I26" s="659"/>
      <c r="J26" s="656" t="s">
        <v>10</v>
      </c>
      <c r="K26" s="124" t="e">
        <f>연장근로!#REF!</f>
        <v>#REF!</v>
      </c>
    </row>
    <row r="27" spans="1:12" ht="36" customHeight="1">
      <c r="A27" s="746"/>
      <c r="B27" s="565"/>
      <c r="C27" s="148" t="s">
        <v>245</v>
      </c>
      <c r="D27" s="566"/>
      <c r="E27" s="661">
        <f>TRUNC(E25/K23*K27*1.5,0)</f>
        <v>256388</v>
      </c>
      <c r="F27" s="668"/>
      <c r="G27" s="669"/>
      <c r="H27" s="658" t="s">
        <v>213</v>
      </c>
      <c r="I27" s="659"/>
      <c r="J27" s="656" t="s">
        <v>11</v>
      </c>
      <c r="K27" s="124">
        <f>휴일근로!$F$10</f>
        <v>32</v>
      </c>
    </row>
    <row r="28" spans="1:12" ht="36" customHeight="1">
      <c r="A28" s="746"/>
      <c r="B28" s="565"/>
      <c r="C28" s="148" t="s">
        <v>50</v>
      </c>
      <c r="D28" s="566"/>
      <c r="E28" s="661">
        <f>TRUNC(E25/K23*8*15/12,0)</f>
        <v>53414</v>
      </c>
      <c r="F28" s="668"/>
      <c r="G28" s="669"/>
      <c r="H28" s="658" t="s">
        <v>212</v>
      </c>
      <c r="I28" s="659"/>
      <c r="J28" s="656" t="s">
        <v>12</v>
      </c>
    </row>
    <row r="29" spans="1:12" ht="36" customHeight="1">
      <c r="A29" s="746"/>
      <c r="B29" s="565"/>
      <c r="C29" s="148" t="s">
        <v>274</v>
      </c>
      <c r="D29" s="566"/>
      <c r="E29" s="653"/>
      <c r="F29" s="668"/>
      <c r="G29" s="669"/>
      <c r="H29" s="658" t="s">
        <v>795</v>
      </c>
      <c r="I29" s="659"/>
      <c r="J29" s="656" t="s">
        <v>13</v>
      </c>
    </row>
    <row r="30" spans="1:12" ht="36" customHeight="1">
      <c r="A30" s="747"/>
      <c r="B30" s="565"/>
      <c r="C30" s="148" t="s">
        <v>51</v>
      </c>
      <c r="D30" s="566"/>
      <c r="E30" s="661">
        <f>SUM(E26:E29)</f>
        <v>570597</v>
      </c>
      <c r="F30" s="668"/>
      <c r="G30" s="669"/>
      <c r="H30" s="658"/>
      <c r="I30" s="659"/>
      <c r="J30" s="656"/>
    </row>
    <row r="31" spans="1:12" ht="36" customHeight="1">
      <c r="A31" s="736" t="s">
        <v>52</v>
      </c>
      <c r="B31" s="737"/>
      <c r="C31" s="737"/>
      <c r="D31" s="738"/>
      <c r="E31" s="653">
        <f>TRUNC(E25*2/12,0)</f>
        <v>186060</v>
      </c>
      <c r="F31" s="654"/>
      <c r="G31" s="98"/>
      <c r="H31" s="662" t="s">
        <v>869</v>
      </c>
      <c r="I31" s="663"/>
      <c r="J31" s="656" t="s">
        <v>285</v>
      </c>
    </row>
    <row r="32" spans="1:12" ht="36" customHeight="1">
      <c r="A32" s="736" t="s">
        <v>53</v>
      </c>
      <c r="B32" s="737"/>
      <c r="C32" s="737"/>
      <c r="D32" s="738"/>
      <c r="E32" s="661">
        <f>TRUNC(SUM(E25,E30,E31)/12,0)*0</f>
        <v>0</v>
      </c>
      <c r="F32" s="668"/>
      <c r="G32" s="669"/>
      <c r="H32" s="658" t="s">
        <v>54</v>
      </c>
      <c r="I32" s="659"/>
      <c r="J32" s="656" t="s">
        <v>286</v>
      </c>
    </row>
    <row r="33" spans="1:12" ht="45" customHeight="1">
      <c r="A33" s="736" t="s">
        <v>55</v>
      </c>
      <c r="B33" s="737"/>
      <c r="C33" s="737"/>
      <c r="D33" s="738"/>
      <c r="E33" s="661">
        <f>SUM(E25,E30,E31,E32)</f>
        <v>1873017</v>
      </c>
      <c r="F33" s="668"/>
      <c r="G33" s="669"/>
      <c r="H33" s="664"/>
      <c r="I33" s="665"/>
      <c r="J33" s="666"/>
    </row>
    <row r="34" spans="1:12" s="528" customFormat="1" ht="24.95" customHeight="1">
      <c r="A34" s="527" t="str">
        <f>"주 1) 기본급 : "&amp;월기본급!$A$1&amp;월기본급!$A$2&amp;" 참조"</f>
        <v>주 1) 기본급 : &lt; 표 : 5 &gt; M/M당기본급산출표 참조</v>
      </c>
      <c r="B34" s="527"/>
      <c r="C34" s="527"/>
      <c r="D34" s="527"/>
      <c r="E34" s="529"/>
      <c r="F34" s="529"/>
      <c r="G34" s="529"/>
      <c r="H34" s="529"/>
      <c r="I34" s="529"/>
      <c r="J34" s="529"/>
      <c r="L34" s="533"/>
    </row>
    <row r="35" spans="1:12" s="528" customFormat="1" ht="24.95" customHeight="1">
      <c r="A35" s="532" t="str">
        <f>"   2) 연장근로수당 : "&amp;FIXED(E25,0)&amp;"(기본급)÷"&amp;K23&amp;"시간(월근로시간)×("&amp;(연장근로!$D$8)&amp;"시간×"&amp;(연장근로!$E$8)&amp;"주)×1.5(할증)"</f>
        <v xml:space="preserve">   2) 연장근로수당 : 1,116,360(기본급)÷209시간(월근로시간)×(7.5시간×4.34주)×1.5(할증)</v>
      </c>
      <c r="B35" s="527"/>
      <c r="C35" s="527"/>
      <c r="D35" s="527"/>
      <c r="E35" s="529"/>
      <c r="F35" s="529"/>
      <c r="G35" s="529"/>
      <c r="H35" s="529"/>
      <c r="I35" s="529"/>
      <c r="J35" s="529"/>
      <c r="L35" s="533"/>
    </row>
    <row r="36" spans="1:12" s="528" customFormat="1" ht="24.95" customHeight="1">
      <c r="A36" s="134" t="s">
        <v>288</v>
      </c>
      <c r="B36" s="527"/>
      <c r="C36" s="527"/>
      <c r="D36" s="527"/>
      <c r="E36" s="529"/>
      <c r="F36" s="529"/>
      <c r="G36" s="529"/>
      <c r="H36" s="529"/>
      <c r="I36" s="529"/>
      <c r="J36" s="529"/>
      <c r="L36" s="533"/>
    </row>
    <row r="37" spans="1:12" s="528" customFormat="1" ht="24.95" customHeight="1">
      <c r="A37" s="532" t="str">
        <f>"   3) 휴일근로수당 : "&amp;FIXED(E25,0)&amp;"(기본급)÷"&amp;K23&amp;"(월근로시간)×"&amp;K27&amp;"시간(휴일근로시간)×1.5(할증)"</f>
        <v xml:space="preserve">   3) 휴일근로수당 : 1,116,360(기본급)÷209(월근로시간)×32시간(휴일근로시간)×1.5(할증)</v>
      </c>
      <c r="B37" s="527"/>
      <c r="C37" s="527"/>
      <c r="D37" s="527"/>
      <c r="E37" s="529"/>
      <c r="F37" s="529"/>
      <c r="G37" s="529"/>
      <c r="H37" s="529"/>
      <c r="I37" s="529"/>
      <c r="J37" s="529"/>
      <c r="L37" s="533"/>
    </row>
    <row r="38" spans="1:12" s="528" customFormat="1" ht="24.95" customHeight="1">
      <c r="A38" s="532" t="str">
        <f>"   4) 년차수당 : "&amp;FIXED(E25,0)&amp;"(기본급)÷"&amp;K23&amp;"(월근로시간)×8시간(일근로시간)×15일/년÷12개월"</f>
        <v xml:space="preserve">   4) 년차수당 : 1,116,360(기본급)÷209(월근로시간)×8시간(일근로시간)×15일/년÷12개월</v>
      </c>
      <c r="B38" s="667"/>
      <c r="C38" s="667"/>
      <c r="D38" s="667"/>
      <c r="E38" s="530"/>
      <c r="F38" s="530"/>
      <c r="G38" s="530"/>
      <c r="H38" s="530"/>
      <c r="I38" s="530"/>
      <c r="J38" s="136"/>
      <c r="L38" s="533"/>
    </row>
    <row r="39" spans="1:12" s="528" customFormat="1" ht="24.95" customHeight="1">
      <c r="A39" s="532" t="s">
        <v>287</v>
      </c>
      <c r="B39" s="667"/>
      <c r="C39" s="667"/>
      <c r="D39" s="667"/>
      <c r="E39" s="530"/>
      <c r="F39" s="530"/>
      <c r="G39" s="530"/>
      <c r="H39" s="530"/>
      <c r="I39" s="530"/>
      <c r="J39" s="136"/>
      <c r="L39" s="533"/>
    </row>
    <row r="40" spans="1:12" ht="24.95" customHeight="1">
      <c r="A40" s="532" t="str">
        <f>"   6) 상여금 : "&amp;FIXED(E25,0)&amp;"(기본급)×2.5개월(년 250%적용)÷12개월"</f>
        <v xml:space="preserve">   6) 상여금 : 1,116,360(기본급)×2.5개월(년 250%적용)÷12개월</v>
      </c>
      <c r="J40" s="99"/>
    </row>
    <row r="41" spans="1:12" ht="24.95" customHeight="1">
      <c r="A41" s="532" t="str">
        <f>"   7) 퇴직급여충당금 : {"&amp;FIXED(E25,0)&amp;"(기본급)+"&amp;FIXED(E30,0)&amp;"(제수당)+"&amp;FIXED(E31,0)&amp;"(상여금)}÷12개월"</f>
        <v xml:space="preserve">   7) 퇴직급여충당금 : {1,116,360(기본급)+570,597(제수당)+186,060(상여금)}÷12개월</v>
      </c>
      <c r="J41" s="99"/>
    </row>
  </sheetData>
  <mergeCells count="14">
    <mergeCell ref="E5:F5"/>
    <mergeCell ref="A6:D6"/>
    <mergeCell ref="A24:D24"/>
    <mergeCell ref="E24:F24"/>
    <mergeCell ref="A7:A11"/>
    <mergeCell ref="A12:D12"/>
    <mergeCell ref="A13:D13"/>
    <mergeCell ref="A14:D14"/>
    <mergeCell ref="A5:D5"/>
    <mergeCell ref="A25:D25"/>
    <mergeCell ref="A26:A30"/>
    <mergeCell ref="A32:D32"/>
    <mergeCell ref="A33:D33"/>
    <mergeCell ref="A31:D3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L13"/>
  <sheetViews>
    <sheetView showGridLines="0" showZeros="0" view="pageBreakPreview" zoomScale="95" zoomScaleNormal="100" workbookViewId="0">
      <selection activeCell="H13" sqref="H13"/>
    </sheetView>
  </sheetViews>
  <sheetFormatPr defaultRowHeight="12"/>
  <cols>
    <col min="1" max="1" width="1.7109375" style="135" customWidth="1"/>
    <col min="2" max="2" width="13.7109375" style="135" customWidth="1"/>
    <col min="3" max="3" width="1.7109375" style="135" customWidth="1"/>
    <col min="4" max="4" width="10.7109375" style="124" customWidth="1"/>
    <col min="5" max="5" width="1.7109375" style="124" customWidth="1"/>
    <col min="6" max="6" width="15.7109375" style="124" customWidth="1"/>
    <col min="7" max="7" width="1.7109375" style="124" customWidth="1"/>
    <col min="8" max="8" width="11.7109375" style="125" customWidth="1"/>
    <col min="9" max="9" width="10.7109375" style="125" customWidth="1"/>
    <col min="10" max="10" width="13.7109375" style="125" customWidth="1"/>
    <col min="11" max="11" width="12" style="125" customWidth="1"/>
    <col min="12" max="12" width="9.140625" style="125"/>
    <col min="13" max="16384" width="9.140625" style="124"/>
  </cols>
  <sheetData>
    <row r="1" spans="1:12" ht="20.100000000000001" customHeight="1">
      <c r="A1" s="123" t="s">
        <v>922</v>
      </c>
      <c r="B1" s="123"/>
      <c r="C1" s="123"/>
      <c r="D1" s="246"/>
    </row>
    <row r="2" spans="1:12" s="93" customFormat="1" ht="39.950000000000003" customHeight="1">
      <c r="A2" s="126" t="s">
        <v>56</v>
      </c>
      <c r="B2" s="126"/>
      <c r="C2" s="126"/>
      <c r="D2" s="127"/>
      <c r="E2" s="127"/>
      <c r="F2" s="127"/>
      <c r="G2" s="127"/>
      <c r="H2" s="375"/>
      <c r="I2" s="375"/>
      <c r="J2" s="375"/>
      <c r="K2" s="375"/>
      <c r="L2" s="640"/>
    </row>
    <row r="3" spans="1:12" s="93" customFormat="1" ht="20.100000000000001" customHeight="1">
      <c r="A3" s="126"/>
      <c r="B3" s="126"/>
      <c r="C3" s="126"/>
      <c r="D3" s="127"/>
      <c r="E3" s="127"/>
      <c r="F3" s="127"/>
      <c r="G3" s="127"/>
      <c r="H3" s="375"/>
      <c r="I3" s="375"/>
      <c r="J3" s="375"/>
      <c r="K3" s="375"/>
      <c r="L3" s="640"/>
    </row>
    <row r="4" spans="1:12" ht="20.100000000000001" customHeight="1">
      <c r="A4" s="133"/>
      <c r="B4" s="133"/>
      <c r="C4" s="133"/>
      <c r="D4" s="134"/>
      <c r="E4" s="134"/>
      <c r="F4" s="134"/>
      <c r="G4" s="134"/>
      <c r="K4" s="137" t="s">
        <v>788</v>
      </c>
    </row>
    <row r="5" spans="1:12" s="388" customFormat="1" ht="20.100000000000001" customHeight="1">
      <c r="A5" s="496"/>
      <c r="B5" s="760" t="s">
        <v>57</v>
      </c>
      <c r="C5" s="498"/>
      <c r="D5" s="762" t="s">
        <v>58</v>
      </c>
      <c r="E5" s="496"/>
      <c r="F5" s="764" t="s">
        <v>38</v>
      </c>
      <c r="G5" s="498"/>
      <c r="H5" s="745" t="s">
        <v>249</v>
      </c>
      <c r="I5" s="745" t="s">
        <v>250</v>
      </c>
      <c r="J5" s="745" t="s">
        <v>186</v>
      </c>
      <c r="K5" s="745" t="s">
        <v>224</v>
      </c>
      <c r="L5" s="535"/>
    </row>
    <row r="6" spans="1:12" s="388" customFormat="1" ht="30" customHeight="1">
      <c r="A6" s="393"/>
      <c r="B6" s="761"/>
      <c r="C6" s="641"/>
      <c r="D6" s="763"/>
      <c r="E6" s="393"/>
      <c r="F6" s="765"/>
      <c r="G6" s="641"/>
      <c r="H6" s="747"/>
      <c r="I6" s="747"/>
      <c r="J6" s="747"/>
      <c r="K6" s="747"/>
      <c r="L6" s="535"/>
    </row>
    <row r="7" spans="1:12" s="91" customFormat="1" ht="28.5" customHeight="1">
      <c r="A7" s="381"/>
      <c r="B7" s="135"/>
      <c r="C7" s="135"/>
      <c r="D7" s="381"/>
      <c r="E7" s="642"/>
      <c r="F7" s="388"/>
      <c r="G7" s="643"/>
      <c r="H7" s="503" t="s">
        <v>59</v>
      </c>
      <c r="I7" s="503" t="s">
        <v>10</v>
      </c>
      <c r="J7" s="503"/>
      <c r="K7" s="644"/>
      <c r="L7" s="534"/>
    </row>
    <row r="8" spans="1:12" s="91" customFormat="1" ht="28.5" customHeight="1">
      <c r="A8" s="381"/>
      <c r="B8" s="135"/>
      <c r="C8" s="135"/>
      <c r="D8" s="381"/>
      <c r="E8" s="642"/>
      <c r="F8" s="388"/>
      <c r="G8" s="643"/>
      <c r="H8" s="503" t="s">
        <v>785</v>
      </c>
      <c r="I8" s="503" t="s">
        <v>783</v>
      </c>
      <c r="J8" s="503" t="s">
        <v>784</v>
      </c>
      <c r="K8" s="644"/>
      <c r="L8" s="534"/>
    </row>
    <row r="9" spans="1:12" ht="49.5" customHeight="1">
      <c r="A9" s="645"/>
      <c r="B9" s="561" t="s">
        <v>911</v>
      </c>
      <c r="C9" s="390"/>
      <c r="D9" s="384" t="s">
        <v>778</v>
      </c>
      <c r="E9" s="381"/>
      <c r="F9" s="269" t="s">
        <v>226</v>
      </c>
      <c r="G9" s="382"/>
      <c r="H9" s="271">
        <v>53160</v>
      </c>
      <c r="I9" s="647">
        <v>21</v>
      </c>
      <c r="J9" s="364">
        <f>TRUNC(H9*I9,0)</f>
        <v>1116360</v>
      </c>
      <c r="K9" s="384"/>
    </row>
    <row r="10" spans="1:12" ht="49.5" customHeight="1">
      <c r="A10" s="645"/>
      <c r="B10" s="561" t="s">
        <v>912</v>
      </c>
      <c r="C10" s="390"/>
      <c r="D10" s="384" t="s">
        <v>778</v>
      </c>
      <c r="E10" s="381"/>
      <c r="F10" s="269" t="s">
        <v>226</v>
      </c>
      <c r="G10" s="382"/>
      <c r="H10" s="271">
        <v>53160</v>
      </c>
      <c r="I10" s="647">
        <f>I9</f>
        <v>21</v>
      </c>
      <c r="J10" s="364">
        <f>TRUNC(H10*I10,0)</f>
        <v>1116360</v>
      </c>
      <c r="K10" s="384"/>
    </row>
    <row r="11" spans="1:12" ht="28.5" customHeight="1">
      <c r="A11" s="648"/>
      <c r="B11" s="562"/>
      <c r="C11" s="397"/>
      <c r="D11" s="495"/>
      <c r="E11" s="393"/>
      <c r="F11" s="274"/>
      <c r="G11" s="641"/>
      <c r="H11" s="649"/>
      <c r="I11" s="396"/>
      <c r="J11" s="649"/>
      <c r="K11" s="650"/>
    </row>
    <row r="12" spans="1:12" ht="30" customHeight="1">
      <c r="A12" s="133" t="s">
        <v>777</v>
      </c>
    </row>
    <row r="13" spans="1:12" ht="30" customHeight="1">
      <c r="A13" s="133" t="str">
        <f>"   2) 월근무일수 : "&amp;근무일수!A1&amp;근무일수!A2&amp;" 참조(253일 ÷ 12개월 ≒ 21일)"</f>
        <v xml:space="preserve">   2) 월근무일수 : &lt; 표 : 9 &gt; 용역기간현황표 참조(253일 ÷ 12개월 ≒ 21일)</v>
      </c>
    </row>
  </sheetData>
  <mergeCells count="7">
    <mergeCell ref="J5:J6"/>
    <mergeCell ref="K5:K6"/>
    <mergeCell ref="B5:B6"/>
    <mergeCell ref="D5:D6"/>
    <mergeCell ref="F5:F6"/>
    <mergeCell ref="H5:H6"/>
    <mergeCell ref="I5:I6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L13"/>
  <sheetViews>
    <sheetView showGridLines="0" showZeros="0" view="pageBreakPreview" topLeftCell="A4" zoomScaleNormal="75" workbookViewId="0">
      <selection activeCell="E8" sqref="E8"/>
    </sheetView>
  </sheetViews>
  <sheetFormatPr defaultColWidth="11.42578125" defaultRowHeight="12"/>
  <cols>
    <col min="1" max="1" width="3.7109375" style="589" customWidth="1"/>
    <col min="2" max="2" width="18.28515625" style="590" customWidth="1"/>
    <col min="3" max="3" width="3.7109375" style="589" customWidth="1"/>
    <col min="4" max="4" width="16.5703125" style="589" customWidth="1"/>
    <col min="5" max="6" width="16.5703125" style="590" customWidth="1"/>
    <col min="7" max="7" width="19.5703125" style="589" customWidth="1"/>
    <col min="8" max="8" width="14.140625" style="589" bestFit="1" customWidth="1"/>
    <col min="9" max="9" width="11.85546875" style="589" bestFit="1" customWidth="1"/>
    <col min="10" max="10" width="5" style="589" customWidth="1"/>
    <col min="11" max="11" width="9.7109375" style="589" bestFit="1" customWidth="1"/>
    <col min="12" max="12" width="14.140625" style="589" bestFit="1" customWidth="1"/>
    <col min="13" max="16384" width="11.42578125" style="589"/>
  </cols>
  <sheetData>
    <row r="1" spans="1:12" ht="20.100000000000001" customHeight="1">
      <c r="A1" s="589" t="s">
        <v>923</v>
      </c>
    </row>
    <row r="2" spans="1:12" ht="39.950000000000003" customHeight="1">
      <c r="A2" s="591" t="s">
        <v>662</v>
      </c>
      <c r="B2" s="592"/>
      <c r="C2" s="593"/>
      <c r="D2" s="593"/>
      <c r="E2" s="592"/>
      <c r="F2" s="592"/>
      <c r="G2" s="593"/>
      <c r="H2" s="594"/>
      <c r="I2" s="595"/>
    </row>
    <row r="3" spans="1:12" ht="20.100000000000001" customHeight="1">
      <c r="A3" s="593"/>
      <c r="B3" s="592"/>
      <c r="C3" s="592"/>
      <c r="D3" s="592"/>
      <c r="E3" s="596"/>
      <c r="F3" s="596"/>
      <c r="G3" s="596"/>
      <c r="H3" s="596"/>
      <c r="I3" s="595"/>
    </row>
    <row r="4" spans="1:12" ht="20.100000000000001" customHeight="1">
      <c r="A4" s="597"/>
      <c r="B4" s="598"/>
      <c r="C4" s="598"/>
      <c r="D4" s="598"/>
      <c r="E4" s="599"/>
      <c r="F4" s="599"/>
      <c r="G4" s="600"/>
      <c r="H4" s="599"/>
      <c r="I4" s="600"/>
    </row>
    <row r="5" spans="1:12" ht="50.1" customHeight="1">
      <c r="A5" s="601"/>
      <c r="B5" s="602" t="s">
        <v>652</v>
      </c>
      <c r="C5" s="603"/>
      <c r="D5" s="604" t="s">
        <v>666</v>
      </c>
      <c r="E5" s="607" t="s">
        <v>663</v>
      </c>
      <c r="F5" s="606" t="s">
        <v>664</v>
      </c>
      <c r="G5" s="607" t="s">
        <v>651</v>
      </c>
    </row>
    <row r="6" spans="1:12" ht="30" customHeight="1">
      <c r="A6" s="608"/>
      <c r="B6" s="592"/>
      <c r="C6" s="609"/>
      <c r="D6" s="610" t="s">
        <v>222</v>
      </c>
      <c r="E6" s="611" t="s">
        <v>264</v>
      </c>
      <c r="F6" s="596" t="s">
        <v>261</v>
      </c>
      <c r="G6" s="612"/>
    </row>
    <row r="7" spans="1:12" ht="30" customHeight="1">
      <c r="A7" s="608"/>
      <c r="B7" s="592"/>
      <c r="C7" s="609"/>
      <c r="D7" s="610" t="s">
        <v>786</v>
      </c>
      <c r="E7" s="612" t="s">
        <v>789</v>
      </c>
      <c r="F7" s="610" t="s">
        <v>786</v>
      </c>
      <c r="G7" s="612"/>
    </row>
    <row r="8" spans="1:12" ht="60" customHeight="1">
      <c r="A8" s="613"/>
      <c r="B8" s="614" t="s">
        <v>665</v>
      </c>
      <c r="C8" s="614"/>
      <c r="D8" s="686">
        <v>7.5</v>
      </c>
      <c r="E8" s="632">
        <v>4.34</v>
      </c>
      <c r="F8" s="633">
        <f>TRUNC(D8*E8,2)</f>
        <v>32.549999999999997</v>
      </c>
      <c r="G8" s="634"/>
      <c r="H8" s="635">
        <v>1</v>
      </c>
      <c r="I8" s="635">
        <v>5</v>
      </c>
      <c r="J8" s="635">
        <f>SUM(H8*I8)</f>
        <v>5</v>
      </c>
      <c r="K8" s="636" t="e">
        <f>#REF!</f>
        <v>#REF!</v>
      </c>
      <c r="L8" s="637" t="e">
        <f>J8-K8</f>
        <v>#REF!</v>
      </c>
    </row>
    <row r="9" spans="1:12" ht="60" customHeight="1">
      <c r="A9" s="618"/>
      <c r="B9" s="619"/>
      <c r="C9" s="619"/>
      <c r="D9" s="620"/>
      <c r="E9" s="621"/>
      <c r="F9" s="638"/>
      <c r="G9" s="623"/>
    </row>
    <row r="10" spans="1:12" ht="45" customHeight="1">
      <c r="A10" s="601"/>
      <c r="B10" s="602" t="s">
        <v>653</v>
      </c>
      <c r="C10" s="624"/>
      <c r="D10" s="625"/>
      <c r="E10" s="626"/>
      <c r="F10" s="639">
        <f>SUM(F8:F9)</f>
        <v>32.549999999999997</v>
      </c>
      <c r="G10" s="628"/>
    </row>
    <row r="11" spans="1:12" ht="30" customHeight="1">
      <c r="A11" s="589" t="s">
        <v>868</v>
      </c>
    </row>
    <row r="12" spans="1:12" ht="30" customHeight="1">
      <c r="A12" s="589" t="s">
        <v>790</v>
      </c>
    </row>
    <row r="13" spans="1:12" ht="30" customHeight="1">
      <c r="A13" s="629" t="s">
        <v>667</v>
      </c>
      <c r="B13" s="629"/>
      <c r="C13" s="630"/>
      <c r="D13" s="630"/>
      <c r="E13" s="631"/>
      <c r="F13" s="631"/>
      <c r="G13" s="631"/>
      <c r="H13" s="631"/>
      <c r="I13" s="631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13"/>
  <sheetViews>
    <sheetView showGridLines="0" showZeros="0" view="pageBreakPreview" topLeftCell="A7" zoomScaleNormal="75" workbookViewId="0">
      <selection activeCell="F8" sqref="F8"/>
    </sheetView>
  </sheetViews>
  <sheetFormatPr defaultColWidth="11.42578125" defaultRowHeight="12"/>
  <cols>
    <col min="1" max="1" width="3.7109375" style="589" customWidth="1"/>
    <col min="2" max="2" width="20.7109375" style="590" customWidth="1"/>
    <col min="3" max="3" width="3.7109375" style="589" customWidth="1"/>
    <col min="4" max="4" width="15.7109375" style="589" customWidth="1"/>
    <col min="5" max="6" width="15.7109375" style="590" customWidth="1"/>
    <col min="7" max="7" width="19.5703125" style="589" customWidth="1"/>
    <col min="8" max="9" width="11.42578125" style="589" customWidth="1"/>
    <col min="10" max="10" width="17" style="589" bestFit="1" customWidth="1"/>
    <col min="11" max="16384" width="11.42578125" style="589"/>
  </cols>
  <sheetData>
    <row r="1" spans="1:9" ht="20.100000000000001" customHeight="1">
      <c r="A1" s="589" t="s">
        <v>689</v>
      </c>
    </row>
    <row r="2" spans="1:9" ht="39.950000000000003" customHeight="1">
      <c r="A2" s="591" t="s">
        <v>668</v>
      </c>
      <c r="B2" s="592"/>
      <c r="C2" s="593"/>
      <c r="D2" s="593"/>
      <c r="E2" s="592"/>
      <c r="F2" s="592"/>
      <c r="G2" s="593"/>
      <c r="H2" s="594"/>
      <c r="I2" s="595"/>
    </row>
    <row r="3" spans="1:9" ht="20.100000000000001" customHeight="1">
      <c r="A3" s="593"/>
      <c r="B3" s="592"/>
      <c r="C3" s="592"/>
      <c r="D3" s="592"/>
      <c r="E3" s="596"/>
      <c r="F3" s="596"/>
      <c r="G3" s="596"/>
      <c r="H3" s="596"/>
      <c r="I3" s="595"/>
    </row>
    <row r="4" spans="1:9" ht="20.100000000000001" customHeight="1">
      <c r="A4" s="597"/>
      <c r="B4" s="598"/>
      <c r="C4" s="598"/>
      <c r="D4" s="598"/>
      <c r="E4" s="599"/>
      <c r="F4" s="599"/>
      <c r="G4" s="600"/>
      <c r="H4" s="599"/>
      <c r="I4" s="600"/>
    </row>
    <row r="5" spans="1:9" ht="50.1" customHeight="1">
      <c r="A5" s="601"/>
      <c r="B5" s="602" t="s">
        <v>652</v>
      </c>
      <c r="C5" s="603"/>
      <c r="D5" s="604" t="s">
        <v>781</v>
      </c>
      <c r="E5" s="605" t="s">
        <v>779</v>
      </c>
      <c r="F5" s="606" t="s">
        <v>669</v>
      </c>
      <c r="G5" s="607" t="s">
        <v>651</v>
      </c>
    </row>
    <row r="6" spans="1:9" ht="30" customHeight="1">
      <c r="A6" s="608"/>
      <c r="B6" s="592"/>
      <c r="C6" s="609"/>
      <c r="D6" s="610" t="s">
        <v>222</v>
      </c>
      <c r="E6" s="611" t="s">
        <v>264</v>
      </c>
      <c r="F6" s="596" t="s">
        <v>261</v>
      </c>
      <c r="G6" s="612"/>
    </row>
    <row r="7" spans="1:9" ht="30" customHeight="1">
      <c r="A7" s="608"/>
      <c r="B7" s="592"/>
      <c r="C7" s="609"/>
      <c r="D7" s="610" t="s">
        <v>786</v>
      </c>
      <c r="E7" s="611" t="s">
        <v>787</v>
      </c>
      <c r="F7" s="610" t="s">
        <v>786</v>
      </c>
      <c r="G7" s="612"/>
    </row>
    <row r="8" spans="1:9" ht="60" customHeight="1">
      <c r="A8" s="613"/>
      <c r="B8" s="614" t="s">
        <v>665</v>
      </c>
      <c r="C8" s="614"/>
      <c r="D8" s="615">
        <v>8</v>
      </c>
      <c r="E8" s="616">
        <v>4</v>
      </c>
      <c r="F8" s="617">
        <f>TRUNC(D8*E8,2)</f>
        <v>32</v>
      </c>
      <c r="G8" s="612"/>
    </row>
    <row r="9" spans="1:9" ht="60" customHeight="1">
      <c r="A9" s="618"/>
      <c r="B9" s="619"/>
      <c r="C9" s="619"/>
      <c r="D9" s="620"/>
      <c r="E9" s="621"/>
      <c r="F9" s="622"/>
      <c r="G9" s="623"/>
    </row>
    <row r="10" spans="1:9" ht="45" customHeight="1">
      <c r="A10" s="601"/>
      <c r="B10" s="602" t="s">
        <v>653</v>
      </c>
      <c r="C10" s="624"/>
      <c r="D10" s="625"/>
      <c r="E10" s="626"/>
      <c r="F10" s="627">
        <f>SUM(F8:F9)</f>
        <v>32</v>
      </c>
      <c r="G10" s="628"/>
    </row>
    <row r="11" spans="1:9" ht="30" customHeight="1">
      <c r="A11" s="589" t="s">
        <v>782</v>
      </c>
    </row>
    <row r="12" spans="1:9" ht="30" customHeight="1">
      <c r="A12" s="589" t="s">
        <v>905</v>
      </c>
    </row>
    <row r="13" spans="1:9" ht="30" customHeight="1">
      <c r="A13" s="629" t="s">
        <v>780</v>
      </c>
      <c r="B13" s="629"/>
      <c r="C13" s="630"/>
      <c r="D13" s="630"/>
      <c r="E13" s="631"/>
      <c r="F13" s="631"/>
      <c r="G13" s="631"/>
      <c r="H13" s="631"/>
      <c r="I13" s="631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I12"/>
  <sheetViews>
    <sheetView showGridLines="0" showZeros="0" view="pageBreakPreview" zoomScale="90" zoomScaleNormal="100" workbookViewId="0">
      <selection activeCell="F10" sqref="F10"/>
    </sheetView>
  </sheetViews>
  <sheetFormatPr defaultRowHeight="12"/>
  <cols>
    <col min="1" max="1" width="5.7109375" style="482" customWidth="1"/>
    <col min="2" max="2" width="1.28515625" style="482" customWidth="1"/>
    <col min="3" max="3" width="12.7109375" style="482" customWidth="1"/>
    <col min="4" max="4" width="1.28515625" style="482" customWidth="1"/>
    <col min="5" max="5" width="29.7109375" style="476" customWidth="1"/>
    <col min="6" max="6" width="74.7109375" style="476" customWidth="1"/>
    <col min="7" max="7" width="44.140625" style="476" customWidth="1"/>
    <col min="8" max="8" width="9.140625" style="476"/>
    <col min="9" max="9" width="9.140625" style="580"/>
    <col min="10" max="16384" width="9.140625" style="476"/>
  </cols>
  <sheetData>
    <row r="1" spans="1:9" ht="20.100000000000001" customHeight="1">
      <c r="A1" s="432" t="s">
        <v>924</v>
      </c>
      <c r="B1" s="475"/>
      <c r="C1" s="475"/>
      <c r="D1" s="475"/>
    </row>
    <row r="2" spans="1:9" ht="39.950000000000003" customHeight="1">
      <c r="A2" s="478" t="s">
        <v>207</v>
      </c>
      <c r="B2" s="581"/>
      <c r="C2" s="581"/>
      <c r="D2" s="581"/>
      <c r="E2" s="582"/>
      <c r="F2" s="582"/>
      <c r="G2" s="582"/>
    </row>
    <row r="3" spans="1:9" ht="20.100000000000001" customHeight="1">
      <c r="A3" s="582"/>
      <c r="B3" s="581"/>
      <c r="C3" s="581"/>
      <c r="D3" s="581"/>
      <c r="E3" s="582"/>
      <c r="F3" s="582"/>
      <c r="G3" s="582"/>
    </row>
    <row r="4" spans="1:9" ht="20.100000000000001" customHeight="1"/>
    <row r="5" spans="1:9" ht="24.95" customHeight="1">
      <c r="A5" s="766" t="s">
        <v>199</v>
      </c>
      <c r="B5" s="760"/>
      <c r="C5" s="760"/>
      <c r="D5" s="767"/>
      <c r="E5" s="770" t="s">
        <v>200</v>
      </c>
      <c r="F5" s="772" t="s">
        <v>201</v>
      </c>
      <c r="G5" s="770" t="s">
        <v>202</v>
      </c>
    </row>
    <row r="6" spans="1:9" ht="24.95" customHeight="1">
      <c r="A6" s="768"/>
      <c r="B6" s="761"/>
      <c r="C6" s="761"/>
      <c r="D6" s="769"/>
      <c r="E6" s="771"/>
      <c r="F6" s="773"/>
      <c r="G6" s="771"/>
    </row>
    <row r="7" spans="1:9" ht="50.1" customHeight="1">
      <c r="A7" s="758" t="s">
        <v>203</v>
      </c>
      <c r="B7" s="779"/>
      <c r="C7" s="779"/>
      <c r="D7" s="759"/>
      <c r="E7" s="583" t="s">
        <v>791</v>
      </c>
      <c r="F7" s="583" t="s">
        <v>792</v>
      </c>
      <c r="G7" s="584" t="str">
        <f>"시중노임단가×21일"</f>
        <v>시중노임단가×21일</v>
      </c>
      <c r="I7" s="580">
        <v>21</v>
      </c>
    </row>
    <row r="8" spans="1:9" ht="50.1" customHeight="1">
      <c r="A8" s="777" t="s">
        <v>228</v>
      </c>
      <c r="B8" s="585"/>
      <c r="C8" s="586" t="s">
        <v>0</v>
      </c>
      <c r="D8" s="587"/>
      <c r="E8" s="583" t="s">
        <v>793</v>
      </c>
      <c r="F8" s="583" t="s">
        <v>218</v>
      </c>
      <c r="G8" s="583" t="s">
        <v>661</v>
      </c>
    </row>
    <row r="9" spans="1:9" ht="50.1" customHeight="1">
      <c r="A9" s="778"/>
      <c r="B9" s="585"/>
      <c r="C9" s="586" t="s">
        <v>229</v>
      </c>
      <c r="D9" s="587"/>
      <c r="E9" s="583" t="s">
        <v>213</v>
      </c>
      <c r="F9" s="583" t="s">
        <v>244</v>
      </c>
      <c r="G9" s="583" t="s">
        <v>284</v>
      </c>
    </row>
    <row r="10" spans="1:9" ht="50.1" customHeight="1">
      <c r="A10" s="778"/>
      <c r="B10" s="585"/>
      <c r="C10" s="586" t="s">
        <v>22</v>
      </c>
      <c r="D10" s="587"/>
      <c r="E10" s="583" t="s">
        <v>214</v>
      </c>
      <c r="F10" s="583" t="s">
        <v>210</v>
      </c>
      <c r="G10" s="583" t="s">
        <v>219</v>
      </c>
    </row>
    <row r="11" spans="1:9" ht="50.1" customHeight="1">
      <c r="A11" s="774" t="s">
        <v>204</v>
      </c>
      <c r="B11" s="775"/>
      <c r="C11" s="775"/>
      <c r="D11" s="776"/>
      <c r="E11" s="584" t="s">
        <v>869</v>
      </c>
      <c r="F11" s="701" t="s">
        <v>969</v>
      </c>
      <c r="G11" s="702" t="s">
        <v>970</v>
      </c>
    </row>
    <row r="12" spans="1:9" ht="50.1" customHeight="1">
      <c r="A12" s="774" t="s">
        <v>205</v>
      </c>
      <c r="B12" s="775"/>
      <c r="C12" s="775"/>
      <c r="D12" s="776"/>
      <c r="E12" s="588" t="s">
        <v>215</v>
      </c>
      <c r="F12" s="583" t="s">
        <v>211</v>
      </c>
      <c r="G12" s="583" t="s">
        <v>206</v>
      </c>
    </row>
  </sheetData>
  <mergeCells count="8">
    <mergeCell ref="A5:D6"/>
    <mergeCell ref="E5:E6"/>
    <mergeCell ref="F5:F6"/>
    <mergeCell ref="G5:G6"/>
    <mergeCell ref="A12:D12"/>
    <mergeCell ref="A8:A10"/>
    <mergeCell ref="A7:D7"/>
    <mergeCell ref="A11:D1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>
    <oddFooter>&amp;C-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2"/>
  <sheetViews>
    <sheetView zoomScale="80" workbookViewId="0">
      <selection activeCell="J15" sqref="J15"/>
    </sheetView>
  </sheetViews>
  <sheetFormatPr defaultRowHeight="30.75" customHeight="1"/>
  <cols>
    <col min="1" max="1" width="16.42578125" style="568" customWidth="1"/>
    <col min="2" max="14" width="9.28515625" style="568" customWidth="1"/>
    <col min="15" max="15" width="8.7109375" style="568" customWidth="1"/>
    <col min="16" max="16384" width="9.140625" style="568"/>
  </cols>
  <sheetData>
    <row r="1" spans="1:17" ht="20.100000000000001" customHeight="1">
      <c r="A1" s="567" t="s">
        <v>925</v>
      </c>
    </row>
    <row r="2" spans="1:17" s="572" customFormat="1" ht="39.950000000000003" customHeight="1">
      <c r="A2" s="569" t="s">
        <v>754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1"/>
    </row>
    <row r="3" spans="1:17" s="572" customFormat="1" ht="20.100000000000001" customHeight="1">
      <c r="A3" s="569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1:17" ht="20.100000000000001" customHeight="1">
      <c r="A4" s="568" t="s">
        <v>775</v>
      </c>
    </row>
    <row r="5" spans="1:17" ht="24.95" customHeight="1">
      <c r="A5" s="780" t="s">
        <v>755</v>
      </c>
      <c r="B5" s="573" t="s">
        <v>756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782" t="s">
        <v>757</v>
      </c>
      <c r="O5" s="782" t="s">
        <v>209</v>
      </c>
    </row>
    <row r="6" spans="1:17" ht="24.95" customHeight="1">
      <c r="A6" s="781"/>
      <c r="B6" s="574" t="s">
        <v>763</v>
      </c>
      <c r="C6" s="574" t="s">
        <v>764</v>
      </c>
      <c r="D6" s="574" t="s">
        <v>765</v>
      </c>
      <c r="E6" s="574" t="s">
        <v>766</v>
      </c>
      <c r="F6" s="574" t="s">
        <v>767</v>
      </c>
      <c r="G6" s="574" t="s">
        <v>768</v>
      </c>
      <c r="H6" s="574" t="s">
        <v>776</v>
      </c>
      <c r="I6" s="574" t="s">
        <v>758</v>
      </c>
      <c r="J6" s="574" t="s">
        <v>759</v>
      </c>
      <c r="K6" s="574" t="s">
        <v>760</v>
      </c>
      <c r="L6" s="574" t="s">
        <v>761</v>
      </c>
      <c r="M6" s="574" t="s">
        <v>762</v>
      </c>
      <c r="N6" s="783"/>
      <c r="O6" s="783"/>
    </row>
    <row r="7" spans="1:17" ht="43.5" customHeight="1">
      <c r="A7" s="575" t="s">
        <v>769</v>
      </c>
      <c r="B7" s="576">
        <v>20</v>
      </c>
      <c r="C7" s="576">
        <v>21</v>
      </c>
      <c r="D7" s="576">
        <v>21</v>
      </c>
      <c r="E7" s="576">
        <v>21</v>
      </c>
      <c r="F7" s="576">
        <v>22</v>
      </c>
      <c r="G7" s="576">
        <v>20</v>
      </c>
      <c r="H7" s="576">
        <v>22</v>
      </c>
      <c r="I7" s="576">
        <v>22</v>
      </c>
      <c r="J7" s="576">
        <v>20</v>
      </c>
      <c r="K7" s="576">
        <v>22</v>
      </c>
      <c r="L7" s="576">
        <v>22</v>
      </c>
      <c r="M7" s="576">
        <v>20</v>
      </c>
      <c r="N7" s="577">
        <f>SUM(B7:M7)</f>
        <v>253</v>
      </c>
      <c r="O7" s="578"/>
      <c r="Q7" s="579">
        <f>SUM(N7/12)</f>
        <v>21.083333333333332</v>
      </c>
    </row>
    <row r="8" spans="1:17" ht="43.5" customHeight="1">
      <c r="A8" s="576" t="s">
        <v>770</v>
      </c>
      <c r="B8" s="576">
        <v>4</v>
      </c>
      <c r="C8" s="576">
        <v>4</v>
      </c>
      <c r="D8" s="576">
        <v>5</v>
      </c>
      <c r="E8" s="576">
        <v>4</v>
      </c>
      <c r="F8" s="576">
        <v>3</v>
      </c>
      <c r="G8" s="576">
        <v>5</v>
      </c>
      <c r="H8" s="576">
        <v>4</v>
      </c>
      <c r="I8" s="576">
        <v>4</v>
      </c>
      <c r="J8" s="576">
        <v>4</v>
      </c>
      <c r="K8" s="576">
        <v>4</v>
      </c>
      <c r="L8" s="576">
        <v>4</v>
      </c>
      <c r="M8" s="576">
        <v>5</v>
      </c>
      <c r="N8" s="577">
        <f>SUM(B8:M8)</f>
        <v>50</v>
      </c>
      <c r="O8" s="578"/>
    </row>
    <row r="9" spans="1:17" ht="43.5" customHeight="1">
      <c r="A9" s="576" t="s">
        <v>771</v>
      </c>
      <c r="B9" s="576">
        <v>5</v>
      </c>
      <c r="C9" s="576">
        <v>4</v>
      </c>
      <c r="D9" s="576">
        <v>4</v>
      </c>
      <c r="E9" s="576">
        <v>5</v>
      </c>
      <c r="F9" s="576">
        <v>4</v>
      </c>
      <c r="G9" s="576">
        <v>4</v>
      </c>
      <c r="H9" s="576">
        <v>5</v>
      </c>
      <c r="I9" s="576">
        <v>4</v>
      </c>
      <c r="J9" s="576">
        <v>5</v>
      </c>
      <c r="K9" s="576">
        <v>4</v>
      </c>
      <c r="L9" s="576">
        <v>4</v>
      </c>
      <c r="M9" s="576">
        <v>5</v>
      </c>
      <c r="N9" s="577">
        <f>SUM(B9:M9)</f>
        <v>53</v>
      </c>
      <c r="O9" s="578"/>
    </row>
    <row r="10" spans="1:17" ht="43.5" customHeight="1">
      <c r="A10" s="575" t="s">
        <v>772</v>
      </c>
      <c r="B10" s="576">
        <v>2</v>
      </c>
      <c r="C10" s="576"/>
      <c r="D10" s="576">
        <v>1</v>
      </c>
      <c r="E10" s="576"/>
      <c r="F10" s="576">
        <v>2</v>
      </c>
      <c r="G10" s="576">
        <v>1</v>
      </c>
      <c r="H10" s="576"/>
      <c r="I10" s="576">
        <v>1</v>
      </c>
      <c r="J10" s="576">
        <v>1</v>
      </c>
      <c r="K10" s="576">
        <v>1</v>
      </c>
      <c r="L10" s="576"/>
      <c r="M10" s="576">
        <v>1</v>
      </c>
      <c r="N10" s="577">
        <f>SUM(B10:M10)</f>
        <v>10</v>
      </c>
      <c r="O10" s="578"/>
    </row>
    <row r="11" spans="1:17" ht="43.5" customHeight="1">
      <c r="A11" s="576" t="s">
        <v>773</v>
      </c>
      <c r="B11" s="576">
        <f t="shared" ref="B11:N11" si="0">SUM(B7:B10)</f>
        <v>31</v>
      </c>
      <c r="C11" s="576">
        <f t="shared" si="0"/>
        <v>29</v>
      </c>
      <c r="D11" s="576">
        <f t="shared" si="0"/>
        <v>31</v>
      </c>
      <c r="E11" s="576">
        <f t="shared" si="0"/>
        <v>30</v>
      </c>
      <c r="F11" s="576">
        <f t="shared" si="0"/>
        <v>31</v>
      </c>
      <c r="G11" s="576">
        <f t="shared" si="0"/>
        <v>30</v>
      </c>
      <c r="H11" s="576">
        <f t="shared" ref="H11:M11" si="1">SUM(H7:H10)</f>
        <v>31</v>
      </c>
      <c r="I11" s="576">
        <f t="shared" si="1"/>
        <v>31</v>
      </c>
      <c r="J11" s="576">
        <f t="shared" si="1"/>
        <v>30</v>
      </c>
      <c r="K11" s="576">
        <f t="shared" si="1"/>
        <v>31</v>
      </c>
      <c r="L11" s="576">
        <f t="shared" si="1"/>
        <v>30</v>
      </c>
      <c r="M11" s="576">
        <f t="shared" si="1"/>
        <v>31</v>
      </c>
      <c r="N11" s="576">
        <f t="shared" si="0"/>
        <v>366</v>
      </c>
      <c r="O11" s="578"/>
    </row>
    <row r="12" spans="1:17" ht="31.5" customHeight="1">
      <c r="A12" s="568" t="s">
        <v>774</v>
      </c>
    </row>
  </sheetData>
  <mergeCells count="3">
    <mergeCell ref="A5:A6"/>
    <mergeCell ref="N5:N6"/>
    <mergeCell ref="O5:O6"/>
  </mergeCells>
  <phoneticPr fontId="5" type="noConversion"/>
  <pageMargins left="0.70866141732283472" right="0.70866141732283472" top="0.78740157480314965" bottom="0.78740157480314965" header="0.51181102362204722" footer="0.51181102362204722"/>
  <pageSetup paperSize="9" orientation="landscape" r:id="rId1"/>
  <headerFooter alignWithMargins="0">
    <oddFooter>&amp;C&amp;"바탕체,보통"&amp;10-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showGridLines="0" showZeros="0" zoomScale="80" zoomScaleNormal="100" workbookViewId="0">
      <selection activeCell="F7" sqref="F7"/>
    </sheetView>
  </sheetViews>
  <sheetFormatPr defaultColWidth="10.28515625" defaultRowHeight="30" customHeight="1"/>
  <cols>
    <col min="1" max="1" width="7" style="31" bestFit="1" customWidth="1"/>
    <col min="2" max="2" width="5.85546875" style="31" customWidth="1"/>
    <col min="3" max="3" width="66.28515625" style="31" customWidth="1"/>
    <col min="4" max="4" width="8.7109375" style="33" bestFit="1" customWidth="1"/>
    <col min="5" max="16384" width="10.28515625" style="31"/>
  </cols>
  <sheetData>
    <row r="1" spans="1:6" ht="50.1" customHeight="1">
      <c r="B1" s="32"/>
    </row>
    <row r="2" spans="1:6" ht="30" customHeight="1">
      <c r="A2" s="34" t="s">
        <v>191</v>
      </c>
      <c r="B2" s="35"/>
      <c r="C2" s="35"/>
      <c r="D2" s="36"/>
    </row>
    <row r="3" spans="1:6" ht="24.95" customHeight="1">
      <c r="A3" s="34"/>
      <c r="B3" s="35"/>
    </row>
    <row r="4" spans="1:6" ht="21" customHeight="1">
      <c r="A4" s="34"/>
      <c r="B4" s="35"/>
    </row>
    <row r="5" spans="1:6" s="39" customFormat="1" ht="44.25" customHeight="1">
      <c r="A5" s="37" t="s">
        <v>192</v>
      </c>
      <c r="B5" s="38" t="s">
        <v>193</v>
      </c>
      <c r="C5" s="38"/>
      <c r="D5" s="39">
        <v>1</v>
      </c>
    </row>
    <row r="6" spans="1:6" s="39" customFormat="1" ht="44.25" customHeight="1">
      <c r="A6" s="37" t="s">
        <v>194</v>
      </c>
      <c r="B6" s="38" t="s">
        <v>195</v>
      </c>
      <c r="C6" s="40"/>
      <c r="D6" s="39">
        <v>3</v>
      </c>
    </row>
    <row r="7" spans="1:6" s="39" customFormat="1" ht="44.25" customHeight="1">
      <c r="A7" s="37" t="s">
        <v>196</v>
      </c>
      <c r="B7" s="41" t="s">
        <v>198</v>
      </c>
      <c r="C7" s="40"/>
      <c r="D7" s="39">
        <v>6</v>
      </c>
    </row>
    <row r="8" spans="1:6" s="39" customFormat="1" ht="44.25" customHeight="1">
      <c r="A8" s="37" t="s">
        <v>197</v>
      </c>
      <c r="B8" s="41" t="s">
        <v>953</v>
      </c>
      <c r="C8" s="40"/>
      <c r="D8" s="39">
        <v>10</v>
      </c>
    </row>
    <row r="9" spans="1:6" s="39" customFormat="1" ht="44.25" customHeight="1">
      <c r="A9" s="37" t="s">
        <v>954</v>
      </c>
      <c r="B9" s="41" t="s">
        <v>753</v>
      </c>
      <c r="C9" s="40"/>
      <c r="D9" s="39">
        <v>12</v>
      </c>
    </row>
    <row r="10" spans="1:6" s="39" customFormat="1" ht="44.25" customHeight="1">
      <c r="A10" s="37"/>
      <c r="B10" s="41" t="s">
        <v>955</v>
      </c>
      <c r="C10" s="40"/>
      <c r="D10" s="39">
        <v>13</v>
      </c>
    </row>
    <row r="11" spans="1:6" s="39" customFormat="1" ht="44.25" customHeight="1">
      <c r="A11" s="37"/>
      <c r="B11" s="41" t="s">
        <v>956</v>
      </c>
      <c r="C11" s="40"/>
      <c r="D11" s="39">
        <v>17</v>
      </c>
    </row>
    <row r="12" spans="1:6" s="39" customFormat="1" ht="44.25" customHeight="1">
      <c r="A12" s="37"/>
      <c r="B12" s="41" t="s">
        <v>957</v>
      </c>
      <c r="C12" s="40"/>
      <c r="D12" s="39">
        <v>27</v>
      </c>
    </row>
    <row r="13" spans="1:6" s="39" customFormat="1" ht="44.25" customHeight="1">
      <c r="A13" s="37"/>
      <c r="B13" s="41" t="s">
        <v>958</v>
      </c>
      <c r="C13" s="40"/>
      <c r="D13" s="39">
        <v>38</v>
      </c>
    </row>
    <row r="14" spans="1:6" s="39" customFormat="1" ht="44.25" customHeight="1">
      <c r="A14" s="37"/>
      <c r="B14" s="41" t="s">
        <v>959</v>
      </c>
      <c r="C14" s="40"/>
      <c r="D14" s="39">
        <v>41</v>
      </c>
    </row>
    <row r="15" spans="1:6" s="39" customFormat="1" ht="44.25" customHeight="1">
      <c r="A15" s="37"/>
      <c r="B15" s="41" t="s">
        <v>960</v>
      </c>
      <c r="C15" s="40"/>
      <c r="D15" s="39">
        <v>44</v>
      </c>
    </row>
    <row r="16" spans="1:6" ht="39.950000000000003" customHeight="1">
      <c r="A16" s="42"/>
      <c r="B16" s="41"/>
      <c r="C16" s="40"/>
      <c r="D16" s="39"/>
      <c r="E16" s="39"/>
      <c r="F16" s="39"/>
    </row>
    <row r="17" spans="1:6" ht="20.100000000000001" customHeight="1">
      <c r="A17" s="37"/>
      <c r="B17" s="41"/>
      <c r="C17" s="39"/>
      <c r="D17" s="43"/>
      <c r="E17" s="39"/>
      <c r="F17" s="39"/>
    </row>
    <row r="18" spans="1:6" ht="20.100000000000001" customHeight="1">
      <c r="A18" s="37"/>
      <c r="B18" s="41"/>
      <c r="C18" s="39"/>
      <c r="D18" s="43"/>
      <c r="E18" s="39"/>
      <c r="F18" s="39"/>
    </row>
    <row r="19" spans="1:6" ht="20.100000000000001" customHeight="1">
      <c r="A19" s="39"/>
      <c r="B19" s="39"/>
      <c r="C19" s="39"/>
      <c r="D19" s="43"/>
      <c r="E19" s="39"/>
      <c r="F19" s="39"/>
    </row>
    <row r="20" spans="1:6" ht="24.95" customHeight="1">
      <c r="A20" s="39"/>
      <c r="B20" s="39"/>
      <c r="C20" s="39"/>
      <c r="D20" s="43"/>
      <c r="E20" s="39"/>
      <c r="F20" s="39"/>
    </row>
    <row r="21" spans="1:6" ht="24.95" customHeight="1">
      <c r="A21" s="39"/>
      <c r="B21" s="39"/>
      <c r="C21" s="39"/>
      <c r="D21" s="43"/>
      <c r="E21" s="39"/>
      <c r="F21" s="39"/>
    </row>
    <row r="22" spans="1:6" ht="24.95" customHeight="1">
      <c r="A22" s="39"/>
      <c r="B22" s="39"/>
      <c r="C22" s="39"/>
      <c r="D22" s="43"/>
      <c r="E22" s="39"/>
      <c r="F22" s="39"/>
    </row>
    <row r="23" spans="1:6" ht="24.95" customHeight="1">
      <c r="A23" s="39"/>
      <c r="B23" s="39"/>
      <c r="C23" s="39"/>
      <c r="D23" s="43"/>
      <c r="E23" s="39"/>
      <c r="F23" s="39"/>
    </row>
    <row r="24" spans="1:6" ht="24.95" customHeight="1">
      <c r="A24" s="39"/>
      <c r="B24" s="39"/>
      <c r="C24" s="39"/>
      <c r="D24" s="43"/>
      <c r="E24" s="39"/>
      <c r="F24" s="39"/>
    </row>
    <row r="25" spans="1:6" ht="24.95" customHeight="1">
      <c r="A25" s="39"/>
      <c r="B25" s="39"/>
      <c r="C25" s="39"/>
      <c r="D25" s="43"/>
      <c r="E25" s="39"/>
      <c r="F25" s="39"/>
    </row>
    <row r="26" spans="1:6" ht="24.95" customHeight="1">
      <c r="A26" s="39"/>
      <c r="B26" s="39"/>
      <c r="C26" s="39"/>
      <c r="D26" s="43"/>
      <c r="E26" s="39"/>
      <c r="F26" s="39"/>
    </row>
    <row r="27" spans="1:6" ht="24.95" customHeight="1">
      <c r="A27" s="39"/>
      <c r="B27" s="39"/>
      <c r="C27" s="39"/>
      <c r="D27" s="43"/>
      <c r="E27" s="39"/>
      <c r="F27" s="39"/>
    </row>
    <row r="28" spans="1:6" ht="24.95" customHeight="1">
      <c r="A28" s="39"/>
      <c r="B28" s="39"/>
      <c r="C28" s="39"/>
      <c r="D28" s="43"/>
      <c r="E28" s="39"/>
      <c r="F28" s="39"/>
    </row>
    <row r="29" spans="1:6" ht="24.95" customHeight="1">
      <c r="A29" s="39"/>
      <c r="B29" s="39"/>
      <c r="C29" s="39"/>
      <c r="D29" s="43"/>
      <c r="E29" s="39"/>
      <c r="F29" s="39"/>
    </row>
    <row r="30" spans="1:6" ht="24.95" customHeight="1">
      <c r="A30" s="39"/>
      <c r="B30" s="39"/>
      <c r="C30" s="39"/>
      <c r="D30" s="43"/>
      <c r="E30" s="39"/>
      <c r="F30" s="39"/>
    </row>
    <row r="31" spans="1:6" ht="24.95" customHeight="1">
      <c r="A31" s="39"/>
      <c r="B31" s="39"/>
      <c r="C31" s="39"/>
      <c r="D31" s="43"/>
      <c r="E31" s="39"/>
      <c r="F31" s="39"/>
    </row>
    <row r="32" spans="1:6" ht="24.95" customHeight="1">
      <c r="A32" s="39"/>
      <c r="B32" s="39"/>
      <c r="C32" s="39"/>
      <c r="D32" s="43"/>
      <c r="E32" s="39"/>
      <c r="F32" s="39"/>
    </row>
    <row r="33" spans="1:6" ht="24.95" customHeight="1">
      <c r="A33" s="39"/>
      <c r="B33" s="39"/>
      <c r="C33" s="39"/>
      <c r="D33" s="43"/>
      <c r="E33" s="39"/>
      <c r="F33" s="39"/>
    </row>
    <row r="34" spans="1:6" ht="24.95" customHeight="1">
      <c r="A34" s="39"/>
      <c r="B34" s="39"/>
      <c r="C34" s="39"/>
      <c r="D34" s="43"/>
      <c r="E34" s="39"/>
      <c r="F34" s="39"/>
    </row>
    <row r="35" spans="1:6" ht="24.95" customHeight="1">
      <c r="A35" s="39"/>
      <c r="B35" s="39"/>
      <c r="C35" s="39"/>
      <c r="D35" s="43"/>
      <c r="E35" s="39"/>
      <c r="F35" s="39"/>
    </row>
    <row r="36" spans="1:6" ht="30" customHeight="1">
      <c r="A36" s="39"/>
      <c r="B36" s="39"/>
      <c r="C36" s="39"/>
      <c r="D36" s="43"/>
      <c r="E36" s="39"/>
      <c r="F36" s="39"/>
    </row>
    <row r="37" spans="1:6" ht="30" customHeight="1">
      <c r="A37" s="39"/>
      <c r="B37" s="39"/>
      <c r="C37" s="39"/>
      <c r="D37" s="43"/>
      <c r="E37" s="39"/>
      <c r="F37" s="39"/>
    </row>
    <row r="38" spans="1:6" ht="30" customHeight="1">
      <c r="A38" s="39"/>
      <c r="B38" s="39"/>
      <c r="C38" s="39"/>
      <c r="D38" s="43"/>
      <c r="E38" s="39"/>
      <c r="F38" s="39"/>
    </row>
    <row r="39" spans="1:6" ht="30" customHeight="1">
      <c r="A39" s="39"/>
      <c r="B39" s="39"/>
      <c r="C39" s="39"/>
      <c r="D39" s="43"/>
      <c r="E39" s="39"/>
      <c r="F39" s="39"/>
    </row>
    <row r="40" spans="1:6" ht="30" customHeight="1">
      <c r="A40" s="39"/>
      <c r="B40" s="39"/>
      <c r="C40" s="39"/>
      <c r="D40" s="43"/>
      <c r="E40" s="39"/>
      <c r="F40" s="39"/>
    </row>
    <row r="41" spans="1:6" ht="30" customHeight="1">
      <c r="A41" s="39"/>
      <c r="B41" s="39"/>
      <c r="C41" s="39"/>
      <c r="D41" s="43"/>
      <c r="E41" s="39"/>
      <c r="F41" s="39"/>
    </row>
    <row r="42" spans="1:6" ht="30" customHeight="1">
      <c r="A42" s="39"/>
      <c r="B42" s="39"/>
      <c r="C42" s="39"/>
      <c r="D42" s="43"/>
      <c r="E42" s="39"/>
      <c r="F42" s="39"/>
    </row>
    <row r="43" spans="1:6" ht="30" customHeight="1">
      <c r="A43" s="39"/>
      <c r="B43" s="39"/>
      <c r="C43" s="39"/>
      <c r="D43" s="43"/>
      <c r="E43" s="39"/>
      <c r="F43" s="39"/>
    </row>
    <row r="44" spans="1:6" ht="30" customHeight="1">
      <c r="A44" s="39"/>
      <c r="B44" s="39"/>
      <c r="C44" s="39"/>
      <c r="D44" s="43"/>
      <c r="E44" s="39"/>
      <c r="F44" s="39"/>
    </row>
    <row r="45" spans="1:6" ht="30" customHeight="1">
      <c r="A45" s="39"/>
      <c r="B45" s="39"/>
      <c r="C45" s="39"/>
      <c r="D45" s="43"/>
      <c r="E45" s="39"/>
      <c r="F45" s="39"/>
    </row>
    <row r="46" spans="1:6" ht="30" customHeight="1">
      <c r="A46" s="39"/>
      <c r="B46" s="39"/>
      <c r="C46" s="39"/>
      <c r="D46" s="43"/>
      <c r="E46" s="39"/>
      <c r="F46" s="39"/>
    </row>
    <row r="47" spans="1:6" ht="30" customHeight="1">
      <c r="A47" s="39"/>
      <c r="B47" s="39"/>
      <c r="C47" s="39"/>
      <c r="D47" s="43"/>
      <c r="E47" s="39"/>
      <c r="F47" s="39"/>
    </row>
    <row r="48" spans="1:6" ht="30" customHeight="1">
      <c r="A48" s="39"/>
      <c r="B48" s="39"/>
      <c r="C48" s="39"/>
      <c r="D48" s="43"/>
      <c r="E48" s="39"/>
      <c r="F48" s="39"/>
    </row>
    <row r="49" spans="1:6" ht="30" customHeight="1">
      <c r="A49" s="39"/>
      <c r="B49" s="39"/>
      <c r="C49" s="39"/>
      <c r="D49" s="43"/>
      <c r="E49" s="39"/>
      <c r="F49" s="39"/>
    </row>
    <row r="50" spans="1:6" ht="30" customHeight="1">
      <c r="A50" s="39"/>
      <c r="B50" s="39"/>
      <c r="C50" s="39"/>
      <c r="D50" s="43"/>
      <c r="E50" s="39"/>
      <c r="F50" s="39"/>
    </row>
    <row r="51" spans="1:6" ht="30" customHeight="1">
      <c r="A51" s="39"/>
      <c r="B51" s="39"/>
      <c r="C51" s="39"/>
      <c r="D51" s="43"/>
      <c r="E51" s="39"/>
      <c r="F51" s="39"/>
    </row>
    <row r="52" spans="1:6" ht="30" customHeight="1">
      <c r="A52" s="39"/>
      <c r="B52" s="39"/>
      <c r="C52" s="39"/>
      <c r="D52" s="43"/>
      <c r="E52" s="39"/>
      <c r="F52" s="39"/>
    </row>
    <row r="53" spans="1:6" ht="30" customHeight="1">
      <c r="A53" s="39"/>
      <c r="B53" s="39"/>
      <c r="C53" s="39"/>
      <c r="D53" s="43"/>
      <c r="E53" s="39"/>
      <c r="F53" s="39"/>
    </row>
    <row r="54" spans="1:6" ht="30" customHeight="1">
      <c r="A54" s="39"/>
      <c r="B54" s="39"/>
      <c r="C54" s="39"/>
      <c r="D54" s="43"/>
      <c r="E54" s="39"/>
      <c r="F54" s="39"/>
    </row>
    <row r="55" spans="1:6" ht="30" customHeight="1">
      <c r="A55" s="39"/>
      <c r="B55" s="39"/>
      <c r="C55" s="39"/>
      <c r="D55" s="43"/>
      <c r="E55" s="39"/>
      <c r="F55" s="39"/>
    </row>
    <row r="56" spans="1:6" ht="30" customHeight="1">
      <c r="A56" s="39"/>
      <c r="B56" s="39"/>
      <c r="C56" s="39"/>
      <c r="D56" s="43"/>
      <c r="E56" s="39"/>
      <c r="F56" s="39"/>
    </row>
    <row r="57" spans="1:6" ht="30" customHeight="1">
      <c r="A57" s="39"/>
      <c r="B57" s="39"/>
      <c r="C57" s="39"/>
      <c r="D57" s="43"/>
      <c r="E57" s="39"/>
      <c r="F57" s="39"/>
    </row>
    <row r="58" spans="1:6" ht="30" customHeight="1">
      <c r="A58" s="39"/>
      <c r="B58" s="39"/>
      <c r="C58" s="39"/>
      <c r="D58" s="43"/>
      <c r="E58" s="39"/>
      <c r="F58" s="39"/>
    </row>
    <row r="59" spans="1:6" ht="30" customHeight="1">
      <c r="A59" s="39"/>
      <c r="B59" s="39"/>
      <c r="C59" s="39"/>
      <c r="D59" s="43"/>
      <c r="E59" s="39"/>
      <c r="F59" s="39"/>
    </row>
    <row r="60" spans="1:6" ht="30" customHeight="1">
      <c r="A60" s="39"/>
      <c r="B60" s="39"/>
      <c r="C60" s="39"/>
      <c r="D60" s="43"/>
      <c r="E60" s="39"/>
      <c r="F60" s="39"/>
    </row>
    <row r="61" spans="1:6" ht="30" customHeight="1">
      <c r="A61" s="39"/>
      <c r="B61" s="39"/>
      <c r="C61" s="39"/>
      <c r="D61" s="43"/>
      <c r="E61" s="39"/>
      <c r="F61" s="39"/>
    </row>
    <row r="62" spans="1:6" ht="30" customHeight="1">
      <c r="A62" s="39"/>
      <c r="B62" s="39"/>
      <c r="C62" s="39"/>
      <c r="D62" s="43"/>
      <c r="E62" s="39"/>
      <c r="F62" s="39"/>
    </row>
    <row r="63" spans="1:6" ht="30" customHeight="1">
      <c r="A63" s="39"/>
      <c r="B63" s="39"/>
      <c r="C63" s="39"/>
      <c r="D63" s="43"/>
      <c r="E63" s="39"/>
      <c r="F63" s="39"/>
    </row>
    <row r="64" spans="1:6" ht="30" customHeight="1">
      <c r="A64" s="39"/>
      <c r="B64" s="39"/>
      <c r="C64" s="39"/>
      <c r="D64" s="43"/>
      <c r="E64" s="39"/>
      <c r="F64" s="39"/>
    </row>
    <row r="65" spans="1:6" ht="30" customHeight="1">
      <c r="A65" s="39"/>
      <c r="B65" s="39"/>
      <c r="C65" s="39"/>
      <c r="D65" s="43"/>
      <c r="E65" s="39"/>
      <c r="F65" s="39"/>
    </row>
    <row r="66" spans="1:6" ht="30" customHeight="1">
      <c r="A66" s="39"/>
      <c r="B66" s="39"/>
      <c r="C66" s="39"/>
      <c r="D66" s="43"/>
      <c r="E66" s="39"/>
      <c r="F66" s="39"/>
    </row>
    <row r="67" spans="1:6" ht="30" customHeight="1">
      <c r="A67" s="39"/>
      <c r="B67" s="39"/>
      <c r="C67" s="39"/>
      <c r="D67" s="43"/>
      <c r="E67" s="39"/>
      <c r="F67" s="39"/>
    </row>
    <row r="68" spans="1:6" ht="30" customHeight="1">
      <c r="A68" s="39"/>
      <c r="B68" s="39"/>
      <c r="C68" s="39"/>
      <c r="D68" s="43"/>
      <c r="E68" s="39"/>
      <c r="F68" s="39"/>
    </row>
    <row r="69" spans="1:6" ht="30" customHeight="1">
      <c r="A69" s="39"/>
      <c r="B69" s="39"/>
      <c r="C69" s="39"/>
      <c r="D69" s="43"/>
      <c r="E69" s="39"/>
      <c r="F69" s="39"/>
    </row>
    <row r="70" spans="1:6" ht="30" customHeight="1">
      <c r="A70" s="39"/>
      <c r="B70" s="39"/>
      <c r="C70" s="39"/>
      <c r="D70" s="43"/>
      <c r="E70" s="39"/>
      <c r="F70" s="39"/>
    </row>
    <row r="71" spans="1:6" ht="30" customHeight="1">
      <c r="A71" s="39"/>
      <c r="B71" s="39"/>
      <c r="C71" s="39"/>
      <c r="D71" s="43"/>
      <c r="E71" s="39"/>
      <c r="F71" s="39"/>
    </row>
    <row r="72" spans="1:6" ht="30" customHeight="1">
      <c r="A72" s="39"/>
      <c r="B72" s="39"/>
      <c r="C72" s="39"/>
      <c r="D72" s="43"/>
      <c r="E72" s="39"/>
      <c r="F72" s="39"/>
    </row>
    <row r="73" spans="1:6" ht="30" customHeight="1">
      <c r="A73" s="39"/>
      <c r="B73" s="39"/>
      <c r="C73" s="39"/>
      <c r="D73" s="43"/>
      <c r="E73" s="39"/>
      <c r="F73" s="39"/>
    </row>
    <row r="74" spans="1:6" ht="30" customHeight="1">
      <c r="A74" s="39"/>
      <c r="B74" s="39"/>
      <c r="C74" s="39"/>
      <c r="D74" s="43"/>
      <c r="E74" s="39"/>
      <c r="F74" s="39"/>
    </row>
    <row r="75" spans="1:6" ht="30" customHeight="1">
      <c r="A75" s="39"/>
      <c r="B75" s="39"/>
      <c r="C75" s="39"/>
      <c r="D75" s="43"/>
      <c r="E75" s="39"/>
      <c r="F75" s="39"/>
    </row>
    <row r="76" spans="1:6" ht="30" customHeight="1">
      <c r="A76" s="39"/>
      <c r="B76" s="39"/>
      <c r="C76" s="39"/>
      <c r="D76" s="43"/>
      <c r="E76" s="39"/>
      <c r="F76" s="39"/>
    </row>
    <row r="77" spans="1:6" ht="30" customHeight="1">
      <c r="A77" s="39"/>
      <c r="B77" s="39"/>
      <c r="C77" s="39"/>
      <c r="D77" s="43"/>
      <c r="E77" s="39"/>
      <c r="F77" s="39"/>
    </row>
    <row r="78" spans="1:6" ht="30" customHeight="1">
      <c r="A78" s="39"/>
      <c r="B78" s="39"/>
      <c r="C78" s="39"/>
      <c r="D78" s="43"/>
      <c r="E78" s="39"/>
      <c r="F78" s="39"/>
    </row>
    <row r="79" spans="1:6" ht="30" customHeight="1">
      <c r="A79" s="39"/>
      <c r="B79" s="39"/>
      <c r="C79" s="39"/>
      <c r="D79" s="43"/>
      <c r="E79" s="39"/>
      <c r="F79" s="39"/>
    </row>
    <row r="80" spans="1:6" ht="30" customHeight="1">
      <c r="A80" s="39"/>
      <c r="B80" s="39"/>
      <c r="C80" s="39"/>
      <c r="D80" s="43"/>
      <c r="E80" s="39"/>
      <c r="F80" s="39"/>
    </row>
    <row r="81" spans="1:6" ht="30" customHeight="1">
      <c r="A81" s="39"/>
      <c r="B81" s="39"/>
      <c r="C81" s="39"/>
      <c r="D81" s="43"/>
      <c r="E81" s="39"/>
      <c r="F81" s="39"/>
    </row>
    <row r="82" spans="1:6" ht="30" customHeight="1">
      <c r="A82" s="39"/>
      <c r="B82" s="39"/>
      <c r="C82" s="39"/>
      <c r="D82" s="43"/>
      <c r="E82" s="39"/>
      <c r="F82" s="39"/>
    </row>
    <row r="83" spans="1:6" ht="30" customHeight="1">
      <c r="A83" s="39"/>
      <c r="B83" s="39"/>
      <c r="C83" s="39"/>
      <c r="D83" s="43"/>
      <c r="E83" s="39"/>
      <c r="F83" s="39"/>
    </row>
    <row r="84" spans="1:6" ht="30" customHeight="1">
      <c r="A84" s="39"/>
      <c r="B84" s="39"/>
      <c r="C84" s="39"/>
      <c r="D84" s="43"/>
      <c r="E84" s="39"/>
      <c r="F84" s="39"/>
    </row>
    <row r="85" spans="1:6" ht="30" customHeight="1">
      <c r="A85" s="39"/>
      <c r="B85" s="39"/>
      <c r="C85" s="39"/>
      <c r="D85" s="43"/>
      <c r="E85" s="39"/>
      <c r="F85" s="39"/>
    </row>
    <row r="86" spans="1:6" ht="30" customHeight="1">
      <c r="A86" s="39"/>
      <c r="B86" s="39"/>
      <c r="C86" s="39"/>
      <c r="D86" s="43"/>
      <c r="E86" s="39"/>
      <c r="F86" s="39"/>
    </row>
    <row r="87" spans="1:6" ht="30" customHeight="1">
      <c r="A87" s="39"/>
      <c r="B87" s="39"/>
      <c r="C87" s="39"/>
      <c r="D87" s="43"/>
      <c r="E87" s="39"/>
      <c r="F87" s="39"/>
    </row>
    <row r="88" spans="1:6" ht="30" customHeight="1">
      <c r="A88" s="39"/>
      <c r="B88" s="39"/>
      <c r="C88" s="39"/>
      <c r="D88" s="43"/>
      <c r="E88" s="39"/>
      <c r="F88" s="39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J12"/>
  <sheetViews>
    <sheetView showGridLines="0" showZeros="0" view="pageBreakPreview" zoomScale="85" zoomScaleNormal="100" zoomScaleSheetLayoutView="85" workbookViewId="0">
      <selection activeCell="F11" sqref="F11"/>
    </sheetView>
  </sheetViews>
  <sheetFormatPr defaultRowHeight="12"/>
  <cols>
    <col min="1" max="1" width="3.7109375" style="135" customWidth="1"/>
    <col min="2" max="2" width="11.7109375" style="135" customWidth="1"/>
    <col min="3" max="3" width="1.7109375" style="135" customWidth="1"/>
    <col min="4" max="4" width="15.5703125" style="135" customWidth="1"/>
    <col min="5" max="5" width="1.7109375" style="135" customWidth="1"/>
    <col min="6" max="6" width="8.28515625" style="124" customWidth="1"/>
    <col min="7" max="7" width="0.85546875" style="124" customWidth="1"/>
    <col min="8" max="8" width="25.7109375" style="124" customWidth="1"/>
    <col min="9" max="9" width="0.85546875" style="124" customWidth="1"/>
    <col min="10" max="10" width="25" style="124" bestFit="1" customWidth="1"/>
    <col min="11" max="16384" width="9.140625" style="124"/>
  </cols>
  <sheetData>
    <row r="1" spans="1:10" ht="20.100000000000001" customHeight="1">
      <c r="A1" s="246" t="s">
        <v>926</v>
      </c>
      <c r="B1" s="246"/>
    </row>
    <row r="2" spans="1:10" s="93" customFormat="1" ht="39.950000000000003" customHeight="1">
      <c r="A2" s="92" t="s">
        <v>60</v>
      </c>
      <c r="B2" s="92"/>
      <c r="C2" s="126"/>
      <c r="D2" s="126"/>
      <c r="E2" s="126"/>
      <c r="F2" s="92"/>
      <c r="G2" s="92"/>
      <c r="H2" s="92"/>
      <c r="I2" s="92"/>
      <c r="J2" s="92"/>
    </row>
    <row r="3" spans="1:10" s="93" customFormat="1" ht="20.100000000000001" customHeight="1">
      <c r="A3" s="92"/>
      <c r="B3" s="92"/>
      <c r="C3" s="126"/>
      <c r="D3" s="126"/>
      <c r="E3" s="126"/>
      <c r="F3" s="92"/>
      <c r="G3" s="92"/>
      <c r="H3" s="92"/>
      <c r="I3" s="92"/>
      <c r="J3" s="92"/>
    </row>
    <row r="4" spans="1:10" ht="20.100000000000001" customHeight="1"/>
    <row r="5" spans="1:10" ht="50.25" customHeight="1">
      <c r="A5" s="548" t="s">
        <v>61</v>
      </c>
      <c r="B5" s="549"/>
      <c r="C5" s="550" t="s">
        <v>185</v>
      </c>
      <c r="D5" s="551"/>
      <c r="E5" s="552"/>
      <c r="F5" s="550" t="s">
        <v>254</v>
      </c>
      <c r="G5" s="550" t="s">
        <v>909</v>
      </c>
      <c r="H5" s="552"/>
      <c r="I5" s="551" t="s">
        <v>253</v>
      </c>
      <c r="J5" s="552"/>
    </row>
    <row r="6" spans="1:10" s="135" customFormat="1" ht="42" customHeight="1">
      <c r="A6" s="553" t="s">
        <v>251</v>
      </c>
      <c r="B6" s="554" t="s">
        <v>908</v>
      </c>
      <c r="C6" s="555"/>
      <c r="D6" s="556"/>
      <c r="E6" s="501"/>
      <c r="F6" s="496"/>
      <c r="G6" s="496"/>
      <c r="H6" s="557"/>
      <c r="I6" s="558"/>
      <c r="J6" s="119"/>
    </row>
    <row r="7" spans="1:10" s="135" customFormat="1" ht="42" customHeight="1">
      <c r="A7" s="559"/>
      <c r="B7" s="530" t="s">
        <v>899</v>
      </c>
      <c r="C7" s="385"/>
      <c r="D7" s="560" t="s">
        <v>747</v>
      </c>
      <c r="E7" s="386"/>
      <c r="F7" s="381">
        <v>2</v>
      </c>
      <c r="G7" s="381"/>
      <c r="H7" s="506" t="s">
        <v>904</v>
      </c>
      <c r="I7" s="133"/>
      <c r="J7" s="120" t="s">
        <v>903</v>
      </c>
    </row>
    <row r="8" spans="1:10" s="135" customFormat="1" ht="42" customHeight="1">
      <c r="A8" s="563" t="s">
        <v>252</v>
      </c>
      <c r="B8" s="530" t="s">
        <v>910</v>
      </c>
      <c r="C8" s="385"/>
      <c r="D8" s="561"/>
      <c r="E8" s="386"/>
      <c r="F8" s="381"/>
      <c r="G8" s="381"/>
      <c r="H8" s="506"/>
      <c r="I8" s="133"/>
      <c r="J8" s="121"/>
    </row>
    <row r="9" spans="1:10" s="135" customFormat="1" ht="42" customHeight="1">
      <c r="A9" s="559"/>
      <c r="B9" s="530" t="s">
        <v>900</v>
      </c>
      <c r="C9" s="385"/>
      <c r="D9" s="560" t="s">
        <v>747</v>
      </c>
      <c r="E9" s="386"/>
      <c r="F9" s="381">
        <v>1</v>
      </c>
      <c r="G9" s="381"/>
      <c r="H9" s="506" t="s">
        <v>901</v>
      </c>
      <c r="I9" s="133"/>
      <c r="J9" s="120" t="s">
        <v>902</v>
      </c>
    </row>
    <row r="10" spans="1:10" s="135" customFormat="1" ht="42" customHeight="1">
      <c r="A10" s="559"/>
      <c r="B10" s="530"/>
      <c r="C10" s="385"/>
      <c r="D10" s="560"/>
      <c r="E10" s="386"/>
      <c r="F10" s="381"/>
      <c r="G10" s="381"/>
      <c r="H10" s="506"/>
      <c r="I10" s="133"/>
      <c r="J10" s="120"/>
    </row>
    <row r="11" spans="1:10" ht="42" customHeight="1">
      <c r="A11" s="380" t="s">
        <v>62</v>
      </c>
      <c r="B11" s="378"/>
      <c r="C11" s="380"/>
      <c r="D11" s="564"/>
      <c r="E11" s="378"/>
      <c r="F11" s="565">
        <f>SUM(F7:F9)</f>
        <v>3</v>
      </c>
      <c r="G11" s="565"/>
      <c r="H11" s="566"/>
      <c r="I11" s="147"/>
      <c r="J11" s="122"/>
    </row>
    <row r="12" spans="1:10" ht="22.5" customHeight="1">
      <c r="A12" s="134" t="s">
        <v>801</v>
      </c>
      <c r="B12" s="134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51" orientation="portrait" r:id="rId1"/>
  <headerFooter alignWithMargins="0">
    <oddFooter>&amp;C- &amp;P -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55" zoomScaleNormal="60" zoomScaleSheetLayoutView="55" workbookViewId="0">
      <selection activeCell="J15" sqref="J15"/>
    </sheetView>
  </sheetViews>
  <sheetFormatPr defaultColWidth="8.140625" defaultRowHeight="30" customHeight="1"/>
  <cols>
    <col min="1" max="1" width="11.5703125" style="100" customWidth="1"/>
    <col min="2" max="2" width="24.5703125" style="100" customWidth="1"/>
    <col min="3" max="3" width="15.85546875" style="100" bestFit="1" customWidth="1"/>
    <col min="4" max="4" width="42.570312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7"/>
      <c r="C4" s="107"/>
      <c r="D4" s="107"/>
    </row>
    <row r="5" spans="1:4" ht="39.950000000000003" customHeight="1">
      <c r="A5" s="108"/>
      <c r="B5" s="109"/>
      <c r="C5" s="733" t="s">
        <v>949</v>
      </c>
      <c r="D5" s="733"/>
    </row>
    <row r="6" spans="1:4" ht="44.25" customHeight="1">
      <c r="A6" s="108"/>
      <c r="B6" s="109"/>
      <c r="C6" s="110"/>
      <c r="D6" s="113"/>
    </row>
    <row r="7" spans="1:4" ht="44.25" customHeight="1">
      <c r="A7" s="108"/>
      <c r="B7" s="109"/>
      <c r="C7" s="114" t="s">
        <v>884</v>
      </c>
      <c r="D7" s="115" t="str">
        <f>보험료산출기준!A2</f>
        <v>경비산정기준표</v>
      </c>
    </row>
    <row r="8" spans="1:4" ht="44.25" customHeight="1">
      <c r="A8" s="108"/>
      <c r="B8" s="109"/>
      <c r="C8" s="114" t="s">
        <v>885</v>
      </c>
      <c r="D8" s="115" t="str">
        <f>산재비율!A2</f>
        <v>산업재해보상보험요율</v>
      </c>
    </row>
    <row r="9" spans="1:4" ht="44.25" customHeight="1">
      <c r="A9" s="108"/>
      <c r="B9" s="109"/>
      <c r="C9" s="114" t="s">
        <v>886</v>
      </c>
      <c r="D9" s="115" t="str">
        <f>복리후생비!A2</f>
        <v>복리후생비집계표</v>
      </c>
    </row>
    <row r="10" spans="1:4" ht="44.25" customHeight="1">
      <c r="A10" s="108"/>
      <c r="B10" s="109"/>
      <c r="C10" s="114" t="s">
        <v>887</v>
      </c>
      <c r="D10" s="115" t="str">
        <f>식대!A2</f>
        <v>식비산출표</v>
      </c>
    </row>
    <row r="11" spans="1:4" ht="44.25" customHeight="1">
      <c r="A11" s="108"/>
      <c r="B11" s="109"/>
      <c r="C11" s="114" t="s">
        <v>888</v>
      </c>
      <c r="D11" s="115" t="str">
        <f>체력단련비!A2</f>
        <v>체력단련비산출표</v>
      </c>
    </row>
    <row r="12" spans="1:4" ht="44.25" customHeight="1">
      <c r="A12" s="108"/>
      <c r="B12" s="109"/>
      <c r="C12" s="114" t="s">
        <v>889</v>
      </c>
      <c r="D12" s="115" t="str">
        <f>사업소세!A2</f>
        <v>사업소세산출표</v>
      </c>
    </row>
    <row r="13" spans="1:4" ht="44.25" customHeight="1">
      <c r="A13" s="108"/>
      <c r="B13" s="109"/>
      <c r="C13" s="114" t="s">
        <v>890</v>
      </c>
      <c r="D13" s="115" t="str">
        <f>교육비!A2</f>
        <v>교육비산출표</v>
      </c>
    </row>
    <row r="14" spans="1:4" ht="44.25" customHeight="1">
      <c r="A14" s="108"/>
      <c r="B14" s="109"/>
      <c r="C14" s="114"/>
      <c r="D14" s="115"/>
    </row>
    <row r="15" spans="1:4" ht="37.5" customHeight="1">
      <c r="A15" s="108"/>
      <c r="B15" s="109"/>
      <c r="C15" s="114"/>
      <c r="D15" s="115"/>
    </row>
    <row r="16" spans="1:4" ht="44.25" customHeight="1">
      <c r="A16" s="108"/>
      <c r="B16" s="109"/>
      <c r="C16" s="116"/>
      <c r="D16" s="117"/>
    </row>
    <row r="17" spans="1:4" ht="39.950000000000003" customHeight="1">
      <c r="A17" s="112"/>
      <c r="B17" s="112"/>
      <c r="C17" s="112"/>
      <c r="D17" s="112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useFirstPageNumber="1" r:id="rId1"/>
  <headerFooter alignWithMargins="0">
    <oddFooter>&amp;C- &amp;P -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G23"/>
  <sheetViews>
    <sheetView showGridLines="0" showZeros="0" view="pageBreakPreview" zoomScaleNormal="100" workbookViewId="0">
      <selection activeCell="E9" sqref="E9"/>
    </sheetView>
  </sheetViews>
  <sheetFormatPr defaultColWidth="10.28515625" defaultRowHeight="34.15" customHeight="1"/>
  <cols>
    <col min="1" max="1" width="7.85546875" style="399" customWidth="1"/>
    <col min="2" max="2" width="1.7109375" style="398" customWidth="1"/>
    <col min="3" max="3" width="25" style="398" customWidth="1"/>
    <col min="4" max="4" width="1.7109375" style="398" customWidth="1"/>
    <col min="5" max="6" width="19.140625" style="399" customWidth="1"/>
    <col min="7" max="7" width="20.7109375" style="399" customWidth="1"/>
    <col min="8" max="8" width="26.28515625" style="398" customWidth="1"/>
    <col min="9" max="16384" width="10.28515625" style="398"/>
  </cols>
  <sheetData>
    <row r="1" spans="1:7" ht="20.100000000000001" customHeight="1">
      <c r="A1" s="398" t="s">
        <v>927</v>
      </c>
    </row>
    <row r="2" spans="1:7" s="402" customFormat="1" ht="39.950000000000003" customHeight="1">
      <c r="A2" s="400" t="s">
        <v>63</v>
      </c>
      <c r="B2" s="400"/>
      <c r="C2" s="400"/>
      <c r="D2" s="400"/>
      <c r="E2" s="401"/>
      <c r="F2" s="401"/>
      <c r="G2" s="401"/>
    </row>
    <row r="3" spans="1:7" ht="20.100000000000001" customHeight="1">
      <c r="A3" s="404"/>
      <c r="B3" s="403"/>
      <c r="C3" s="403"/>
      <c r="D3" s="403"/>
      <c r="E3" s="404"/>
      <c r="F3" s="404"/>
      <c r="G3" s="404"/>
    </row>
    <row r="4" spans="1:7" ht="20.100000000000001" customHeight="1">
      <c r="A4" s="404"/>
      <c r="C4" s="403"/>
      <c r="D4" s="405"/>
      <c r="E4" s="404"/>
      <c r="F4" s="404"/>
      <c r="G4" s="406" t="s">
        <v>33</v>
      </c>
    </row>
    <row r="5" spans="1:7" ht="24.95" customHeight="1">
      <c r="A5" s="784" t="s">
        <v>64</v>
      </c>
      <c r="B5" s="785"/>
      <c r="C5" s="785"/>
      <c r="D5" s="786"/>
      <c r="E5" s="538" t="str">
        <f>인집!B6</f>
        <v>운전원</v>
      </c>
      <c r="F5" s="538" t="str">
        <f>인집!B7</f>
        <v>사무원</v>
      </c>
      <c r="G5" s="793" t="s">
        <v>914</v>
      </c>
    </row>
    <row r="6" spans="1:7" ht="24.95" customHeight="1">
      <c r="A6" s="787"/>
      <c r="B6" s="788"/>
      <c r="C6" s="788"/>
      <c r="D6" s="789"/>
      <c r="E6" s="539" t="str">
        <f>"("&amp;인집!E6&amp;")"</f>
        <v>(보통인부)</v>
      </c>
      <c r="F6" s="539" t="str">
        <f>"("&amp;인집!E7&amp;")"</f>
        <v>(보통인부)</v>
      </c>
      <c r="G6" s="794"/>
    </row>
    <row r="7" spans="1:7" ht="33" customHeight="1">
      <c r="A7" s="795" t="s">
        <v>656</v>
      </c>
      <c r="B7" s="407"/>
      <c r="C7" s="540" t="s">
        <v>27</v>
      </c>
      <c r="D7" s="409"/>
      <c r="E7" s="541">
        <f>보험료!I9</f>
        <v>20590</v>
      </c>
      <c r="F7" s="541">
        <f>보험료!I29</f>
        <v>18730</v>
      </c>
      <c r="G7" s="542" t="s">
        <v>65</v>
      </c>
    </row>
    <row r="8" spans="1:7" ht="33" customHeight="1">
      <c r="A8" s="796"/>
      <c r="B8" s="407"/>
      <c r="C8" s="540" t="s">
        <v>76</v>
      </c>
      <c r="D8" s="409"/>
      <c r="E8" s="541">
        <f>(보험료!I10)*0</f>
        <v>0</v>
      </c>
      <c r="F8" s="541">
        <f>보험료!I30</f>
        <v>84285</v>
      </c>
      <c r="G8" s="543"/>
    </row>
    <row r="9" spans="1:7" ht="33" customHeight="1">
      <c r="A9" s="796"/>
      <c r="B9" s="407"/>
      <c r="C9" s="540" t="s">
        <v>208</v>
      </c>
      <c r="D9" s="409"/>
      <c r="E9" s="541">
        <f>보험료!I11</f>
        <v>16472</v>
      </c>
      <c r="F9" s="541">
        <f>보험료!I31</f>
        <v>14984</v>
      </c>
      <c r="G9" s="543"/>
    </row>
    <row r="10" spans="1:7" ht="33" customHeight="1">
      <c r="A10" s="796"/>
      <c r="B10" s="407"/>
      <c r="C10" s="540" t="s">
        <v>78</v>
      </c>
      <c r="D10" s="409"/>
      <c r="E10" s="541">
        <f>보험료!I12</f>
        <v>58065</v>
      </c>
      <c r="F10" s="541">
        <f>보험료!I32</f>
        <v>52819</v>
      </c>
      <c r="G10" s="543"/>
    </row>
    <row r="11" spans="1:7" ht="33" customHeight="1">
      <c r="A11" s="796"/>
      <c r="B11" s="407"/>
      <c r="C11" s="540" t="s">
        <v>255</v>
      </c>
      <c r="D11" s="409"/>
      <c r="E11" s="541">
        <f>보험료!I13</f>
        <v>3803</v>
      </c>
      <c r="F11" s="541">
        <f>보험료!I33</f>
        <v>3459</v>
      </c>
      <c r="G11" s="543"/>
    </row>
    <row r="12" spans="1:7" ht="33" customHeight="1">
      <c r="A12" s="796"/>
      <c r="B12" s="407"/>
      <c r="C12" s="540" t="s">
        <v>79</v>
      </c>
      <c r="D12" s="409"/>
      <c r="E12" s="541">
        <f>보험료!I14</f>
        <v>1647</v>
      </c>
      <c r="F12" s="541">
        <f>보험료!I34</f>
        <v>1498</v>
      </c>
      <c r="G12" s="696"/>
    </row>
    <row r="13" spans="1:7" ht="33" customHeight="1">
      <c r="A13" s="797"/>
      <c r="B13" s="407"/>
      <c r="C13" s="545" t="s">
        <v>2</v>
      </c>
      <c r="D13" s="409"/>
      <c r="E13" s="541">
        <f>SUM(E7:E12)</f>
        <v>100577</v>
      </c>
      <c r="F13" s="541">
        <f>SUM(F7:F12)</f>
        <v>175775</v>
      </c>
      <c r="G13" s="697"/>
    </row>
    <row r="14" spans="1:7" ht="33" customHeight="1">
      <c r="A14" s="795" t="s">
        <v>66</v>
      </c>
      <c r="B14" s="408"/>
      <c r="C14" s="540" t="s">
        <v>67</v>
      </c>
      <c r="D14" s="409"/>
      <c r="E14" s="541">
        <f>복리후생비!G7</f>
        <v>175000</v>
      </c>
      <c r="F14" s="541">
        <f>복리후생비!G8</f>
        <v>175000</v>
      </c>
      <c r="G14" s="695" t="s">
        <v>68</v>
      </c>
    </row>
    <row r="15" spans="1:7" ht="33" customHeight="1">
      <c r="A15" s="796"/>
      <c r="B15" s="408"/>
      <c r="C15" s="540" t="s">
        <v>915</v>
      </c>
      <c r="D15" s="409"/>
      <c r="E15" s="541">
        <f>복리후생비!K7</f>
        <v>0</v>
      </c>
      <c r="F15" s="541">
        <f>복리후생비!K8</f>
        <v>0</v>
      </c>
      <c r="G15" s="696"/>
    </row>
    <row r="16" spans="1:7" ht="33" customHeight="1">
      <c r="A16" s="797"/>
      <c r="B16" s="408"/>
      <c r="C16" s="545" t="s">
        <v>2</v>
      </c>
      <c r="D16" s="409"/>
      <c r="E16" s="541">
        <f>SUM(E14:E15)</f>
        <v>175000</v>
      </c>
      <c r="F16" s="541">
        <f>SUM(F14:F15)</f>
        <v>175000</v>
      </c>
      <c r="G16" s="544"/>
    </row>
    <row r="17" spans="1:7" ht="33" customHeight="1">
      <c r="A17" s="790" t="s">
        <v>256</v>
      </c>
      <c r="B17" s="791"/>
      <c r="C17" s="791"/>
      <c r="D17" s="792"/>
      <c r="E17" s="541">
        <f>사업소세!J7</f>
        <v>0</v>
      </c>
      <c r="F17" s="541">
        <f>사업소세!J8</f>
        <v>0</v>
      </c>
      <c r="G17" s="544" t="s">
        <v>230</v>
      </c>
    </row>
    <row r="18" spans="1:7" ht="33" customHeight="1">
      <c r="A18" s="790" t="s">
        <v>276</v>
      </c>
      <c r="B18" s="791"/>
      <c r="C18" s="791"/>
      <c r="D18" s="792"/>
      <c r="E18" s="541">
        <f>교육비!J7</f>
        <v>0</v>
      </c>
      <c r="F18" s="541">
        <f>교육비!J8</f>
        <v>0</v>
      </c>
      <c r="G18" s="544" t="s">
        <v>12</v>
      </c>
    </row>
    <row r="19" spans="1:7" ht="39.950000000000003" customHeight="1">
      <c r="A19" s="546" t="s">
        <v>184</v>
      </c>
      <c r="B19" s="407"/>
      <c r="C19" s="408"/>
      <c r="D19" s="409"/>
      <c r="E19" s="541">
        <f>SUM(E13,E16,E17,E18)</f>
        <v>275577</v>
      </c>
      <c r="F19" s="541">
        <f>SUM(F13,F16,F17,F18)</f>
        <v>350775</v>
      </c>
      <c r="G19" s="547"/>
    </row>
    <row r="20" spans="1:7" ht="24.95" customHeight="1">
      <c r="A20" s="431" t="str">
        <f>"주 1) 보험료 : "&amp;보험료!$A$1&amp;보험료!$A$2&amp;" 참조"</f>
        <v>주 1) 보험료 : &lt; 표 : 12 &gt; 보험료산출표 참조</v>
      </c>
    </row>
    <row r="21" spans="1:7" ht="24.95" customHeight="1">
      <c r="A21" s="431" t="str">
        <f>"   2) 복리후생비 : "&amp;복리후생비!$A$1&amp;복리후생비!$A$2&amp;" 참조"</f>
        <v xml:space="preserve">   2) 복리후생비 : &lt; 표 : 15 &gt; 복리후생비집계표 참조</v>
      </c>
    </row>
    <row r="22" spans="1:7" ht="24.95" customHeight="1">
      <c r="A22" s="431" t="str">
        <f>"   3) 사업소세 : "&amp;사업소세!$A$1&amp;사업소세!$A$2&amp;" 참조"</f>
        <v xml:space="preserve">   3) 사업소세 : &lt; 표 : 18 &gt; 사업소세산출표 참조</v>
      </c>
    </row>
    <row r="23" spans="1:7" ht="24.95" customHeight="1">
      <c r="A23" s="431" t="str">
        <f>"   4) 교육비 : "&amp;교육비!$A$1&amp;교육비!$A$2&amp;" 참조"</f>
        <v xml:space="preserve">   4) 교육비 : &lt; 표 : 19 &gt; 교육비산출표 참조</v>
      </c>
    </row>
  </sheetData>
  <mergeCells count="6">
    <mergeCell ref="A5:D6"/>
    <mergeCell ref="A18:D18"/>
    <mergeCell ref="G5:G6"/>
    <mergeCell ref="A14:A16"/>
    <mergeCell ref="A7:A13"/>
    <mergeCell ref="A17:D17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53" orientation="portrait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J44"/>
  <sheetViews>
    <sheetView showGridLines="0" showZeros="0" view="pageBreakPreview" zoomScaleNormal="100" workbookViewId="0">
      <selection activeCell="H10" sqref="H10"/>
    </sheetView>
  </sheetViews>
  <sheetFormatPr defaultRowHeight="12"/>
  <cols>
    <col min="1" max="1" width="1.7109375" style="493" customWidth="1"/>
    <col min="2" max="2" width="19.7109375" style="493" customWidth="1"/>
    <col min="3" max="3" width="1.7109375" style="493" customWidth="1"/>
    <col min="4" max="4" width="11.7109375" style="537" customWidth="1"/>
    <col min="5" max="5" width="11.7109375" style="125" customWidth="1"/>
    <col min="6" max="6" width="9.7109375" style="125" customWidth="1"/>
    <col min="7" max="7" width="11.7109375" style="125" customWidth="1"/>
    <col min="8" max="8" width="7.7109375" style="125" customWidth="1"/>
    <col min="9" max="9" width="10.7109375" style="125" customWidth="1"/>
    <col min="10" max="10" width="9" style="135" customWidth="1"/>
    <col min="11" max="16384" width="9.140625" style="124"/>
  </cols>
  <sheetData>
    <row r="1" spans="1:10" ht="20.100000000000001" customHeight="1">
      <c r="A1" s="246" t="s">
        <v>928</v>
      </c>
      <c r="B1" s="123"/>
      <c r="C1" s="123"/>
      <c r="D1" s="246"/>
    </row>
    <row r="2" spans="1:10" s="93" customFormat="1" ht="39.950000000000003" customHeight="1">
      <c r="A2" s="92" t="s">
        <v>225</v>
      </c>
      <c r="B2" s="128"/>
      <c r="C2" s="128"/>
      <c r="D2" s="127"/>
      <c r="E2" s="375"/>
      <c r="F2" s="492"/>
      <c r="G2" s="375"/>
      <c r="H2" s="375"/>
      <c r="I2" s="375"/>
      <c r="J2" s="126"/>
    </row>
    <row r="3" spans="1:10" s="93" customFormat="1" ht="20.100000000000001" customHeight="1">
      <c r="A3" s="128"/>
      <c r="B3" s="128"/>
      <c r="C3" s="128"/>
      <c r="D3" s="127"/>
      <c r="E3" s="375"/>
      <c r="F3" s="492"/>
      <c r="G3" s="375"/>
      <c r="H3" s="375"/>
      <c r="I3" s="375"/>
      <c r="J3" s="126"/>
    </row>
    <row r="4" spans="1:10" ht="20.100000000000001" customHeight="1">
      <c r="A4" s="134" t="str">
        <f>원가!A4</f>
        <v>구 분 : 운전원                       직종명 : 보통인부</v>
      </c>
      <c r="C4" s="133"/>
      <c r="D4" s="134"/>
      <c r="I4" s="137"/>
      <c r="J4" s="137" t="s">
        <v>36</v>
      </c>
    </row>
    <row r="5" spans="1:10" ht="24.95" customHeight="1">
      <c r="A5" s="766" t="s">
        <v>69</v>
      </c>
      <c r="B5" s="760"/>
      <c r="C5" s="767"/>
      <c r="D5" s="758" t="s">
        <v>70</v>
      </c>
      <c r="E5" s="779"/>
      <c r="F5" s="779"/>
      <c r="G5" s="759"/>
      <c r="H5" s="798" t="s">
        <v>220</v>
      </c>
      <c r="I5" s="800" t="s">
        <v>71</v>
      </c>
      <c r="J5" s="762" t="s">
        <v>72</v>
      </c>
    </row>
    <row r="6" spans="1:10" ht="24.95" customHeight="1">
      <c r="A6" s="768"/>
      <c r="B6" s="761"/>
      <c r="C6" s="769"/>
      <c r="D6" s="494" t="s">
        <v>73</v>
      </c>
      <c r="E6" s="495" t="s">
        <v>74</v>
      </c>
      <c r="F6" s="495" t="s">
        <v>75</v>
      </c>
      <c r="G6" s="495" t="s">
        <v>55</v>
      </c>
      <c r="H6" s="799"/>
      <c r="I6" s="801"/>
      <c r="J6" s="763"/>
    </row>
    <row r="7" spans="1:10" ht="20.100000000000001" customHeight="1">
      <c r="A7" s="496"/>
      <c r="B7" s="497"/>
      <c r="C7" s="498"/>
      <c r="D7" s="499"/>
      <c r="E7" s="500"/>
      <c r="F7" s="500"/>
      <c r="G7" s="501"/>
      <c r="H7" s="502"/>
      <c r="I7" s="500"/>
      <c r="J7" s="499"/>
    </row>
    <row r="8" spans="1:10" ht="39.950000000000003" customHeight="1">
      <c r="A8" s="381"/>
      <c r="B8" s="135"/>
      <c r="C8" s="382"/>
      <c r="D8" s="503"/>
      <c r="E8" s="384"/>
      <c r="F8" s="384"/>
      <c r="G8" s="386"/>
      <c r="H8" s="504" t="s">
        <v>1</v>
      </c>
      <c r="I8" s="384"/>
      <c r="J8" s="503"/>
    </row>
    <row r="9" spans="1:10" ht="39.950000000000003" customHeight="1">
      <c r="A9" s="505"/>
      <c r="B9" s="711" t="s">
        <v>27</v>
      </c>
      <c r="C9" s="725"/>
      <c r="D9" s="726">
        <f>인집!G6</f>
        <v>1116360</v>
      </c>
      <c r="E9" s="726">
        <f>인집!H6</f>
        <v>570597</v>
      </c>
      <c r="F9" s="726">
        <f>인집!I6</f>
        <v>372120</v>
      </c>
      <c r="G9" s="727">
        <f>SUM(D9:F9)</f>
        <v>2059077</v>
      </c>
      <c r="H9" s="728">
        <f>보험료산출기준!I6</f>
        <v>1</v>
      </c>
      <c r="I9" s="510">
        <f>TRUNC(G9*H9%,0)</f>
        <v>20590</v>
      </c>
      <c r="J9" s="384"/>
    </row>
    <row r="10" spans="1:10" ht="39.950000000000003" customHeight="1">
      <c r="A10" s="381"/>
      <c r="B10" s="269" t="s">
        <v>76</v>
      </c>
      <c r="C10" s="382"/>
      <c r="D10" s="507">
        <f t="shared" ref="D10:F12" si="0">D9</f>
        <v>1116360</v>
      </c>
      <c r="E10" s="507">
        <f t="shared" si="0"/>
        <v>570597</v>
      </c>
      <c r="F10" s="507">
        <f t="shared" si="0"/>
        <v>372120</v>
      </c>
      <c r="G10" s="508">
        <f>SUM(D10:F10)</f>
        <v>2059077</v>
      </c>
      <c r="H10" s="509">
        <f>보험료산출기준!I7</f>
        <v>4.5</v>
      </c>
      <c r="I10" s="510">
        <f>TRUNC(G10*H10%,0)</f>
        <v>92658</v>
      </c>
      <c r="J10" s="384"/>
    </row>
    <row r="11" spans="1:10" ht="39.950000000000003" customHeight="1">
      <c r="A11" s="381"/>
      <c r="B11" s="269" t="s">
        <v>77</v>
      </c>
      <c r="C11" s="382"/>
      <c r="D11" s="507">
        <f t="shared" si="0"/>
        <v>1116360</v>
      </c>
      <c r="E11" s="507">
        <f t="shared" si="0"/>
        <v>570597</v>
      </c>
      <c r="F11" s="507">
        <f t="shared" si="0"/>
        <v>372120</v>
      </c>
      <c r="G11" s="508">
        <f>SUM(D11:F11)</f>
        <v>2059077</v>
      </c>
      <c r="H11" s="509">
        <f>보험료산출기준!I8</f>
        <v>0.8</v>
      </c>
      <c r="I11" s="510">
        <f>TRUNC(G11*H11%,0)</f>
        <v>16472</v>
      </c>
      <c r="J11" s="384"/>
    </row>
    <row r="12" spans="1:10" ht="39.950000000000003" customHeight="1">
      <c r="A12" s="381"/>
      <c r="B12" s="269" t="s">
        <v>78</v>
      </c>
      <c r="C12" s="382"/>
      <c r="D12" s="507">
        <f t="shared" si="0"/>
        <v>1116360</v>
      </c>
      <c r="E12" s="507">
        <f t="shared" si="0"/>
        <v>570597</v>
      </c>
      <c r="F12" s="507">
        <f t="shared" si="0"/>
        <v>372120</v>
      </c>
      <c r="G12" s="508">
        <f>SUM(D12:F12)</f>
        <v>2059077</v>
      </c>
      <c r="H12" s="509">
        <f>보험료산출기준!I9</f>
        <v>2.82</v>
      </c>
      <c r="I12" s="510">
        <f>TRUNC(G12*H12%,0)</f>
        <v>58065</v>
      </c>
      <c r="J12" s="384"/>
    </row>
    <row r="13" spans="1:10" ht="39.950000000000003" customHeight="1">
      <c r="A13" s="381"/>
      <c r="B13" s="269" t="s">
        <v>255</v>
      </c>
      <c r="C13" s="382"/>
      <c r="D13" s="507"/>
      <c r="E13" s="507"/>
      <c r="F13" s="507"/>
      <c r="G13" s="507"/>
      <c r="H13" s="509">
        <f>보험료산출기준!I10</f>
        <v>6.55</v>
      </c>
      <c r="I13" s="510">
        <f>TRUNC(I12*H13%,0)</f>
        <v>3803</v>
      </c>
      <c r="J13" s="384" t="s">
        <v>230</v>
      </c>
    </row>
    <row r="14" spans="1:10" ht="39.950000000000003" customHeight="1">
      <c r="A14" s="511"/>
      <c r="B14" s="151" t="s">
        <v>79</v>
      </c>
      <c r="C14" s="512"/>
      <c r="D14" s="507">
        <f>D12</f>
        <v>1116360</v>
      </c>
      <c r="E14" s="507">
        <f>E12</f>
        <v>570597</v>
      </c>
      <c r="F14" s="507">
        <f>F12</f>
        <v>372120</v>
      </c>
      <c r="G14" s="508">
        <f>SUM(D14:F14)</f>
        <v>2059077</v>
      </c>
      <c r="H14" s="509">
        <f>보험료산출기준!I11</f>
        <v>0.08</v>
      </c>
      <c r="I14" s="510">
        <f>TRUNC(G14*H14%,0)</f>
        <v>1647</v>
      </c>
      <c r="J14" s="384"/>
    </row>
    <row r="15" spans="1:10" ht="20.100000000000001" customHeight="1">
      <c r="A15" s="513"/>
      <c r="B15" s="514"/>
      <c r="C15" s="515"/>
      <c r="D15" s="516"/>
      <c r="E15" s="516"/>
      <c r="F15" s="516"/>
      <c r="G15" s="517"/>
      <c r="H15" s="518"/>
      <c r="I15" s="519"/>
      <c r="J15" s="495"/>
    </row>
    <row r="16" spans="1:10" ht="45" customHeight="1">
      <c r="A16" s="520"/>
      <c r="B16" s="521" t="s">
        <v>184</v>
      </c>
      <c r="C16" s="522"/>
      <c r="D16" s="523"/>
      <c r="E16" s="524"/>
      <c r="F16" s="524"/>
      <c r="G16" s="525"/>
      <c r="H16" s="525"/>
      <c r="I16" s="524">
        <f>SUM(I9:I15)</f>
        <v>193235</v>
      </c>
      <c r="J16" s="526"/>
    </row>
    <row r="17" spans="1:10" s="528" customFormat="1" ht="24.95" customHeight="1">
      <c r="A17" s="527" t="str">
        <f>"주 1) 적용대상액 : "&amp;인집!$A$1&amp;인집!$A$2&amp;" 참조"</f>
        <v>주 1) 적용대상액 : &lt; 표 : 3 &gt; 단위당인건비집계표 참조</v>
      </c>
      <c r="C17" s="527"/>
      <c r="D17" s="527"/>
      <c r="E17" s="529"/>
      <c r="F17" s="529"/>
      <c r="G17" s="530"/>
      <c r="H17" s="530"/>
      <c r="I17" s="530"/>
      <c r="J17" s="531"/>
    </row>
    <row r="18" spans="1:10" s="528" customFormat="1" ht="24.95" customHeight="1">
      <c r="A18" s="527" t="str">
        <f>"   2) 비율(%) : "&amp;보험료산출기준!$A$1&amp;보험료산출기준!$A$2&amp;" 참조"</f>
        <v xml:space="preserve">   2) 비율(%) : &lt; 표 : 13 &gt; 경비산정기준표 참조</v>
      </c>
      <c r="C18" s="527"/>
      <c r="D18" s="527"/>
      <c r="E18" s="529"/>
      <c r="F18" s="529"/>
      <c r="G18" s="530"/>
      <c r="H18" s="530"/>
      <c r="I18" s="530"/>
      <c r="J18" s="531"/>
    </row>
    <row r="19" spans="1:10" s="528" customFormat="1" ht="24.95" customHeight="1">
      <c r="A19" s="532" t="s">
        <v>863</v>
      </c>
      <c r="C19" s="527"/>
      <c r="D19" s="533"/>
      <c r="E19" s="534"/>
      <c r="F19" s="534"/>
      <c r="G19" s="535"/>
      <c r="H19" s="535"/>
      <c r="I19" s="535"/>
    </row>
    <row r="20" spans="1:10" s="528" customFormat="1" ht="24.95" customHeight="1">
      <c r="A20" s="532"/>
      <c r="C20" s="527"/>
      <c r="D20" s="533"/>
      <c r="E20" s="534"/>
      <c r="F20" s="534"/>
      <c r="G20" s="535"/>
      <c r="H20" s="535"/>
      <c r="I20" s="535"/>
    </row>
    <row r="21" spans="1:10" s="528" customFormat="1" ht="24.95" customHeight="1">
      <c r="A21" s="532"/>
      <c r="C21" s="527"/>
      <c r="D21" s="533"/>
      <c r="E21" s="534"/>
      <c r="F21" s="534"/>
      <c r="G21" s="535"/>
      <c r="H21" s="535"/>
      <c r="I21" s="535"/>
    </row>
    <row r="22" spans="1:10" s="528" customFormat="1" ht="24.95" customHeight="1">
      <c r="A22" s="532"/>
      <c r="C22" s="527"/>
      <c r="D22" s="533"/>
      <c r="E22" s="534"/>
      <c r="F22" s="534"/>
      <c r="G22" s="535"/>
      <c r="H22" s="535"/>
      <c r="I22" s="535"/>
    </row>
    <row r="23" spans="1:10" ht="20.100000000000001" customHeight="1">
      <c r="A23" s="123"/>
      <c r="B23" s="123"/>
      <c r="C23" s="123"/>
      <c r="D23" s="246"/>
    </row>
    <row r="24" spans="1:10" ht="20.100000000000001" customHeight="1">
      <c r="A24" s="134" t="str">
        <f>원가!A38</f>
        <v>구 분 : 사무원                       직종명 : 보통인부</v>
      </c>
      <c r="B24" s="133"/>
      <c r="C24" s="133"/>
      <c r="D24" s="134"/>
      <c r="I24" s="137"/>
      <c r="J24" s="137" t="s">
        <v>36</v>
      </c>
    </row>
    <row r="25" spans="1:10" ht="24.95" customHeight="1">
      <c r="A25" s="766" t="s">
        <v>69</v>
      </c>
      <c r="B25" s="760"/>
      <c r="C25" s="767"/>
      <c r="D25" s="758" t="s">
        <v>70</v>
      </c>
      <c r="E25" s="779"/>
      <c r="F25" s="779"/>
      <c r="G25" s="759"/>
      <c r="H25" s="798" t="s">
        <v>220</v>
      </c>
      <c r="I25" s="800" t="s">
        <v>71</v>
      </c>
      <c r="J25" s="762" t="s">
        <v>72</v>
      </c>
    </row>
    <row r="26" spans="1:10" ht="24.95" customHeight="1">
      <c r="A26" s="768"/>
      <c r="B26" s="761"/>
      <c r="C26" s="769"/>
      <c r="D26" s="494" t="s">
        <v>73</v>
      </c>
      <c r="E26" s="495" t="s">
        <v>74</v>
      </c>
      <c r="F26" s="495" t="s">
        <v>75</v>
      </c>
      <c r="G26" s="495" t="s">
        <v>55</v>
      </c>
      <c r="H26" s="799"/>
      <c r="I26" s="801"/>
      <c r="J26" s="763"/>
    </row>
    <row r="27" spans="1:10" ht="20.100000000000001" customHeight="1">
      <c r="A27" s="496"/>
      <c r="B27" s="497"/>
      <c r="C27" s="498"/>
      <c r="D27" s="499"/>
      <c r="E27" s="500"/>
      <c r="F27" s="500"/>
      <c r="G27" s="501"/>
      <c r="H27" s="502"/>
      <c r="I27" s="500"/>
      <c r="J27" s="499"/>
    </row>
    <row r="28" spans="1:10" ht="39.950000000000003" customHeight="1">
      <c r="A28" s="381"/>
      <c r="B28" s="135"/>
      <c r="C28" s="382"/>
      <c r="D28" s="503"/>
      <c r="E28" s="384"/>
      <c r="F28" s="384"/>
      <c r="G28" s="386"/>
      <c r="H28" s="504" t="s">
        <v>1</v>
      </c>
      <c r="I28" s="384"/>
      <c r="J28" s="503"/>
    </row>
    <row r="29" spans="1:10" ht="39.950000000000003" customHeight="1">
      <c r="A29" s="505"/>
      <c r="B29" s="711" t="s">
        <v>27</v>
      </c>
      <c r="C29" s="725"/>
      <c r="D29" s="726">
        <f>인집!G7</f>
        <v>1116360</v>
      </c>
      <c r="E29" s="726">
        <f>인집!H7</f>
        <v>570597</v>
      </c>
      <c r="F29" s="726">
        <f>인집!I7</f>
        <v>186060</v>
      </c>
      <c r="G29" s="727">
        <f>SUM(D29:F29)</f>
        <v>1873017</v>
      </c>
      <c r="H29" s="728">
        <f>보험료산출기준!J6</f>
        <v>1</v>
      </c>
      <c r="I29" s="510">
        <f>TRUNC(G29*H29%,0)</f>
        <v>18730</v>
      </c>
      <c r="J29" s="384"/>
    </row>
    <row r="30" spans="1:10" ht="39.950000000000003" customHeight="1">
      <c r="A30" s="381"/>
      <c r="B30" s="269" t="s">
        <v>76</v>
      </c>
      <c r="C30" s="382"/>
      <c r="D30" s="507">
        <f t="shared" ref="D30:F32" si="1">D29</f>
        <v>1116360</v>
      </c>
      <c r="E30" s="507">
        <f t="shared" si="1"/>
        <v>570597</v>
      </c>
      <c r="F30" s="507">
        <f t="shared" si="1"/>
        <v>186060</v>
      </c>
      <c r="G30" s="508">
        <f>SUM(D30:F30)</f>
        <v>1873017</v>
      </c>
      <c r="H30" s="509">
        <f>$H$10</f>
        <v>4.5</v>
      </c>
      <c r="I30" s="510">
        <f>TRUNC(G30*H30%,0)</f>
        <v>84285</v>
      </c>
      <c r="J30" s="384"/>
    </row>
    <row r="31" spans="1:10" ht="39.950000000000003" customHeight="1">
      <c r="A31" s="381"/>
      <c r="B31" s="269" t="s">
        <v>77</v>
      </c>
      <c r="C31" s="382"/>
      <c r="D31" s="507">
        <f t="shared" si="1"/>
        <v>1116360</v>
      </c>
      <c r="E31" s="507">
        <f t="shared" si="1"/>
        <v>570597</v>
      </c>
      <c r="F31" s="507">
        <f t="shared" si="1"/>
        <v>186060</v>
      </c>
      <c r="G31" s="508">
        <f>SUM(D31:F31)</f>
        <v>1873017</v>
      </c>
      <c r="H31" s="509">
        <f>$H$11</f>
        <v>0.8</v>
      </c>
      <c r="I31" s="510">
        <f>TRUNC(G31*H31%,0)</f>
        <v>14984</v>
      </c>
      <c r="J31" s="384"/>
    </row>
    <row r="32" spans="1:10" ht="39.950000000000003" customHeight="1">
      <c r="A32" s="381"/>
      <c r="B32" s="269" t="s">
        <v>78</v>
      </c>
      <c r="C32" s="382"/>
      <c r="D32" s="507">
        <f t="shared" si="1"/>
        <v>1116360</v>
      </c>
      <c r="E32" s="507">
        <f t="shared" si="1"/>
        <v>570597</v>
      </c>
      <c r="F32" s="507">
        <f t="shared" si="1"/>
        <v>186060</v>
      </c>
      <c r="G32" s="508">
        <f>SUM(D32:F32)</f>
        <v>1873017</v>
      </c>
      <c r="H32" s="509">
        <f>$H$12</f>
        <v>2.82</v>
      </c>
      <c r="I32" s="510">
        <f>TRUNC(G32*H32%,0)</f>
        <v>52819</v>
      </c>
      <c r="J32" s="384"/>
    </row>
    <row r="33" spans="1:10" ht="39.950000000000003" customHeight="1">
      <c r="A33" s="381"/>
      <c r="B33" s="269" t="s">
        <v>255</v>
      </c>
      <c r="C33" s="382"/>
      <c r="D33" s="507"/>
      <c r="E33" s="507"/>
      <c r="F33" s="507"/>
      <c r="G33" s="507"/>
      <c r="H33" s="509">
        <f>$H$13</f>
        <v>6.55</v>
      </c>
      <c r="I33" s="510">
        <f>TRUNC(I32*H33%,0)</f>
        <v>3459</v>
      </c>
      <c r="J33" s="384" t="s">
        <v>230</v>
      </c>
    </row>
    <row r="34" spans="1:10" ht="39.950000000000003" customHeight="1">
      <c r="A34" s="511"/>
      <c r="B34" s="151" t="s">
        <v>79</v>
      </c>
      <c r="C34" s="512"/>
      <c r="D34" s="507">
        <f>D32</f>
        <v>1116360</v>
      </c>
      <c r="E34" s="507">
        <f>E32</f>
        <v>570597</v>
      </c>
      <c r="F34" s="507">
        <f>F32</f>
        <v>186060</v>
      </c>
      <c r="G34" s="508">
        <f>SUM(D34:F34)</f>
        <v>1873017</v>
      </c>
      <c r="H34" s="509">
        <f>$H$14</f>
        <v>0.08</v>
      </c>
      <c r="I34" s="510">
        <f>TRUNC(G34*H34%,0)</f>
        <v>1498</v>
      </c>
      <c r="J34" s="384"/>
    </row>
    <row r="35" spans="1:10" ht="20.100000000000001" customHeight="1">
      <c r="A35" s="513"/>
      <c r="B35" s="514"/>
      <c r="C35" s="515"/>
      <c r="D35" s="516"/>
      <c r="E35" s="516"/>
      <c r="F35" s="516"/>
      <c r="G35" s="517"/>
      <c r="H35" s="536"/>
      <c r="I35" s="519"/>
      <c r="J35" s="495"/>
    </row>
    <row r="36" spans="1:10" ht="45" customHeight="1">
      <c r="A36" s="520"/>
      <c r="B36" s="521" t="s">
        <v>184</v>
      </c>
      <c r="C36" s="522"/>
      <c r="D36" s="523"/>
      <c r="E36" s="524"/>
      <c r="F36" s="524"/>
      <c r="G36" s="525"/>
      <c r="H36" s="525"/>
      <c r="I36" s="524">
        <f>SUM(I29:I35)</f>
        <v>175775</v>
      </c>
      <c r="J36" s="526"/>
    </row>
    <row r="37" spans="1:10" s="528" customFormat="1" ht="24.95" customHeight="1">
      <c r="A37" s="527" t="str">
        <f>"주 1) 적용대상액 : "&amp;인집!$A$1&amp;인집!$A$2&amp;" 참조"</f>
        <v>주 1) 적용대상액 : &lt; 표 : 3 &gt; 단위당인건비집계표 참조</v>
      </c>
      <c r="C37" s="527"/>
      <c r="D37" s="527"/>
      <c r="E37" s="529"/>
      <c r="F37" s="529"/>
      <c r="G37" s="530"/>
      <c r="H37" s="530"/>
      <c r="I37" s="530"/>
      <c r="J37" s="531"/>
    </row>
    <row r="38" spans="1:10" s="528" customFormat="1" ht="24.95" customHeight="1">
      <c r="A38" s="527" t="str">
        <f>"   2) 비율(%) : "&amp;보험료산출기준!$A$1&amp;보험료산출기준!$A$2&amp;" 참조"</f>
        <v xml:space="preserve">   2) 비율(%) : &lt; 표 : 13 &gt; 경비산정기준표 참조</v>
      </c>
      <c r="C38" s="527"/>
      <c r="D38" s="527"/>
      <c r="E38" s="529"/>
      <c r="F38" s="529"/>
      <c r="G38" s="530"/>
      <c r="H38" s="530"/>
      <c r="I38" s="530"/>
      <c r="J38" s="531"/>
    </row>
    <row r="39" spans="1:10" s="528" customFormat="1" ht="24.95" customHeight="1">
      <c r="A39" s="532" t="s">
        <v>863</v>
      </c>
      <c r="C39" s="527"/>
      <c r="D39" s="533"/>
      <c r="E39" s="534"/>
      <c r="F39" s="534"/>
      <c r="G39" s="535"/>
      <c r="H39" s="535"/>
      <c r="I39" s="535"/>
    </row>
    <row r="40" spans="1:10" s="528" customFormat="1" ht="24.95" customHeight="1">
      <c r="A40" s="532"/>
      <c r="C40" s="527"/>
      <c r="D40" s="533"/>
      <c r="E40" s="534"/>
      <c r="F40" s="534"/>
      <c r="G40" s="535"/>
      <c r="H40" s="535"/>
      <c r="I40" s="535"/>
    </row>
    <row r="41" spans="1:10" s="528" customFormat="1" ht="24.95" customHeight="1">
      <c r="A41" s="532"/>
      <c r="C41" s="527"/>
      <c r="D41" s="533"/>
      <c r="E41" s="534"/>
      <c r="F41" s="534"/>
      <c r="G41" s="535"/>
      <c r="H41" s="535"/>
      <c r="I41" s="535"/>
    </row>
    <row r="42" spans="1:10" s="528" customFormat="1" ht="24.95" customHeight="1">
      <c r="A42" s="532"/>
      <c r="C42" s="527"/>
      <c r="D42" s="533"/>
      <c r="E42" s="534"/>
      <c r="F42" s="534"/>
      <c r="G42" s="535"/>
      <c r="H42" s="535"/>
      <c r="I42" s="535"/>
    </row>
    <row r="43" spans="1:10" s="528" customFormat="1" ht="24.95" customHeight="1">
      <c r="A43" s="532"/>
      <c r="C43" s="527"/>
      <c r="D43" s="533"/>
      <c r="E43" s="534"/>
      <c r="F43" s="534"/>
      <c r="G43" s="535"/>
      <c r="H43" s="535"/>
      <c r="I43" s="535"/>
    </row>
    <row r="44" spans="1:10" s="528" customFormat="1" ht="20.100000000000001" customHeight="1">
      <c r="A44" s="532"/>
      <c r="C44" s="527"/>
      <c r="D44" s="533"/>
      <c r="E44" s="534"/>
      <c r="F44" s="534"/>
      <c r="G44" s="535"/>
      <c r="H44" s="535"/>
      <c r="I44" s="535"/>
    </row>
  </sheetData>
  <mergeCells count="10">
    <mergeCell ref="J5:J6"/>
    <mergeCell ref="A5:C6"/>
    <mergeCell ref="D5:G5"/>
    <mergeCell ref="H5:H6"/>
    <mergeCell ref="I5:I6"/>
    <mergeCell ref="A25:C26"/>
    <mergeCell ref="D25:G25"/>
    <mergeCell ref="H25:H26"/>
    <mergeCell ref="I25:I26"/>
    <mergeCell ref="J25:J2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J15"/>
  <sheetViews>
    <sheetView view="pageBreakPreview" topLeftCell="F1" zoomScale="80" zoomScaleNormal="100" workbookViewId="0">
      <selection activeCell="I7" sqref="I7"/>
    </sheetView>
  </sheetViews>
  <sheetFormatPr defaultRowHeight="12"/>
  <cols>
    <col min="1" max="1" width="8.42578125" style="482" customWidth="1"/>
    <col min="2" max="2" width="1.28515625" style="482" customWidth="1"/>
    <col min="3" max="3" width="21.28515625" style="482" bestFit="1" customWidth="1"/>
    <col min="4" max="4" width="1.28515625" style="482" customWidth="1"/>
    <col min="5" max="5" width="30" style="476" customWidth="1"/>
    <col min="6" max="6" width="96.7109375" style="476" customWidth="1"/>
    <col min="7" max="7" width="33.85546875" style="476" customWidth="1"/>
    <col min="8" max="8" width="13.28515625" style="476" bestFit="1" customWidth="1"/>
    <col min="9" max="9" width="9.140625" style="476"/>
    <col min="10" max="10" width="9.140625" style="477"/>
    <col min="11" max="16384" width="9.140625" style="476"/>
  </cols>
  <sheetData>
    <row r="1" spans="1:10" ht="20.100000000000001" customHeight="1">
      <c r="A1" s="432" t="s">
        <v>929</v>
      </c>
      <c r="B1" s="475"/>
      <c r="C1" s="475"/>
      <c r="D1" s="475"/>
    </row>
    <row r="2" spans="1:10" s="480" customFormat="1" ht="42" customHeight="1">
      <c r="A2" s="478" t="s">
        <v>802</v>
      </c>
      <c r="B2" s="479"/>
      <c r="C2" s="479"/>
      <c r="D2" s="479"/>
      <c r="E2" s="478"/>
      <c r="F2" s="478"/>
      <c r="G2" s="478"/>
      <c r="H2" s="478"/>
      <c r="J2" s="481"/>
    </row>
    <row r="3" spans="1:10" ht="30" customHeight="1"/>
    <row r="4" spans="1:10" ht="24.95" customHeight="1">
      <c r="A4" s="766" t="s">
        <v>803</v>
      </c>
      <c r="B4" s="760"/>
      <c r="C4" s="760"/>
      <c r="D4" s="767"/>
      <c r="E4" s="770" t="s">
        <v>804</v>
      </c>
      <c r="F4" s="772" t="s">
        <v>805</v>
      </c>
      <c r="G4" s="770" t="s">
        <v>806</v>
      </c>
      <c r="H4" s="770" t="s">
        <v>807</v>
      </c>
    </row>
    <row r="5" spans="1:10" ht="24.95" customHeight="1">
      <c r="A5" s="768"/>
      <c r="B5" s="761"/>
      <c r="C5" s="761"/>
      <c r="D5" s="769"/>
      <c r="E5" s="771"/>
      <c r="F5" s="773"/>
      <c r="G5" s="771"/>
      <c r="H5" s="771"/>
    </row>
    <row r="6" spans="1:10" ht="65.25" customHeight="1">
      <c r="A6" s="802" t="s">
        <v>808</v>
      </c>
      <c r="B6" s="483"/>
      <c r="C6" s="484" t="s">
        <v>27</v>
      </c>
      <c r="D6" s="485"/>
      <c r="E6" s="486" t="s">
        <v>809</v>
      </c>
      <c r="F6" s="486" t="s">
        <v>810</v>
      </c>
      <c r="G6" s="486" t="s">
        <v>966</v>
      </c>
      <c r="H6" s="487" t="str">
        <f>산재비율!A1&amp;"
참조"</f>
        <v>&lt; 표 : 14 &gt; 
참조</v>
      </c>
      <c r="I6" s="476">
        <v>1</v>
      </c>
      <c r="J6" s="699">
        <v>1</v>
      </c>
    </row>
    <row r="7" spans="1:10" ht="65.25" customHeight="1">
      <c r="A7" s="803"/>
      <c r="B7" s="483"/>
      <c r="C7" s="484" t="s">
        <v>76</v>
      </c>
      <c r="D7" s="485"/>
      <c r="E7" s="486" t="s">
        <v>811</v>
      </c>
      <c r="F7" s="486" t="s">
        <v>812</v>
      </c>
      <c r="G7" s="486" t="s">
        <v>813</v>
      </c>
      <c r="H7" s="488"/>
      <c r="I7" s="476">
        <v>4.5</v>
      </c>
    </row>
    <row r="8" spans="1:10" ht="152.25" customHeight="1">
      <c r="A8" s="803"/>
      <c r="B8" s="483"/>
      <c r="C8" s="484" t="s">
        <v>208</v>
      </c>
      <c r="D8" s="485"/>
      <c r="E8" s="486" t="s">
        <v>820</v>
      </c>
      <c r="F8" s="489" t="s">
        <v>967</v>
      </c>
      <c r="G8" s="486" t="s">
        <v>968</v>
      </c>
      <c r="H8" s="488"/>
      <c r="I8" s="476">
        <v>0.8</v>
      </c>
    </row>
    <row r="9" spans="1:10" ht="65.25" customHeight="1">
      <c r="A9" s="803"/>
      <c r="B9" s="483"/>
      <c r="C9" s="484" t="s">
        <v>78</v>
      </c>
      <c r="D9" s="485"/>
      <c r="E9" s="486" t="s">
        <v>821</v>
      </c>
      <c r="F9" s="486" t="s">
        <v>814</v>
      </c>
      <c r="G9" s="486" t="s">
        <v>815</v>
      </c>
      <c r="H9" s="488"/>
      <c r="I9" s="476">
        <v>2.82</v>
      </c>
    </row>
    <row r="10" spans="1:10" ht="65.25" customHeight="1">
      <c r="A10" s="803"/>
      <c r="B10" s="483"/>
      <c r="C10" s="484" t="s">
        <v>816</v>
      </c>
      <c r="D10" s="485"/>
      <c r="E10" s="486" t="s">
        <v>822</v>
      </c>
      <c r="F10" s="486" t="s">
        <v>817</v>
      </c>
      <c r="G10" s="486" t="s">
        <v>818</v>
      </c>
      <c r="H10" s="488"/>
      <c r="I10" s="476">
        <v>6.55</v>
      </c>
    </row>
    <row r="11" spans="1:10" ht="65.25" customHeight="1">
      <c r="A11" s="804"/>
      <c r="B11" s="483"/>
      <c r="C11" s="484" t="s">
        <v>79</v>
      </c>
      <c r="D11" s="485"/>
      <c r="E11" s="486" t="s">
        <v>823</v>
      </c>
      <c r="F11" s="486" t="s">
        <v>824</v>
      </c>
      <c r="G11" s="486" t="s">
        <v>819</v>
      </c>
      <c r="H11" s="488"/>
      <c r="I11" s="476">
        <v>0.08</v>
      </c>
    </row>
    <row r="12" spans="1:10" ht="29.25" customHeight="1">
      <c r="A12" s="490"/>
      <c r="B12" s="491"/>
      <c r="C12" s="491"/>
      <c r="D12" s="491"/>
    </row>
    <row r="13" spans="1:10" ht="27.95" customHeight="1"/>
    <row r="14" spans="1:10" ht="27.95" customHeight="1"/>
    <row r="15" spans="1:10" ht="39.950000000000003" customHeight="1"/>
  </sheetData>
  <mergeCells count="6">
    <mergeCell ref="H4:H5"/>
    <mergeCell ref="A6:A11"/>
    <mergeCell ref="A4:D5"/>
    <mergeCell ref="E4:E5"/>
    <mergeCell ref="F4:F5"/>
    <mergeCell ref="G4:G5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>
    <oddFooter>&amp;C- &amp;P -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M2013"/>
  <sheetViews>
    <sheetView showGridLines="0" showZeros="0" view="pageBreakPreview" zoomScaleNormal="100" workbookViewId="0">
      <selection activeCell="P34" sqref="P34"/>
    </sheetView>
  </sheetViews>
  <sheetFormatPr defaultRowHeight="24.95" customHeight="1"/>
  <cols>
    <col min="1" max="1" width="0.85546875" style="438" customWidth="1"/>
    <col min="2" max="2" width="35.7109375" style="433" customWidth="1"/>
    <col min="3" max="3" width="1" style="435" customWidth="1"/>
    <col min="4" max="4" width="11" style="435" customWidth="1"/>
    <col min="5" max="5" width="0.5703125" style="435" customWidth="1"/>
    <col min="6" max="6" width="39.5703125" style="451" customWidth="1"/>
    <col min="7" max="7" width="0.7109375" style="435" customWidth="1"/>
    <col min="8" max="8" width="10.85546875" style="435" customWidth="1"/>
    <col min="9" max="13" width="9.140625" style="437"/>
    <col min="14" max="16384" width="9.140625" style="438"/>
  </cols>
  <sheetData>
    <row r="1" spans="1:13" ht="19.5" customHeight="1">
      <c r="A1" s="432" t="s">
        <v>930</v>
      </c>
      <c r="C1" s="434"/>
      <c r="F1" s="436"/>
    </row>
    <row r="2" spans="1:13" s="445" customFormat="1" ht="30" customHeight="1">
      <c r="A2" s="439" t="s">
        <v>825</v>
      </c>
      <c r="B2" s="440"/>
      <c r="C2" s="441"/>
      <c r="D2" s="441"/>
      <c r="E2" s="441"/>
      <c r="F2" s="442"/>
      <c r="G2" s="441"/>
      <c r="H2" s="441"/>
      <c r="I2" s="443"/>
      <c r="J2" s="444"/>
      <c r="K2" s="444"/>
      <c r="L2" s="444"/>
      <c r="M2" s="444"/>
    </row>
    <row r="3" spans="1:13" ht="5.25" customHeight="1">
      <c r="A3" s="446"/>
      <c r="B3" s="447"/>
      <c r="C3" s="448"/>
      <c r="D3" s="448"/>
      <c r="E3" s="448"/>
      <c r="F3" s="449"/>
      <c r="G3" s="448"/>
      <c r="H3" s="448"/>
      <c r="I3" s="450"/>
      <c r="J3" s="450"/>
      <c r="K3" s="450"/>
      <c r="L3" s="450"/>
      <c r="M3" s="450"/>
    </row>
    <row r="4" spans="1:13" ht="18" customHeight="1">
      <c r="A4" s="433"/>
      <c r="H4" s="452" t="s">
        <v>826</v>
      </c>
    </row>
    <row r="5" spans="1:13" ht="33" customHeight="1">
      <c r="A5" s="453"/>
      <c r="B5" s="454" t="s">
        <v>827</v>
      </c>
      <c r="C5" s="455"/>
      <c r="D5" s="456" t="s">
        <v>828</v>
      </c>
      <c r="E5" s="453"/>
      <c r="F5" s="454" t="s">
        <v>827</v>
      </c>
      <c r="G5" s="455"/>
      <c r="H5" s="456" t="s">
        <v>828</v>
      </c>
    </row>
    <row r="6" spans="1:13" ht="15.95" customHeight="1">
      <c r="A6" s="457"/>
      <c r="B6" s="458" t="s">
        <v>829</v>
      </c>
      <c r="C6" s="459"/>
      <c r="D6" s="460"/>
      <c r="E6" s="460"/>
      <c r="F6" s="461"/>
      <c r="G6" s="462"/>
      <c r="H6" s="463"/>
    </row>
    <row r="7" spans="1:13" ht="15.95" customHeight="1">
      <c r="A7" s="457"/>
      <c r="B7" s="458" t="s">
        <v>80</v>
      </c>
      <c r="C7" s="464"/>
      <c r="D7" s="465">
        <v>354</v>
      </c>
      <c r="E7" s="457"/>
      <c r="F7" s="458" t="s">
        <v>830</v>
      </c>
      <c r="G7" s="464"/>
      <c r="H7" s="466">
        <v>21</v>
      </c>
    </row>
    <row r="8" spans="1:13" ht="15.95" customHeight="1">
      <c r="A8" s="457"/>
      <c r="B8" s="458" t="s">
        <v>81</v>
      </c>
      <c r="C8" s="464"/>
      <c r="D8" s="465">
        <v>201</v>
      </c>
      <c r="E8" s="457"/>
      <c r="F8" s="458" t="s">
        <v>831</v>
      </c>
      <c r="G8" s="464"/>
      <c r="H8" s="466">
        <v>11</v>
      </c>
    </row>
    <row r="9" spans="1:13" ht="15.95" customHeight="1">
      <c r="A9" s="457"/>
      <c r="B9" s="458" t="s">
        <v>832</v>
      </c>
      <c r="C9" s="464"/>
      <c r="D9" s="465">
        <v>234</v>
      </c>
      <c r="E9" s="457"/>
      <c r="F9" s="458" t="s">
        <v>833</v>
      </c>
      <c r="G9" s="464"/>
      <c r="H9" s="466">
        <v>11</v>
      </c>
    </row>
    <row r="10" spans="1:13" ht="15.95" customHeight="1">
      <c r="A10" s="457"/>
      <c r="B10" s="458" t="s">
        <v>83</v>
      </c>
      <c r="C10" s="464"/>
      <c r="D10" s="465">
        <v>67</v>
      </c>
      <c r="E10" s="457"/>
      <c r="F10" s="458" t="s">
        <v>84</v>
      </c>
      <c r="G10" s="464"/>
      <c r="H10" s="466">
        <v>18</v>
      </c>
    </row>
    <row r="11" spans="1:13" ht="15.95" customHeight="1">
      <c r="A11" s="457"/>
      <c r="B11" s="458" t="s">
        <v>834</v>
      </c>
      <c r="C11" s="464"/>
      <c r="D11" s="465">
        <v>72</v>
      </c>
      <c r="E11" s="457"/>
      <c r="F11" s="458" t="s">
        <v>85</v>
      </c>
      <c r="G11" s="464"/>
      <c r="H11" s="466">
        <v>33</v>
      </c>
    </row>
    <row r="12" spans="1:13" ht="15.95" customHeight="1">
      <c r="A12" s="457"/>
      <c r="B12" s="458" t="s">
        <v>86</v>
      </c>
      <c r="C12" s="464"/>
      <c r="D12" s="465"/>
      <c r="E12" s="457"/>
      <c r="F12" s="458" t="s">
        <v>179</v>
      </c>
      <c r="G12" s="464"/>
      <c r="H12" s="466">
        <v>10</v>
      </c>
    </row>
    <row r="13" spans="1:13" ht="15.95" customHeight="1">
      <c r="A13" s="457"/>
      <c r="B13" s="458" t="s">
        <v>87</v>
      </c>
      <c r="C13" s="464"/>
      <c r="D13" s="465">
        <v>22</v>
      </c>
      <c r="E13" s="457"/>
      <c r="F13" s="458" t="s">
        <v>835</v>
      </c>
      <c r="G13" s="464"/>
      <c r="H13" s="466" t="s">
        <v>836</v>
      </c>
    </row>
    <row r="14" spans="1:13" ht="15.95" customHeight="1">
      <c r="A14" s="457"/>
      <c r="B14" s="458" t="s">
        <v>88</v>
      </c>
      <c r="C14" s="464"/>
      <c r="D14" s="465">
        <v>9</v>
      </c>
      <c r="E14" s="457"/>
      <c r="F14" s="458" t="s">
        <v>89</v>
      </c>
      <c r="G14" s="464"/>
      <c r="H14" s="466"/>
    </row>
    <row r="15" spans="1:13" ht="15.95" customHeight="1">
      <c r="A15" s="457"/>
      <c r="B15" s="458" t="s">
        <v>90</v>
      </c>
      <c r="C15" s="464"/>
      <c r="D15" s="465">
        <v>14</v>
      </c>
      <c r="E15" s="457"/>
      <c r="F15" s="458" t="s">
        <v>91</v>
      </c>
      <c r="G15" s="464"/>
      <c r="H15" s="466">
        <v>9</v>
      </c>
    </row>
    <row r="16" spans="1:13" ht="15.95" customHeight="1">
      <c r="A16" s="457"/>
      <c r="B16" s="458" t="s">
        <v>92</v>
      </c>
      <c r="C16" s="464"/>
      <c r="D16" s="465">
        <v>25</v>
      </c>
      <c r="E16" s="457"/>
      <c r="F16" s="458" t="s">
        <v>93</v>
      </c>
      <c r="G16" s="464"/>
      <c r="H16" s="466">
        <v>21</v>
      </c>
    </row>
    <row r="17" spans="1:8" ht="15.95" customHeight="1">
      <c r="A17" s="457"/>
      <c r="B17" s="458" t="s">
        <v>94</v>
      </c>
      <c r="C17" s="464"/>
      <c r="D17" s="465">
        <v>84</v>
      </c>
      <c r="E17" s="457"/>
      <c r="F17" s="458" t="s">
        <v>95</v>
      </c>
      <c r="G17" s="464"/>
      <c r="H17" s="466">
        <v>73</v>
      </c>
    </row>
    <row r="18" spans="1:8" ht="15.95" customHeight="1">
      <c r="A18" s="457"/>
      <c r="B18" s="458" t="s">
        <v>96</v>
      </c>
      <c r="C18" s="464"/>
      <c r="D18" s="465">
        <v>51</v>
      </c>
      <c r="E18" s="457"/>
      <c r="F18" s="458" t="s">
        <v>837</v>
      </c>
      <c r="G18" s="464"/>
      <c r="H18" s="466">
        <v>33</v>
      </c>
    </row>
    <row r="19" spans="1:8" ht="15.95" customHeight="1">
      <c r="A19" s="457"/>
      <c r="B19" s="458" t="s">
        <v>838</v>
      </c>
      <c r="C19" s="464"/>
      <c r="D19" s="465">
        <v>26</v>
      </c>
      <c r="E19" s="457"/>
      <c r="F19" s="458" t="s">
        <v>839</v>
      </c>
      <c r="G19" s="464"/>
      <c r="H19" s="466"/>
    </row>
    <row r="20" spans="1:8" ht="15.95" customHeight="1">
      <c r="A20" s="457"/>
      <c r="B20" s="467" t="s">
        <v>840</v>
      </c>
      <c r="C20" s="464"/>
      <c r="D20" s="465"/>
      <c r="E20" s="457"/>
      <c r="F20" s="458" t="s">
        <v>97</v>
      </c>
      <c r="G20" s="464"/>
      <c r="H20" s="466">
        <v>7</v>
      </c>
    </row>
    <row r="21" spans="1:8" ht="15.95" customHeight="1">
      <c r="A21" s="457"/>
      <c r="B21" s="458" t="s">
        <v>841</v>
      </c>
      <c r="C21" s="464"/>
      <c r="D21" s="465">
        <v>10</v>
      </c>
      <c r="E21" s="453"/>
      <c r="F21" s="468" t="s">
        <v>98</v>
      </c>
      <c r="G21" s="455"/>
      <c r="H21" s="469">
        <v>9</v>
      </c>
    </row>
    <row r="22" spans="1:8" ht="15.95" customHeight="1">
      <c r="A22" s="457"/>
      <c r="B22" s="458" t="s">
        <v>842</v>
      </c>
      <c r="C22" s="464"/>
      <c r="D22" s="465">
        <v>16</v>
      </c>
      <c r="E22" s="457"/>
      <c r="F22" s="458" t="s">
        <v>843</v>
      </c>
      <c r="G22" s="464"/>
      <c r="H22" s="466">
        <v>17</v>
      </c>
    </row>
    <row r="23" spans="1:8" ht="15.95" customHeight="1">
      <c r="A23" s="457"/>
      <c r="B23" s="458" t="s">
        <v>99</v>
      </c>
      <c r="C23" s="464"/>
      <c r="D23" s="465">
        <v>18</v>
      </c>
      <c r="E23" s="457"/>
      <c r="F23" s="458" t="s">
        <v>844</v>
      </c>
      <c r="G23" s="464"/>
      <c r="H23" s="466">
        <v>11</v>
      </c>
    </row>
    <row r="24" spans="1:8" ht="15.95" customHeight="1">
      <c r="A24" s="457"/>
      <c r="B24" s="458" t="s">
        <v>100</v>
      </c>
      <c r="C24" s="464"/>
      <c r="D24" s="465">
        <v>9</v>
      </c>
      <c r="E24" s="457"/>
      <c r="F24" s="458" t="s">
        <v>845</v>
      </c>
      <c r="G24" s="464"/>
      <c r="H24" s="466" t="s">
        <v>846</v>
      </c>
    </row>
    <row r="25" spans="1:8" ht="15.95" customHeight="1">
      <c r="A25" s="457"/>
      <c r="B25" s="458" t="s">
        <v>101</v>
      </c>
      <c r="C25" s="464"/>
      <c r="D25" s="465">
        <v>33</v>
      </c>
      <c r="E25" s="457"/>
      <c r="F25" s="458" t="s">
        <v>847</v>
      </c>
      <c r="G25" s="464"/>
      <c r="H25" s="466"/>
    </row>
    <row r="26" spans="1:8" ht="15.95" customHeight="1">
      <c r="A26" s="457"/>
      <c r="B26" s="458" t="s">
        <v>848</v>
      </c>
      <c r="C26" s="464"/>
      <c r="D26" s="465">
        <v>87</v>
      </c>
      <c r="E26" s="457"/>
      <c r="F26" s="458" t="s">
        <v>180</v>
      </c>
      <c r="G26" s="464"/>
      <c r="H26" s="466" t="s">
        <v>849</v>
      </c>
    </row>
    <row r="27" spans="1:8" ht="15.95" customHeight="1">
      <c r="A27" s="457"/>
      <c r="B27" s="458" t="s">
        <v>102</v>
      </c>
      <c r="C27" s="464"/>
      <c r="D27" s="465">
        <v>26</v>
      </c>
      <c r="E27" s="457"/>
      <c r="F27" s="458" t="s">
        <v>850</v>
      </c>
      <c r="G27" s="464"/>
      <c r="H27" s="466" t="s">
        <v>851</v>
      </c>
    </row>
    <row r="28" spans="1:8" ht="15.95" customHeight="1">
      <c r="A28" s="457"/>
      <c r="B28" s="458" t="s">
        <v>103</v>
      </c>
      <c r="C28" s="464"/>
      <c r="D28" s="465">
        <v>31</v>
      </c>
      <c r="E28" s="457"/>
      <c r="F28" s="458" t="s">
        <v>852</v>
      </c>
      <c r="G28" s="464"/>
      <c r="H28" s="466" t="s">
        <v>853</v>
      </c>
    </row>
    <row r="29" spans="1:8" ht="15.95" customHeight="1">
      <c r="A29" s="457"/>
      <c r="B29" s="458" t="s">
        <v>104</v>
      </c>
      <c r="C29" s="464"/>
      <c r="D29" s="465">
        <v>22</v>
      </c>
      <c r="E29" s="457"/>
      <c r="F29" s="458" t="s">
        <v>106</v>
      </c>
      <c r="G29" s="464"/>
      <c r="H29" s="466"/>
    </row>
    <row r="30" spans="1:8" ht="15.95" customHeight="1">
      <c r="A30" s="457"/>
      <c r="B30" s="458" t="s">
        <v>105</v>
      </c>
      <c r="C30" s="464"/>
      <c r="D30" s="465">
        <v>32</v>
      </c>
      <c r="E30" s="457"/>
      <c r="F30" s="458" t="s">
        <v>108</v>
      </c>
      <c r="G30" s="464"/>
      <c r="H30" s="466">
        <v>31</v>
      </c>
    </row>
    <row r="31" spans="1:8" ht="15.95" customHeight="1">
      <c r="A31" s="457"/>
      <c r="B31" s="458" t="s">
        <v>107</v>
      </c>
      <c r="C31" s="464"/>
      <c r="D31" s="465">
        <v>27</v>
      </c>
      <c r="E31" s="457"/>
      <c r="F31" s="458" t="s">
        <v>109</v>
      </c>
      <c r="G31" s="464"/>
      <c r="H31" s="466">
        <v>20</v>
      </c>
    </row>
    <row r="32" spans="1:8" ht="24">
      <c r="A32" s="457"/>
      <c r="B32" s="467" t="s">
        <v>854</v>
      </c>
      <c r="C32" s="464"/>
      <c r="D32" s="465">
        <v>47</v>
      </c>
      <c r="E32" s="457"/>
      <c r="F32" s="458" t="s">
        <v>111</v>
      </c>
      <c r="G32" s="464"/>
      <c r="H32" s="466">
        <v>31</v>
      </c>
    </row>
    <row r="33" spans="1:13" ht="15.95" customHeight="1">
      <c r="A33" s="457"/>
      <c r="B33" s="458" t="s">
        <v>110</v>
      </c>
      <c r="C33" s="464"/>
      <c r="D33" s="465">
        <v>12</v>
      </c>
      <c r="E33" s="457"/>
      <c r="F33" s="458" t="s">
        <v>113</v>
      </c>
      <c r="G33" s="464"/>
      <c r="H33" s="466">
        <v>18</v>
      </c>
      <c r="I33" s="438"/>
      <c r="J33" s="438"/>
      <c r="K33" s="438"/>
      <c r="L33" s="438"/>
      <c r="M33" s="438"/>
    </row>
    <row r="34" spans="1:13" ht="15.95" customHeight="1">
      <c r="A34" s="457"/>
      <c r="B34" s="458" t="s">
        <v>112</v>
      </c>
      <c r="C34" s="464"/>
      <c r="D34" s="465">
        <v>37</v>
      </c>
      <c r="E34" s="457"/>
      <c r="F34" s="458" t="s">
        <v>115</v>
      </c>
      <c r="G34" s="464"/>
      <c r="H34" s="466">
        <v>10</v>
      </c>
      <c r="I34" s="438"/>
      <c r="J34" s="438"/>
      <c r="K34" s="438"/>
      <c r="L34" s="438"/>
      <c r="M34" s="438"/>
    </row>
    <row r="35" spans="1:13" ht="15.95" customHeight="1">
      <c r="A35" s="457"/>
      <c r="B35" s="458" t="s">
        <v>855</v>
      </c>
      <c r="C35" s="464"/>
      <c r="D35" s="465">
        <v>23</v>
      </c>
      <c r="E35" s="457"/>
      <c r="F35" s="458" t="s">
        <v>856</v>
      </c>
      <c r="G35" s="464"/>
      <c r="H35" s="466">
        <v>10</v>
      </c>
      <c r="I35" s="438"/>
      <c r="J35" s="438"/>
      <c r="K35" s="438"/>
      <c r="L35" s="438"/>
      <c r="M35" s="438"/>
    </row>
    <row r="36" spans="1:13" ht="15.95" customHeight="1">
      <c r="A36" s="457"/>
      <c r="B36" s="458" t="s">
        <v>114</v>
      </c>
      <c r="C36" s="464"/>
      <c r="D36" s="465">
        <v>25</v>
      </c>
      <c r="E36" s="457"/>
      <c r="F36" s="458" t="s">
        <v>857</v>
      </c>
      <c r="G36" s="464"/>
      <c r="H36" s="466">
        <v>10</v>
      </c>
      <c r="I36" s="438"/>
      <c r="J36" s="438"/>
      <c r="K36" s="438"/>
      <c r="L36" s="438"/>
      <c r="M36" s="438"/>
    </row>
    <row r="37" spans="1:13" ht="15.95" customHeight="1">
      <c r="A37" s="457"/>
      <c r="B37" s="458" t="s">
        <v>116</v>
      </c>
      <c r="C37" s="464"/>
      <c r="D37" s="465">
        <v>13</v>
      </c>
      <c r="E37" s="453"/>
      <c r="F37" s="468" t="s">
        <v>243</v>
      </c>
      <c r="G37" s="455"/>
      <c r="H37" s="469">
        <v>6</v>
      </c>
      <c r="I37" s="438"/>
      <c r="J37" s="438"/>
      <c r="K37" s="438"/>
      <c r="L37" s="438"/>
      <c r="M37" s="438"/>
    </row>
    <row r="38" spans="1:13" ht="15.95" customHeight="1">
      <c r="A38" s="457"/>
      <c r="B38" s="458" t="s">
        <v>183</v>
      </c>
      <c r="D38" s="466">
        <v>7</v>
      </c>
      <c r="E38" s="457"/>
      <c r="F38" s="458" t="s">
        <v>181</v>
      </c>
      <c r="G38" s="464"/>
      <c r="H38" s="466">
        <v>7</v>
      </c>
      <c r="I38" s="438"/>
      <c r="J38" s="438"/>
      <c r="K38" s="438"/>
      <c r="L38" s="438"/>
      <c r="M38" s="438"/>
    </row>
    <row r="39" spans="1:13" ht="15.95" customHeight="1">
      <c r="A39" s="457"/>
      <c r="B39" s="458" t="s">
        <v>82</v>
      </c>
      <c r="D39" s="466">
        <v>36</v>
      </c>
      <c r="E39" s="457"/>
      <c r="F39" s="458" t="s">
        <v>182</v>
      </c>
      <c r="G39" s="464"/>
      <c r="H39" s="466">
        <v>8</v>
      </c>
      <c r="I39" s="438"/>
      <c r="J39" s="438"/>
      <c r="K39" s="438"/>
      <c r="L39" s="438"/>
      <c r="M39" s="438"/>
    </row>
    <row r="40" spans="1:13" ht="15.95" customHeight="1">
      <c r="A40" s="457"/>
      <c r="B40" s="458" t="s">
        <v>858</v>
      </c>
      <c r="C40" s="464"/>
      <c r="D40" s="466">
        <v>22</v>
      </c>
      <c r="E40" s="457"/>
      <c r="F40" s="458" t="s">
        <v>859</v>
      </c>
      <c r="G40" s="464"/>
      <c r="H40" s="466" t="s">
        <v>860</v>
      </c>
      <c r="I40" s="438"/>
      <c r="J40" s="438"/>
      <c r="K40" s="438"/>
      <c r="L40" s="438"/>
      <c r="M40" s="438"/>
    </row>
    <row r="41" spans="1:13" ht="15.95" customHeight="1">
      <c r="A41" s="457"/>
      <c r="B41" s="458" t="s">
        <v>242</v>
      </c>
      <c r="C41" s="464"/>
      <c r="D41" s="466">
        <v>22</v>
      </c>
      <c r="E41" s="457"/>
      <c r="F41" s="458" t="s">
        <v>861</v>
      </c>
      <c r="G41" s="464"/>
      <c r="H41" s="466"/>
      <c r="I41" s="438"/>
      <c r="J41" s="438"/>
      <c r="K41" s="438"/>
      <c r="L41" s="438"/>
      <c r="M41" s="438"/>
    </row>
    <row r="42" spans="1:13" ht="1.5" customHeight="1">
      <c r="A42" s="470"/>
      <c r="B42" s="471"/>
      <c r="C42" s="472"/>
      <c r="D42" s="473"/>
      <c r="E42" s="470"/>
      <c r="F42" s="471"/>
      <c r="G42" s="474"/>
      <c r="H42" s="473"/>
      <c r="I42" s="438"/>
      <c r="J42" s="438"/>
      <c r="K42" s="438"/>
      <c r="L42" s="438"/>
      <c r="M42" s="438"/>
    </row>
    <row r="43" spans="1:13" ht="18" customHeight="1">
      <c r="B43" s="432" t="s">
        <v>862</v>
      </c>
      <c r="F43" s="436"/>
      <c r="I43" s="438"/>
      <c r="J43" s="438"/>
      <c r="K43" s="438"/>
      <c r="L43" s="438"/>
      <c r="M43" s="438"/>
    </row>
    <row r="44" spans="1:13" ht="15" customHeight="1">
      <c r="A44" s="437"/>
      <c r="B44" s="437"/>
      <c r="C44" s="437"/>
      <c r="D44" s="437"/>
      <c r="E44" s="437"/>
      <c r="F44" s="437"/>
      <c r="G44" s="437"/>
      <c r="H44" s="437"/>
      <c r="I44" s="438"/>
      <c r="J44" s="438"/>
      <c r="K44" s="438"/>
      <c r="L44" s="438"/>
      <c r="M44" s="438"/>
    </row>
    <row r="45" spans="1:13" ht="15" customHeight="1">
      <c r="A45" s="437"/>
      <c r="B45" s="437"/>
      <c r="C45" s="437"/>
      <c r="D45" s="437"/>
      <c r="E45" s="437"/>
      <c r="F45" s="437"/>
      <c r="G45" s="437"/>
      <c r="H45" s="437"/>
      <c r="I45" s="438"/>
      <c r="J45" s="438"/>
      <c r="K45" s="438"/>
      <c r="L45" s="438"/>
      <c r="M45" s="438"/>
    </row>
    <row r="46" spans="1:13" ht="15" customHeight="1">
      <c r="A46" s="437"/>
      <c r="B46" s="437"/>
      <c r="C46" s="437"/>
      <c r="D46" s="437"/>
      <c r="E46" s="437"/>
      <c r="F46" s="437"/>
      <c r="G46" s="437"/>
      <c r="H46" s="437"/>
      <c r="I46" s="438"/>
      <c r="J46" s="438"/>
      <c r="K46" s="438"/>
      <c r="L46" s="438"/>
      <c r="M46" s="438"/>
    </row>
    <row r="47" spans="1:13" ht="15" customHeight="1">
      <c r="A47" s="437"/>
      <c r="B47" s="437"/>
      <c r="C47" s="437"/>
      <c r="D47" s="437"/>
      <c r="E47" s="437"/>
      <c r="F47" s="437"/>
      <c r="G47" s="437"/>
      <c r="H47" s="437"/>
      <c r="I47" s="438"/>
      <c r="J47" s="438"/>
      <c r="K47" s="438"/>
      <c r="L47" s="438"/>
      <c r="M47" s="438"/>
    </row>
    <row r="48" spans="1:13" ht="15" customHeight="1">
      <c r="A48" s="437"/>
      <c r="B48" s="437"/>
      <c r="C48" s="437"/>
      <c r="D48" s="437"/>
      <c r="E48" s="437"/>
      <c r="F48" s="437"/>
      <c r="G48" s="437"/>
      <c r="H48" s="437"/>
      <c r="I48" s="438"/>
      <c r="J48" s="438"/>
      <c r="K48" s="438"/>
      <c r="L48" s="438"/>
      <c r="M48" s="438"/>
    </row>
    <row r="49" spans="1:13" ht="15" customHeight="1">
      <c r="A49" s="437"/>
      <c r="B49" s="437"/>
      <c r="C49" s="437"/>
      <c r="D49" s="437"/>
      <c r="E49" s="437"/>
      <c r="F49" s="437"/>
      <c r="G49" s="437"/>
      <c r="H49" s="437"/>
      <c r="I49" s="438"/>
      <c r="J49" s="438"/>
      <c r="K49" s="438"/>
      <c r="L49" s="438"/>
      <c r="M49" s="438"/>
    </row>
    <row r="50" spans="1:13" ht="15" customHeight="1">
      <c r="A50" s="437"/>
      <c r="B50" s="437"/>
      <c r="C50" s="437"/>
      <c r="D50" s="437"/>
      <c r="E50" s="437"/>
      <c r="F50" s="437"/>
      <c r="G50" s="437"/>
      <c r="H50" s="437"/>
      <c r="I50" s="438"/>
      <c r="J50" s="438"/>
      <c r="K50" s="438"/>
      <c r="L50" s="438"/>
      <c r="M50" s="438"/>
    </row>
    <row r="51" spans="1:13" ht="15" customHeight="1">
      <c r="A51" s="437"/>
      <c r="B51" s="437"/>
      <c r="C51" s="437"/>
      <c r="D51" s="437"/>
      <c r="E51" s="437"/>
      <c r="F51" s="437"/>
      <c r="G51" s="437"/>
      <c r="H51" s="437"/>
      <c r="I51" s="438"/>
      <c r="J51" s="438"/>
      <c r="K51" s="438"/>
      <c r="L51" s="438"/>
      <c r="M51" s="438"/>
    </row>
    <row r="52" spans="1:13" ht="15" customHeight="1">
      <c r="A52" s="437"/>
      <c r="B52" s="437"/>
      <c r="C52" s="437"/>
      <c r="D52" s="437"/>
      <c r="E52" s="437"/>
      <c r="F52" s="437"/>
      <c r="G52" s="437"/>
      <c r="H52" s="437"/>
      <c r="I52" s="438"/>
      <c r="J52" s="438"/>
      <c r="K52" s="438"/>
      <c r="L52" s="438"/>
      <c r="M52" s="438"/>
    </row>
    <row r="53" spans="1:13" ht="15" customHeight="1">
      <c r="A53" s="437"/>
      <c r="B53" s="437"/>
      <c r="C53" s="437"/>
      <c r="D53" s="437"/>
      <c r="E53" s="437"/>
      <c r="F53" s="437"/>
      <c r="G53" s="437"/>
      <c r="H53" s="437"/>
      <c r="I53" s="438"/>
      <c r="J53" s="438"/>
      <c r="K53" s="438"/>
      <c r="L53" s="438"/>
      <c r="M53" s="438"/>
    </row>
    <row r="54" spans="1:13" ht="15" customHeight="1">
      <c r="A54" s="437"/>
      <c r="B54" s="437"/>
      <c r="C54" s="437"/>
      <c r="D54" s="437"/>
      <c r="E54" s="437"/>
      <c r="F54" s="437"/>
      <c r="G54" s="437"/>
      <c r="H54" s="437"/>
      <c r="I54" s="438"/>
      <c r="J54" s="438"/>
      <c r="K54" s="438"/>
      <c r="L54" s="438"/>
      <c r="M54" s="438"/>
    </row>
    <row r="55" spans="1:13" ht="15" customHeight="1">
      <c r="A55" s="437"/>
      <c r="B55" s="437"/>
      <c r="C55" s="437"/>
      <c r="D55" s="437"/>
      <c r="E55" s="437"/>
      <c r="F55" s="437"/>
      <c r="G55" s="437"/>
      <c r="H55" s="437"/>
      <c r="I55" s="438"/>
      <c r="J55" s="438"/>
      <c r="K55" s="438"/>
      <c r="L55" s="438"/>
      <c r="M55" s="438"/>
    </row>
    <row r="56" spans="1:13" ht="15" customHeight="1">
      <c r="A56" s="437"/>
      <c r="B56" s="437"/>
      <c r="C56" s="437"/>
      <c r="D56" s="437"/>
      <c r="E56" s="437"/>
      <c r="F56" s="437"/>
      <c r="G56" s="437"/>
      <c r="H56" s="437"/>
      <c r="I56" s="438"/>
      <c r="J56" s="438"/>
      <c r="K56" s="438"/>
      <c r="L56" s="438"/>
      <c r="M56" s="438"/>
    </row>
    <row r="57" spans="1:13" ht="15" customHeight="1">
      <c r="A57" s="437"/>
      <c r="B57" s="437"/>
      <c r="C57" s="437"/>
      <c r="D57" s="437"/>
      <c r="E57" s="437"/>
      <c r="F57" s="437"/>
      <c r="G57" s="437"/>
      <c r="H57" s="437"/>
      <c r="I57" s="438"/>
      <c r="J57" s="438"/>
      <c r="K57" s="438"/>
      <c r="L57" s="438"/>
      <c r="M57" s="438"/>
    </row>
    <row r="58" spans="1:13" ht="15" customHeight="1">
      <c r="A58" s="437"/>
      <c r="B58" s="437"/>
      <c r="C58" s="437"/>
      <c r="D58" s="437"/>
      <c r="E58" s="437"/>
      <c r="F58" s="437"/>
      <c r="G58" s="437"/>
      <c r="H58" s="437"/>
      <c r="I58" s="438"/>
      <c r="J58" s="438"/>
      <c r="K58" s="438"/>
      <c r="L58" s="438"/>
      <c r="M58" s="438"/>
    </row>
    <row r="59" spans="1:13" ht="15" customHeight="1">
      <c r="A59" s="437"/>
      <c r="B59" s="437"/>
      <c r="C59" s="437"/>
      <c r="D59" s="437"/>
      <c r="E59" s="437"/>
      <c r="F59" s="437"/>
      <c r="G59" s="437"/>
      <c r="H59" s="437"/>
      <c r="I59" s="438"/>
      <c r="J59" s="438"/>
      <c r="K59" s="438"/>
      <c r="L59" s="438"/>
      <c r="M59" s="438"/>
    </row>
    <row r="60" spans="1:13" ht="15" customHeight="1">
      <c r="A60" s="437"/>
      <c r="B60" s="437"/>
      <c r="C60" s="437"/>
      <c r="D60" s="437"/>
      <c r="E60" s="437"/>
      <c r="F60" s="437"/>
      <c r="G60" s="437"/>
      <c r="H60" s="437"/>
      <c r="I60" s="438"/>
      <c r="J60" s="438"/>
      <c r="K60" s="438"/>
      <c r="L60" s="438"/>
      <c r="M60" s="438"/>
    </row>
    <row r="61" spans="1:13" ht="15" customHeight="1">
      <c r="A61" s="437"/>
      <c r="B61" s="437"/>
      <c r="C61" s="437"/>
      <c r="D61" s="437"/>
      <c r="E61" s="437"/>
      <c r="F61" s="437"/>
      <c r="G61" s="437"/>
      <c r="H61" s="437"/>
      <c r="I61" s="438"/>
      <c r="J61" s="438"/>
      <c r="K61" s="438"/>
      <c r="L61" s="438"/>
      <c r="M61" s="438"/>
    </row>
    <row r="62" spans="1:13" ht="25.15" customHeight="1">
      <c r="A62" s="437"/>
      <c r="B62" s="437"/>
      <c r="C62" s="437"/>
      <c r="D62" s="437"/>
      <c r="E62" s="437"/>
      <c r="F62" s="437"/>
      <c r="G62" s="437"/>
      <c r="H62" s="437"/>
      <c r="I62" s="438"/>
      <c r="J62" s="438"/>
      <c r="K62" s="438"/>
      <c r="L62" s="438"/>
      <c r="M62" s="438"/>
    </row>
    <row r="63" spans="1:13" ht="25.15" customHeight="1">
      <c r="A63" s="437"/>
      <c r="B63" s="437"/>
      <c r="C63" s="437"/>
      <c r="D63" s="437"/>
      <c r="E63" s="437"/>
      <c r="F63" s="437"/>
      <c r="G63" s="437"/>
      <c r="H63" s="437"/>
      <c r="I63" s="438"/>
      <c r="J63" s="438"/>
      <c r="K63" s="438"/>
      <c r="L63" s="438"/>
      <c r="M63" s="438"/>
    </row>
    <row r="64" spans="1:13" ht="25.15" customHeight="1">
      <c r="A64" s="437"/>
      <c r="B64" s="437"/>
      <c r="C64" s="437"/>
      <c r="D64" s="437"/>
      <c r="E64" s="437"/>
      <c r="F64" s="437"/>
      <c r="G64" s="437"/>
      <c r="H64" s="437"/>
      <c r="I64" s="438"/>
      <c r="J64" s="438"/>
      <c r="K64" s="438"/>
      <c r="L64" s="438"/>
      <c r="M64" s="438"/>
    </row>
    <row r="65" spans="1:13" ht="25.15" customHeight="1">
      <c r="A65" s="437"/>
      <c r="B65" s="437"/>
      <c r="C65" s="437"/>
      <c r="D65" s="437"/>
      <c r="E65" s="437"/>
      <c r="F65" s="437"/>
      <c r="G65" s="437"/>
      <c r="H65" s="437"/>
      <c r="I65" s="438"/>
      <c r="J65" s="438"/>
      <c r="K65" s="438"/>
      <c r="L65" s="438"/>
      <c r="M65" s="438"/>
    </row>
    <row r="66" spans="1:13" ht="25.15" customHeight="1">
      <c r="A66" s="437"/>
      <c r="B66" s="437"/>
      <c r="C66" s="437"/>
      <c r="D66" s="437"/>
      <c r="E66" s="437"/>
      <c r="F66" s="437"/>
      <c r="G66" s="437"/>
      <c r="H66" s="437"/>
      <c r="I66" s="438"/>
      <c r="J66" s="438"/>
      <c r="K66" s="438"/>
      <c r="L66" s="438"/>
      <c r="M66" s="438"/>
    </row>
    <row r="67" spans="1:13" s="437" customFormat="1" ht="25.15" customHeight="1"/>
    <row r="68" spans="1:13" s="437" customFormat="1" ht="25.15" customHeight="1"/>
    <row r="69" spans="1:13" s="437" customFormat="1" ht="25.15" customHeight="1"/>
    <row r="70" spans="1:13" s="437" customFormat="1" ht="25.15" customHeight="1"/>
    <row r="71" spans="1:13" s="437" customFormat="1" ht="25.15" customHeight="1"/>
    <row r="72" spans="1:13" s="437" customFormat="1" ht="25.15" customHeight="1"/>
    <row r="73" spans="1:13" s="437" customFormat="1" ht="25.15" customHeight="1"/>
    <row r="74" spans="1:13" s="437" customFormat="1" ht="25.15" customHeight="1"/>
    <row r="75" spans="1:13" s="437" customFormat="1" ht="25.15" customHeight="1"/>
    <row r="76" spans="1:13" s="437" customFormat="1" ht="25.15" customHeight="1"/>
    <row r="77" spans="1:13" s="437" customFormat="1" ht="25.15" customHeight="1"/>
    <row r="78" spans="1:13" s="437" customFormat="1" ht="25.15" customHeight="1"/>
    <row r="79" spans="1:13" s="437" customFormat="1" ht="25.15" customHeight="1"/>
    <row r="80" spans="1:13" s="437" customFormat="1" ht="25.15" customHeight="1"/>
    <row r="81" s="437" customFormat="1" ht="25.15" customHeight="1"/>
    <row r="82" s="437" customFormat="1" ht="25.15" customHeight="1"/>
    <row r="83" s="437" customFormat="1" ht="25.15" customHeight="1"/>
    <row r="84" s="437" customFormat="1" ht="25.15" customHeight="1"/>
    <row r="85" s="437" customFormat="1" ht="25.15" customHeight="1"/>
    <row r="86" s="437" customFormat="1" ht="25.15" customHeight="1"/>
    <row r="87" s="437" customFormat="1" ht="25.15" customHeight="1"/>
    <row r="88" s="437" customFormat="1" ht="25.15" customHeight="1"/>
    <row r="89" s="437" customFormat="1" ht="25.15" customHeight="1"/>
    <row r="90" s="437" customFormat="1" ht="25.15" customHeight="1"/>
    <row r="91" s="437" customFormat="1" ht="25.15" customHeight="1"/>
    <row r="92" s="437" customFormat="1" ht="25.15" customHeight="1"/>
    <row r="93" s="437" customFormat="1" ht="25.15" customHeight="1"/>
    <row r="94" s="437" customFormat="1" ht="25.15" customHeight="1"/>
    <row r="95" s="437" customFormat="1" ht="25.15" customHeight="1"/>
    <row r="96" s="437" customFormat="1" ht="25.15" customHeight="1"/>
    <row r="97" s="437" customFormat="1" ht="25.15" customHeight="1"/>
    <row r="98" s="437" customFormat="1" ht="25.15" customHeight="1"/>
    <row r="99" s="437" customFormat="1" ht="25.15" customHeight="1"/>
    <row r="100" s="437" customFormat="1" ht="25.15" customHeight="1"/>
    <row r="101" s="437" customFormat="1" ht="25.15" customHeight="1"/>
    <row r="102" s="437" customFormat="1" ht="25.15" customHeight="1"/>
    <row r="103" s="437" customFormat="1" ht="25.15" customHeight="1"/>
    <row r="104" s="437" customFormat="1" ht="25.15" customHeight="1"/>
    <row r="105" s="437" customFormat="1" ht="25.15" customHeight="1"/>
    <row r="106" s="437" customFormat="1" ht="25.15" customHeight="1"/>
    <row r="107" s="437" customFormat="1" ht="25.15" customHeight="1"/>
    <row r="108" s="437" customFormat="1" ht="25.15" customHeight="1"/>
    <row r="109" s="437" customFormat="1" ht="25.15" customHeight="1"/>
    <row r="110" s="437" customFormat="1" ht="25.15" customHeight="1"/>
    <row r="111" s="437" customFormat="1" ht="25.15" customHeight="1"/>
    <row r="112" s="437" customFormat="1" ht="25.15" customHeight="1"/>
    <row r="113" s="437" customFormat="1" ht="25.15" customHeight="1"/>
    <row r="114" s="437" customFormat="1" ht="25.15" customHeight="1"/>
    <row r="115" s="437" customFormat="1" ht="25.15" customHeight="1"/>
    <row r="116" s="437" customFormat="1" ht="25.15" customHeight="1"/>
    <row r="117" s="437" customFormat="1" ht="25.15" customHeight="1"/>
    <row r="118" s="437" customFormat="1" ht="25.15" customHeight="1"/>
    <row r="119" s="437" customFormat="1" ht="25.15" customHeight="1"/>
    <row r="120" s="437" customFormat="1" ht="25.15" customHeight="1"/>
    <row r="121" s="437" customFormat="1" ht="25.15" customHeight="1"/>
    <row r="122" s="437" customFormat="1" ht="25.15" customHeight="1"/>
    <row r="123" s="437" customFormat="1" ht="25.15" customHeight="1"/>
    <row r="124" s="437" customFormat="1" ht="25.15" customHeight="1"/>
    <row r="125" s="437" customFormat="1" ht="25.15" customHeight="1"/>
    <row r="126" s="437" customFormat="1" ht="25.15" customHeight="1"/>
    <row r="127" s="437" customFormat="1" ht="25.15" customHeight="1"/>
    <row r="128" s="437" customFormat="1" ht="25.15" customHeight="1"/>
    <row r="129" s="437" customFormat="1" ht="25.15" customHeight="1"/>
    <row r="130" s="437" customFormat="1" ht="25.15" customHeight="1"/>
    <row r="131" s="437" customFormat="1" ht="25.15" customHeight="1"/>
    <row r="132" s="437" customFormat="1" ht="25.15" customHeight="1"/>
    <row r="133" s="437" customFormat="1" ht="25.15" customHeight="1"/>
    <row r="134" s="437" customFormat="1" ht="25.15" customHeight="1"/>
    <row r="135" s="437" customFormat="1" ht="25.15" customHeight="1"/>
    <row r="136" s="437" customFormat="1" ht="25.15" customHeight="1"/>
    <row r="137" s="437" customFormat="1" ht="25.15" customHeight="1"/>
    <row r="138" s="437" customFormat="1" ht="25.15" customHeight="1"/>
    <row r="139" s="437" customFormat="1" ht="25.15" customHeight="1"/>
    <row r="140" s="437" customFormat="1" ht="25.15" customHeight="1"/>
    <row r="141" s="437" customFormat="1" ht="25.15" customHeight="1"/>
    <row r="142" s="437" customFormat="1" ht="25.15" customHeight="1"/>
    <row r="143" s="437" customFormat="1" ht="25.15" customHeight="1"/>
    <row r="144" s="437" customFormat="1" ht="25.15" customHeight="1"/>
    <row r="145" s="437" customFormat="1" ht="25.15" customHeight="1"/>
    <row r="146" s="437" customFormat="1" ht="25.15" customHeight="1"/>
    <row r="147" s="437" customFormat="1" ht="25.15" customHeight="1"/>
    <row r="148" s="437" customFormat="1" ht="25.15" customHeight="1"/>
    <row r="149" s="437" customFormat="1" ht="25.15" customHeight="1"/>
    <row r="150" s="437" customFormat="1" ht="25.15" customHeight="1"/>
    <row r="151" s="437" customFormat="1" ht="25.15" customHeight="1"/>
    <row r="152" s="437" customFormat="1" ht="25.15" customHeight="1"/>
    <row r="153" s="437" customFormat="1" ht="25.15" customHeight="1"/>
    <row r="154" s="437" customFormat="1" ht="25.15" customHeight="1"/>
    <row r="155" s="437" customFormat="1" ht="25.15" customHeight="1"/>
    <row r="156" s="437" customFormat="1" ht="25.15" customHeight="1"/>
    <row r="157" s="437" customFormat="1" ht="25.15" customHeight="1"/>
    <row r="158" s="437" customFormat="1" ht="25.15" customHeight="1"/>
    <row r="159" s="437" customFormat="1" ht="25.15" customHeight="1"/>
    <row r="160" s="437" customFormat="1" ht="25.15" customHeight="1"/>
    <row r="161" s="437" customFormat="1" ht="25.15" customHeight="1"/>
    <row r="162" s="437" customFormat="1" ht="25.15" customHeight="1"/>
    <row r="163" s="437" customFormat="1" ht="25.15" customHeight="1"/>
    <row r="164" s="437" customFormat="1" ht="25.15" customHeight="1"/>
    <row r="165" s="437" customFormat="1" ht="25.15" customHeight="1"/>
    <row r="166" s="437" customFormat="1" ht="25.15" customHeight="1"/>
    <row r="167" s="437" customFormat="1" ht="25.15" customHeight="1"/>
    <row r="168" s="437" customFormat="1" ht="25.15" customHeight="1"/>
    <row r="169" s="437" customFormat="1" ht="25.15" customHeight="1"/>
    <row r="170" s="437" customFormat="1" ht="25.15" customHeight="1"/>
    <row r="171" s="437" customFormat="1" ht="25.15" customHeight="1"/>
    <row r="172" s="437" customFormat="1" ht="25.15" customHeight="1"/>
    <row r="173" s="437" customFormat="1" ht="25.15" customHeight="1"/>
    <row r="174" s="437" customFormat="1" ht="25.15" customHeight="1"/>
    <row r="175" s="437" customFormat="1" ht="25.15" customHeight="1"/>
    <row r="176" s="437" customFormat="1" ht="25.15" customHeight="1"/>
    <row r="177" s="437" customFormat="1" ht="25.15" customHeight="1"/>
    <row r="178" s="437" customFormat="1" ht="25.15" customHeight="1"/>
    <row r="179" s="437" customFormat="1" ht="25.15" customHeight="1"/>
    <row r="180" s="437" customFormat="1" ht="25.15" customHeight="1"/>
    <row r="181" s="437" customFormat="1" ht="25.15" customHeight="1"/>
    <row r="182" s="437" customFormat="1" ht="25.15" customHeight="1"/>
    <row r="183" s="437" customFormat="1" ht="25.15" customHeight="1"/>
    <row r="184" s="437" customFormat="1" ht="25.15" customHeight="1"/>
    <row r="185" s="437" customFormat="1" ht="25.15" customHeight="1"/>
    <row r="186" s="437" customFormat="1" ht="25.15" customHeight="1"/>
    <row r="187" s="437" customFormat="1" ht="25.15" customHeight="1"/>
    <row r="188" s="437" customFormat="1" ht="25.15" customHeight="1"/>
    <row r="189" s="437" customFormat="1" ht="25.15" customHeight="1"/>
    <row r="190" s="437" customFormat="1" ht="25.15" customHeight="1"/>
    <row r="191" s="437" customFormat="1" ht="25.15" customHeight="1"/>
    <row r="192" s="437" customFormat="1" ht="25.15" customHeight="1"/>
    <row r="193" s="437" customFormat="1" ht="25.15" customHeight="1"/>
    <row r="194" s="437" customFormat="1" ht="25.15" customHeight="1"/>
    <row r="195" s="437" customFormat="1" ht="25.15" customHeight="1"/>
    <row r="196" s="437" customFormat="1" ht="25.15" customHeight="1"/>
    <row r="197" s="437" customFormat="1" ht="25.15" customHeight="1"/>
    <row r="198" s="437" customFormat="1" ht="25.15" customHeight="1"/>
    <row r="199" s="437" customFormat="1" ht="25.15" customHeight="1"/>
    <row r="200" s="437" customFormat="1" ht="25.15" customHeight="1"/>
    <row r="201" s="437" customFormat="1" ht="25.15" customHeight="1"/>
    <row r="202" s="437" customFormat="1" ht="25.15" customHeight="1"/>
    <row r="203" s="437" customFormat="1" ht="25.15" customHeight="1"/>
    <row r="204" s="437" customFormat="1" ht="25.15" customHeight="1"/>
    <row r="205" s="437" customFormat="1" ht="25.15" customHeight="1"/>
    <row r="206" s="437" customFormat="1" ht="25.15" customHeight="1"/>
    <row r="207" s="437" customFormat="1" ht="25.15" customHeight="1"/>
    <row r="208" s="437" customFormat="1" ht="25.15" customHeight="1"/>
    <row r="209" s="437" customFormat="1" ht="25.15" customHeight="1"/>
    <row r="210" s="437" customFormat="1" ht="25.15" customHeight="1"/>
    <row r="211" s="437" customFormat="1" ht="25.15" customHeight="1"/>
    <row r="212" s="437" customFormat="1" ht="25.15" customHeight="1"/>
    <row r="213" s="437" customFormat="1" ht="25.15" customHeight="1"/>
    <row r="214" s="437" customFormat="1" ht="25.15" customHeight="1"/>
    <row r="215" s="437" customFormat="1" ht="25.15" customHeight="1"/>
    <row r="216" s="437" customFormat="1" ht="25.15" customHeight="1"/>
    <row r="217" s="437" customFormat="1" ht="25.15" customHeight="1"/>
    <row r="218" s="437" customFormat="1" ht="25.15" customHeight="1"/>
    <row r="219" s="437" customFormat="1" ht="25.15" customHeight="1"/>
    <row r="220" s="437" customFormat="1" ht="25.15" customHeight="1"/>
    <row r="221" s="437" customFormat="1" ht="25.15" customHeight="1"/>
    <row r="222" s="437" customFormat="1" ht="25.15" customHeight="1"/>
    <row r="223" s="437" customFormat="1" ht="25.15" customHeight="1"/>
    <row r="224" s="437" customFormat="1" ht="25.15" customHeight="1"/>
    <row r="225" s="437" customFormat="1" ht="25.15" customHeight="1"/>
    <row r="226" s="437" customFormat="1" ht="25.15" customHeight="1"/>
    <row r="227" s="437" customFormat="1" ht="25.15" customHeight="1"/>
    <row r="228" s="437" customFormat="1" ht="25.15" customHeight="1"/>
    <row r="229" s="437" customFormat="1" ht="25.15" customHeight="1"/>
    <row r="230" s="437" customFormat="1" ht="25.15" customHeight="1"/>
    <row r="231" s="437" customFormat="1" ht="25.15" customHeight="1"/>
    <row r="232" s="437" customFormat="1" ht="25.15" customHeight="1"/>
    <row r="233" s="437" customFormat="1" ht="25.15" customHeight="1"/>
    <row r="234" s="437" customFormat="1" ht="25.15" customHeight="1"/>
    <row r="235" s="437" customFormat="1" ht="25.15" customHeight="1"/>
    <row r="236" s="437" customFormat="1" ht="25.15" customHeight="1"/>
    <row r="237" s="437" customFormat="1" ht="25.15" customHeight="1"/>
    <row r="238" s="437" customFormat="1" ht="25.15" customHeight="1"/>
    <row r="239" s="437" customFormat="1" ht="25.15" customHeight="1"/>
    <row r="240" s="437" customFormat="1" ht="25.15" customHeight="1"/>
    <row r="241" s="437" customFormat="1" ht="25.15" customHeight="1"/>
    <row r="242" s="437" customFormat="1" ht="25.15" customHeight="1"/>
    <row r="243" s="437" customFormat="1" ht="25.15" customHeight="1"/>
    <row r="244" s="437" customFormat="1" ht="25.15" customHeight="1"/>
    <row r="245" s="437" customFormat="1" ht="25.15" customHeight="1"/>
    <row r="246" s="437" customFormat="1" ht="25.15" customHeight="1"/>
    <row r="247" s="437" customFormat="1" ht="25.15" customHeight="1"/>
    <row r="248" s="437" customFormat="1" ht="25.15" customHeight="1"/>
    <row r="249" s="437" customFormat="1" ht="25.15" customHeight="1"/>
    <row r="250" s="437" customFormat="1" ht="25.15" customHeight="1"/>
    <row r="251" s="437" customFormat="1" ht="25.15" customHeight="1"/>
    <row r="252" s="437" customFormat="1" ht="25.15" customHeight="1"/>
    <row r="253" s="437" customFormat="1" ht="25.15" customHeight="1"/>
    <row r="254" s="437" customFormat="1" ht="25.15" customHeight="1"/>
    <row r="255" s="437" customFormat="1" ht="25.15" customHeight="1"/>
    <row r="256" s="437" customFormat="1" ht="25.15" customHeight="1"/>
    <row r="257" s="437" customFormat="1" ht="25.15" customHeight="1"/>
    <row r="258" s="437" customFormat="1" ht="25.15" customHeight="1"/>
    <row r="259" s="437" customFormat="1" ht="25.15" customHeight="1"/>
    <row r="260" s="437" customFormat="1" ht="25.15" customHeight="1"/>
    <row r="261" s="437" customFormat="1" ht="25.15" customHeight="1"/>
    <row r="262" s="437" customFormat="1" ht="25.15" customHeight="1"/>
    <row r="263" s="437" customFormat="1" ht="25.15" customHeight="1"/>
    <row r="264" s="437" customFormat="1" ht="25.15" customHeight="1"/>
    <row r="265" s="437" customFormat="1" ht="25.15" customHeight="1"/>
    <row r="266" s="437" customFormat="1" ht="25.15" customHeight="1"/>
    <row r="267" s="437" customFormat="1" ht="25.15" customHeight="1"/>
    <row r="268" s="437" customFormat="1" ht="25.15" customHeight="1"/>
    <row r="269" s="437" customFormat="1" ht="25.15" customHeight="1"/>
    <row r="270" s="437" customFormat="1" ht="25.15" customHeight="1"/>
    <row r="271" s="437" customFormat="1" ht="25.15" customHeight="1"/>
    <row r="272" s="437" customFormat="1" ht="25.15" customHeight="1"/>
    <row r="273" s="437" customFormat="1" ht="25.15" customHeight="1"/>
    <row r="274" s="437" customFormat="1" ht="25.15" customHeight="1"/>
    <row r="275" s="437" customFormat="1" ht="25.15" customHeight="1"/>
    <row r="276" s="437" customFormat="1" ht="25.15" customHeight="1"/>
    <row r="277" s="437" customFormat="1" ht="25.15" customHeight="1"/>
    <row r="278" s="437" customFormat="1" ht="25.15" customHeight="1"/>
    <row r="279" s="437" customFormat="1" ht="25.15" customHeight="1"/>
    <row r="280" s="437" customFormat="1" ht="25.15" customHeight="1"/>
    <row r="281" s="437" customFormat="1" ht="25.15" customHeight="1"/>
    <row r="282" s="437" customFormat="1" ht="25.15" customHeight="1"/>
    <row r="283" s="437" customFormat="1" ht="25.15" customHeight="1"/>
    <row r="284" s="437" customFormat="1" ht="25.15" customHeight="1"/>
    <row r="285" s="437" customFormat="1" ht="25.15" customHeight="1"/>
    <row r="286" s="437" customFormat="1" ht="25.15" customHeight="1"/>
    <row r="287" s="437" customFormat="1" ht="25.15" customHeight="1"/>
    <row r="288" s="437" customFormat="1" ht="25.15" customHeight="1"/>
    <row r="289" s="437" customFormat="1" ht="25.15" customHeight="1"/>
    <row r="290" s="437" customFormat="1" ht="25.15" customHeight="1"/>
    <row r="291" s="437" customFormat="1" ht="25.15" customHeight="1"/>
    <row r="292" s="437" customFormat="1" ht="25.15" customHeight="1"/>
    <row r="293" s="437" customFormat="1" ht="25.15" customHeight="1"/>
    <row r="294" s="437" customFormat="1" ht="25.15" customHeight="1"/>
    <row r="295" s="437" customFormat="1" ht="25.15" customHeight="1"/>
    <row r="296" s="437" customFormat="1" ht="25.15" customHeight="1"/>
    <row r="297" s="437" customFormat="1" ht="25.15" customHeight="1"/>
    <row r="298" s="437" customFormat="1" ht="25.15" customHeight="1"/>
    <row r="299" s="437" customFormat="1" ht="25.15" customHeight="1"/>
    <row r="300" s="437" customFormat="1" ht="25.15" customHeight="1"/>
    <row r="301" s="437" customFormat="1" ht="25.15" customHeight="1"/>
    <row r="302" s="437" customFormat="1" ht="25.15" customHeight="1"/>
    <row r="303" s="437" customFormat="1" ht="25.15" customHeight="1"/>
    <row r="304" s="437" customFormat="1" ht="25.15" customHeight="1"/>
    <row r="305" s="437" customFormat="1" ht="25.15" customHeight="1"/>
    <row r="306" s="437" customFormat="1" ht="25.15" customHeight="1"/>
    <row r="307" s="437" customFormat="1" ht="25.15" customHeight="1"/>
    <row r="308" s="437" customFormat="1" ht="25.15" customHeight="1"/>
    <row r="309" s="437" customFormat="1" ht="25.15" customHeight="1"/>
    <row r="310" s="437" customFormat="1" ht="25.15" customHeight="1"/>
    <row r="311" s="437" customFormat="1" ht="25.15" customHeight="1"/>
    <row r="312" s="437" customFormat="1" ht="25.15" customHeight="1"/>
    <row r="313" s="437" customFormat="1" ht="25.15" customHeight="1"/>
    <row r="314" s="437" customFormat="1" ht="25.15" customHeight="1"/>
    <row r="315" s="437" customFormat="1" ht="25.15" customHeight="1"/>
    <row r="316" s="437" customFormat="1" ht="25.15" customHeight="1"/>
    <row r="317" s="437" customFormat="1" ht="25.15" customHeight="1"/>
    <row r="318" s="437" customFormat="1" ht="25.15" customHeight="1"/>
    <row r="319" s="437" customFormat="1" ht="25.15" customHeight="1"/>
    <row r="320" s="437" customFormat="1" ht="25.15" customHeight="1"/>
    <row r="321" s="437" customFormat="1" ht="25.15" customHeight="1"/>
    <row r="322" s="437" customFormat="1" ht="25.15" customHeight="1"/>
    <row r="323" s="437" customFormat="1" ht="25.15" customHeight="1"/>
    <row r="324" s="437" customFormat="1" ht="25.15" customHeight="1"/>
    <row r="325" s="437" customFormat="1" ht="25.15" customHeight="1"/>
    <row r="326" s="437" customFormat="1" ht="25.15" customHeight="1"/>
    <row r="327" s="437" customFormat="1" ht="25.15" customHeight="1"/>
    <row r="328" s="437" customFormat="1" ht="25.15" customHeight="1"/>
    <row r="329" s="437" customFormat="1" ht="25.15" customHeight="1"/>
    <row r="330" s="437" customFormat="1" ht="25.15" customHeight="1"/>
    <row r="331" s="437" customFormat="1" ht="25.15" customHeight="1"/>
    <row r="332" s="437" customFormat="1" ht="25.15" customHeight="1"/>
    <row r="333" s="437" customFormat="1" ht="25.15" customHeight="1"/>
    <row r="334" s="437" customFormat="1" ht="25.15" customHeight="1"/>
    <row r="335" s="437" customFormat="1" ht="25.15" customHeight="1"/>
    <row r="336" s="437" customFormat="1" ht="25.15" customHeight="1"/>
    <row r="337" s="437" customFormat="1" ht="25.15" customHeight="1"/>
    <row r="338" s="437" customFormat="1" ht="25.15" customHeight="1"/>
    <row r="339" s="437" customFormat="1" ht="25.15" customHeight="1"/>
    <row r="340" s="437" customFormat="1" ht="25.15" customHeight="1"/>
    <row r="341" s="437" customFormat="1" ht="25.15" customHeight="1"/>
    <row r="342" s="437" customFormat="1" ht="25.15" customHeight="1"/>
    <row r="343" s="437" customFormat="1" ht="25.15" customHeight="1"/>
    <row r="344" s="437" customFormat="1" ht="25.15" customHeight="1"/>
    <row r="345" s="437" customFormat="1" ht="25.15" customHeight="1"/>
    <row r="346" s="437" customFormat="1" ht="25.15" customHeight="1"/>
    <row r="347" s="437" customFormat="1" ht="25.15" customHeight="1"/>
    <row r="348" s="437" customFormat="1" ht="25.15" customHeight="1"/>
    <row r="349" s="437" customFormat="1" ht="25.15" customHeight="1"/>
    <row r="350" s="437" customFormat="1" ht="25.15" customHeight="1"/>
    <row r="351" s="437" customFormat="1" ht="25.15" customHeight="1"/>
    <row r="352" s="437" customFormat="1" ht="25.15" customHeight="1"/>
    <row r="353" s="437" customFormat="1" ht="25.15" customHeight="1"/>
    <row r="354" s="437" customFormat="1" ht="25.15" customHeight="1"/>
    <row r="355" s="437" customFormat="1" ht="25.15" customHeight="1"/>
    <row r="356" s="437" customFormat="1" ht="25.15" customHeight="1"/>
    <row r="357" s="437" customFormat="1" ht="25.15" customHeight="1"/>
    <row r="358" s="437" customFormat="1" ht="25.15" customHeight="1"/>
    <row r="359" s="437" customFormat="1" ht="25.15" customHeight="1"/>
    <row r="360" s="437" customFormat="1" ht="25.15" customHeight="1"/>
    <row r="361" s="437" customFormat="1" ht="25.15" customHeight="1"/>
    <row r="362" s="437" customFormat="1" ht="25.15" customHeight="1"/>
    <row r="363" s="437" customFormat="1" ht="25.15" customHeight="1"/>
    <row r="364" s="437" customFormat="1" ht="25.15" customHeight="1"/>
    <row r="365" s="437" customFormat="1" ht="25.15" customHeight="1"/>
    <row r="366" s="437" customFormat="1" ht="25.15" customHeight="1"/>
    <row r="367" s="437" customFormat="1" ht="25.15" customHeight="1"/>
    <row r="368" s="437" customFormat="1" ht="25.15" customHeight="1"/>
    <row r="369" s="437" customFormat="1" ht="25.15" customHeight="1"/>
    <row r="370" s="437" customFormat="1" ht="25.15" customHeight="1"/>
    <row r="371" s="437" customFormat="1" ht="25.15" customHeight="1"/>
    <row r="372" s="437" customFormat="1" ht="25.15" customHeight="1"/>
    <row r="373" s="437" customFormat="1" ht="25.15" customHeight="1"/>
    <row r="374" s="437" customFormat="1" ht="25.15" customHeight="1"/>
    <row r="375" s="437" customFormat="1" ht="25.15" customHeight="1"/>
    <row r="376" s="437" customFormat="1" ht="25.15" customHeight="1"/>
    <row r="377" s="437" customFormat="1" ht="25.15" customHeight="1"/>
    <row r="378" s="437" customFormat="1" ht="25.15" customHeight="1"/>
    <row r="379" s="437" customFormat="1" ht="25.15" customHeight="1"/>
    <row r="380" s="437" customFormat="1" ht="25.15" customHeight="1"/>
    <row r="381" s="437" customFormat="1" ht="25.15" customHeight="1"/>
    <row r="382" s="437" customFormat="1" ht="25.15" customHeight="1"/>
    <row r="383" s="437" customFormat="1" ht="25.15" customHeight="1"/>
    <row r="384" s="437" customFormat="1" ht="25.15" customHeight="1"/>
    <row r="385" s="437" customFormat="1" ht="25.15" customHeight="1"/>
    <row r="386" s="437" customFormat="1" ht="25.15" customHeight="1"/>
    <row r="387" s="437" customFormat="1" ht="25.15" customHeight="1"/>
    <row r="388" s="437" customFormat="1" ht="25.15" customHeight="1"/>
    <row r="389" s="437" customFormat="1" ht="25.15" customHeight="1"/>
    <row r="390" s="437" customFormat="1" ht="25.15" customHeight="1"/>
    <row r="391" s="437" customFormat="1" ht="25.15" customHeight="1"/>
    <row r="392" s="437" customFormat="1" ht="25.15" customHeight="1"/>
    <row r="393" s="437" customFormat="1" ht="25.15" customHeight="1"/>
    <row r="394" s="437" customFormat="1" ht="25.15" customHeight="1"/>
    <row r="395" s="437" customFormat="1" ht="25.15" customHeight="1"/>
    <row r="396" s="437" customFormat="1" ht="25.15" customHeight="1"/>
    <row r="397" s="437" customFormat="1" ht="25.15" customHeight="1"/>
    <row r="398" s="437" customFormat="1" ht="25.15" customHeight="1"/>
    <row r="399" s="437" customFormat="1" ht="25.15" customHeight="1"/>
    <row r="400" s="437" customFormat="1" ht="25.15" customHeight="1"/>
    <row r="401" s="437" customFormat="1" ht="25.15" customHeight="1"/>
    <row r="402" s="437" customFormat="1" ht="25.15" customHeight="1"/>
    <row r="403" s="437" customFormat="1" ht="25.15" customHeight="1"/>
    <row r="404" s="437" customFormat="1" ht="25.15" customHeight="1"/>
    <row r="405" s="437" customFormat="1" ht="25.15" customHeight="1"/>
    <row r="406" s="437" customFormat="1" ht="25.15" customHeight="1"/>
    <row r="407" s="437" customFormat="1" ht="25.15" customHeight="1"/>
    <row r="408" s="437" customFormat="1" ht="25.15" customHeight="1"/>
    <row r="409" s="437" customFormat="1" ht="25.15" customHeight="1"/>
    <row r="410" s="437" customFormat="1" ht="25.15" customHeight="1"/>
    <row r="411" s="437" customFormat="1" ht="25.15" customHeight="1"/>
    <row r="412" s="437" customFormat="1" ht="25.15" customHeight="1"/>
    <row r="413" s="437" customFormat="1" ht="25.15" customHeight="1"/>
    <row r="414" s="437" customFormat="1" ht="25.15" customHeight="1"/>
    <row r="415" s="437" customFormat="1" ht="25.15" customHeight="1"/>
    <row r="416" s="437" customFormat="1" ht="25.15" customHeight="1"/>
    <row r="417" s="437" customFormat="1" ht="25.15" customHeight="1"/>
    <row r="418" s="437" customFormat="1" ht="25.15" customHeight="1"/>
    <row r="419" s="437" customFormat="1" ht="25.15" customHeight="1"/>
    <row r="420" s="437" customFormat="1" ht="25.15" customHeight="1"/>
    <row r="421" s="437" customFormat="1" ht="25.15" customHeight="1"/>
    <row r="422" s="437" customFormat="1" ht="25.15" customHeight="1"/>
    <row r="423" s="437" customFormat="1" ht="25.15" customHeight="1"/>
    <row r="424" s="437" customFormat="1" ht="25.15" customHeight="1"/>
    <row r="425" s="437" customFormat="1" ht="25.15" customHeight="1"/>
    <row r="426" s="437" customFormat="1" ht="25.15" customHeight="1"/>
    <row r="427" s="437" customFormat="1" ht="25.15" customHeight="1"/>
    <row r="428" s="437" customFormat="1" ht="25.15" customHeight="1"/>
    <row r="429" s="437" customFormat="1" ht="25.15" customHeight="1"/>
    <row r="430" s="437" customFormat="1" ht="25.15" customHeight="1"/>
    <row r="431" s="437" customFormat="1" ht="25.15" customHeight="1"/>
    <row r="432" s="437" customFormat="1" ht="25.15" customHeight="1"/>
    <row r="433" s="437" customFormat="1" ht="25.15" customHeight="1"/>
    <row r="434" s="437" customFormat="1" ht="25.15" customHeight="1"/>
    <row r="435" s="437" customFormat="1" ht="25.15" customHeight="1"/>
    <row r="436" s="437" customFormat="1" ht="25.15" customHeight="1"/>
    <row r="437" s="437" customFormat="1" ht="25.15" customHeight="1"/>
    <row r="438" s="437" customFormat="1" ht="25.15" customHeight="1"/>
    <row r="439" s="437" customFormat="1" ht="25.15" customHeight="1"/>
    <row r="440" s="437" customFormat="1" ht="25.15" customHeight="1"/>
    <row r="441" s="437" customFormat="1" ht="25.15" customHeight="1"/>
    <row r="442" s="437" customFormat="1" ht="25.15" customHeight="1"/>
    <row r="443" s="437" customFormat="1" ht="25.15" customHeight="1"/>
    <row r="444" s="437" customFormat="1" ht="25.15" customHeight="1"/>
    <row r="445" s="437" customFormat="1" ht="25.15" customHeight="1"/>
    <row r="446" s="437" customFormat="1" ht="25.15" customHeight="1"/>
    <row r="447" s="437" customFormat="1" ht="25.15" customHeight="1"/>
    <row r="448" s="437" customFormat="1" ht="25.15" customHeight="1"/>
    <row r="449" s="437" customFormat="1" ht="25.15" customHeight="1"/>
    <row r="450" s="437" customFormat="1" ht="25.15" customHeight="1"/>
    <row r="451" s="437" customFormat="1" ht="25.15" customHeight="1"/>
    <row r="452" s="437" customFormat="1" ht="25.15" customHeight="1"/>
    <row r="453" s="437" customFormat="1" ht="25.15" customHeight="1"/>
    <row r="454" s="437" customFormat="1" ht="25.15" customHeight="1"/>
    <row r="455" s="437" customFormat="1" ht="25.15" customHeight="1"/>
    <row r="456" s="437" customFormat="1" ht="25.15" customHeight="1"/>
    <row r="457" s="437" customFormat="1" ht="25.15" customHeight="1"/>
    <row r="458" s="437" customFormat="1" ht="25.15" customHeight="1"/>
    <row r="459" s="437" customFormat="1" ht="25.15" customHeight="1"/>
    <row r="460" s="437" customFormat="1" ht="25.15" customHeight="1"/>
    <row r="461" s="437" customFormat="1" ht="25.15" customHeight="1"/>
    <row r="462" s="437" customFormat="1" ht="25.15" customHeight="1"/>
    <row r="463" s="437" customFormat="1" ht="25.15" customHeight="1"/>
    <row r="464" s="437" customFormat="1" ht="25.15" customHeight="1"/>
    <row r="465" s="437" customFormat="1" ht="25.15" customHeight="1"/>
    <row r="466" s="437" customFormat="1" ht="25.15" customHeight="1"/>
    <row r="467" s="437" customFormat="1" ht="25.15" customHeight="1"/>
    <row r="468" s="437" customFormat="1" ht="25.15" customHeight="1"/>
    <row r="469" s="437" customFormat="1" ht="25.15" customHeight="1"/>
    <row r="470" s="437" customFormat="1" ht="25.15" customHeight="1"/>
    <row r="471" s="437" customFormat="1" ht="25.15" customHeight="1"/>
    <row r="472" s="437" customFormat="1" ht="25.15" customHeight="1"/>
    <row r="473" s="437" customFormat="1" ht="25.15" customHeight="1"/>
    <row r="474" s="437" customFormat="1" ht="25.15" customHeight="1"/>
    <row r="475" s="437" customFormat="1" ht="25.15" customHeight="1"/>
    <row r="476" s="437" customFormat="1" ht="25.15" customHeight="1"/>
    <row r="477" s="437" customFormat="1" ht="25.15" customHeight="1"/>
    <row r="478" s="437" customFormat="1" ht="25.15" customHeight="1"/>
    <row r="479" s="437" customFormat="1" ht="25.15" customHeight="1"/>
    <row r="480" s="437" customFormat="1" ht="25.15" customHeight="1"/>
    <row r="481" s="437" customFormat="1" ht="25.15" customHeight="1"/>
    <row r="482" s="437" customFormat="1" ht="25.15" customHeight="1"/>
    <row r="483" s="437" customFormat="1" ht="25.15" customHeight="1"/>
    <row r="484" s="437" customFormat="1" ht="25.15" customHeight="1"/>
    <row r="485" s="437" customFormat="1" ht="25.15" customHeight="1"/>
    <row r="486" s="437" customFormat="1" ht="25.15" customHeight="1"/>
    <row r="487" s="437" customFormat="1" ht="25.15" customHeight="1"/>
    <row r="488" s="437" customFormat="1" ht="25.15" customHeight="1"/>
    <row r="489" s="437" customFormat="1" ht="25.15" customHeight="1"/>
    <row r="490" s="437" customFormat="1" ht="25.15" customHeight="1"/>
    <row r="491" s="437" customFormat="1" ht="25.15" customHeight="1"/>
    <row r="492" s="437" customFormat="1" ht="25.15" customHeight="1"/>
    <row r="493" s="437" customFormat="1" ht="25.15" customHeight="1"/>
    <row r="494" s="437" customFormat="1" ht="25.15" customHeight="1"/>
    <row r="495" s="437" customFormat="1" ht="25.15" customHeight="1"/>
    <row r="496" s="437" customFormat="1" ht="25.15" customHeight="1"/>
    <row r="497" s="437" customFormat="1" ht="25.15" customHeight="1"/>
    <row r="498" s="437" customFormat="1" ht="25.15" customHeight="1"/>
    <row r="499" s="437" customFormat="1" ht="25.15" customHeight="1"/>
    <row r="500" s="437" customFormat="1" ht="25.15" customHeight="1"/>
    <row r="501" s="437" customFormat="1" ht="25.15" customHeight="1"/>
    <row r="502" s="437" customFormat="1" ht="25.15" customHeight="1"/>
    <row r="503" s="437" customFormat="1" ht="25.15" customHeight="1"/>
    <row r="504" s="437" customFormat="1" ht="25.15" customHeight="1"/>
    <row r="505" s="437" customFormat="1" ht="25.15" customHeight="1"/>
    <row r="506" s="437" customFormat="1" ht="25.15" customHeight="1"/>
    <row r="507" s="437" customFormat="1" ht="25.15" customHeight="1"/>
    <row r="508" s="437" customFormat="1" ht="25.15" customHeight="1"/>
    <row r="509" s="437" customFormat="1" ht="25.15" customHeight="1"/>
    <row r="510" s="437" customFormat="1" ht="25.15" customHeight="1"/>
    <row r="511" s="437" customFormat="1" ht="25.15" customHeight="1"/>
    <row r="512" s="437" customFormat="1" ht="25.15" customHeight="1"/>
    <row r="513" s="437" customFormat="1" ht="25.15" customHeight="1"/>
    <row r="514" s="437" customFormat="1" ht="25.15" customHeight="1"/>
    <row r="515" s="437" customFormat="1" ht="25.15" customHeight="1"/>
    <row r="516" s="437" customFormat="1" ht="25.15" customHeight="1"/>
    <row r="517" s="437" customFormat="1" ht="25.15" customHeight="1"/>
    <row r="518" s="437" customFormat="1" ht="25.15" customHeight="1"/>
    <row r="519" s="437" customFormat="1" ht="25.15" customHeight="1"/>
    <row r="520" s="437" customFormat="1" ht="25.15" customHeight="1"/>
    <row r="521" s="437" customFormat="1" ht="25.15" customHeight="1"/>
    <row r="522" s="437" customFormat="1" ht="25.15" customHeight="1"/>
    <row r="523" s="437" customFormat="1" ht="25.15" customHeight="1"/>
    <row r="524" s="437" customFormat="1" ht="25.15" customHeight="1"/>
    <row r="525" s="437" customFormat="1" ht="25.15" customHeight="1"/>
    <row r="526" s="437" customFormat="1" ht="25.15" customHeight="1"/>
    <row r="527" s="437" customFormat="1" ht="25.15" customHeight="1"/>
    <row r="528" s="437" customFormat="1" ht="25.15" customHeight="1"/>
    <row r="529" s="437" customFormat="1" ht="25.15" customHeight="1"/>
    <row r="530" s="437" customFormat="1" ht="25.15" customHeight="1"/>
    <row r="531" s="437" customFormat="1" ht="25.15" customHeight="1"/>
    <row r="532" s="437" customFormat="1" ht="25.15" customHeight="1"/>
    <row r="533" s="437" customFormat="1" ht="25.15" customHeight="1"/>
    <row r="534" s="437" customFormat="1" ht="25.15" customHeight="1"/>
    <row r="535" s="437" customFormat="1" ht="25.15" customHeight="1"/>
    <row r="536" s="437" customFormat="1" ht="25.15" customHeight="1"/>
    <row r="537" s="437" customFormat="1" ht="25.15" customHeight="1"/>
    <row r="538" s="437" customFormat="1" ht="25.15" customHeight="1"/>
    <row r="539" s="437" customFormat="1" ht="25.15" customHeight="1"/>
    <row r="540" s="437" customFormat="1" ht="25.15" customHeight="1"/>
    <row r="541" s="437" customFormat="1" ht="25.15" customHeight="1"/>
    <row r="542" s="437" customFormat="1" ht="25.15" customHeight="1"/>
    <row r="543" s="437" customFormat="1" ht="25.15" customHeight="1"/>
    <row r="544" s="437" customFormat="1" ht="25.15" customHeight="1"/>
    <row r="545" s="437" customFormat="1" ht="25.15" customHeight="1"/>
    <row r="546" s="437" customFormat="1" ht="25.15" customHeight="1"/>
    <row r="547" s="437" customFormat="1" ht="25.15" customHeight="1"/>
    <row r="548" s="437" customFormat="1" ht="25.15" customHeight="1"/>
    <row r="549" s="437" customFormat="1" ht="25.15" customHeight="1"/>
    <row r="550" s="437" customFormat="1" ht="25.15" customHeight="1"/>
    <row r="551" s="437" customFormat="1" ht="25.15" customHeight="1"/>
    <row r="552" s="437" customFormat="1" ht="25.15" customHeight="1"/>
    <row r="553" s="437" customFormat="1" ht="25.15" customHeight="1"/>
    <row r="554" s="437" customFormat="1" ht="25.15" customHeight="1"/>
    <row r="555" s="437" customFormat="1" ht="25.15" customHeight="1"/>
    <row r="556" s="437" customFormat="1" ht="25.15" customHeight="1"/>
    <row r="557" s="437" customFormat="1" ht="25.15" customHeight="1"/>
    <row r="558" s="437" customFormat="1" ht="25.15" customHeight="1"/>
    <row r="559" s="437" customFormat="1" ht="25.15" customHeight="1"/>
    <row r="560" s="437" customFormat="1" ht="25.15" customHeight="1"/>
    <row r="561" s="437" customFormat="1" ht="25.15" customHeight="1"/>
    <row r="562" s="437" customFormat="1" ht="25.15" customHeight="1"/>
    <row r="563" s="437" customFormat="1" ht="25.15" customHeight="1"/>
    <row r="564" s="437" customFormat="1" ht="25.15" customHeight="1"/>
    <row r="565" s="437" customFormat="1" ht="25.15" customHeight="1"/>
    <row r="566" s="437" customFormat="1" ht="25.15" customHeight="1"/>
    <row r="567" s="437" customFormat="1" ht="25.15" customHeight="1"/>
    <row r="568" s="437" customFormat="1" ht="25.15" customHeight="1"/>
    <row r="569" s="437" customFormat="1" ht="25.15" customHeight="1"/>
    <row r="570" s="437" customFormat="1" ht="25.15" customHeight="1"/>
    <row r="571" s="437" customFormat="1" ht="25.15" customHeight="1"/>
    <row r="572" s="437" customFormat="1" ht="25.15" customHeight="1"/>
    <row r="573" s="437" customFormat="1" ht="25.15" customHeight="1"/>
    <row r="574" s="437" customFormat="1" ht="25.15" customHeight="1"/>
    <row r="575" s="437" customFormat="1" ht="25.15" customHeight="1"/>
    <row r="576" s="437" customFormat="1" ht="25.15" customHeight="1"/>
    <row r="577" s="437" customFormat="1" ht="25.15" customHeight="1"/>
    <row r="578" s="437" customFormat="1" ht="25.15" customHeight="1"/>
    <row r="579" s="437" customFormat="1" ht="25.15" customHeight="1"/>
    <row r="580" s="437" customFormat="1" ht="25.15" customHeight="1"/>
    <row r="581" s="437" customFormat="1" ht="25.15" customHeight="1"/>
    <row r="582" s="437" customFormat="1" ht="25.15" customHeight="1"/>
    <row r="583" s="437" customFormat="1" ht="25.15" customHeight="1"/>
    <row r="584" s="437" customFormat="1" ht="25.15" customHeight="1"/>
    <row r="585" s="437" customFormat="1" ht="25.15" customHeight="1"/>
    <row r="586" s="437" customFormat="1" ht="25.15" customHeight="1"/>
    <row r="587" s="437" customFormat="1" ht="25.15" customHeight="1"/>
    <row r="588" s="437" customFormat="1" ht="25.15" customHeight="1"/>
    <row r="589" s="437" customFormat="1" ht="25.15" customHeight="1"/>
    <row r="590" s="437" customFormat="1" ht="25.15" customHeight="1"/>
    <row r="591" s="437" customFormat="1" ht="25.15" customHeight="1"/>
    <row r="592" s="437" customFormat="1" ht="25.15" customHeight="1"/>
    <row r="593" s="437" customFormat="1" ht="25.15" customHeight="1"/>
    <row r="594" s="437" customFormat="1" ht="25.15" customHeight="1"/>
    <row r="595" s="437" customFormat="1" ht="25.15" customHeight="1"/>
    <row r="596" s="437" customFormat="1" ht="25.15" customHeight="1"/>
    <row r="597" s="437" customFormat="1" ht="25.15" customHeight="1"/>
    <row r="598" s="437" customFormat="1" ht="25.15" customHeight="1"/>
    <row r="599" s="437" customFormat="1" ht="25.15" customHeight="1"/>
    <row r="600" s="437" customFormat="1" ht="25.15" customHeight="1"/>
    <row r="601" s="437" customFormat="1" ht="25.15" customHeight="1"/>
    <row r="602" s="437" customFormat="1" ht="25.15" customHeight="1"/>
    <row r="603" s="437" customFormat="1" ht="25.15" customHeight="1"/>
    <row r="604" s="437" customFormat="1" ht="25.15" customHeight="1"/>
    <row r="605" s="437" customFormat="1" ht="25.15" customHeight="1"/>
    <row r="606" s="437" customFormat="1" ht="25.15" customHeight="1"/>
    <row r="607" s="437" customFormat="1" ht="25.15" customHeight="1"/>
    <row r="608" s="437" customFormat="1" ht="25.15" customHeight="1"/>
    <row r="609" s="437" customFormat="1" ht="25.15" customHeight="1"/>
    <row r="610" s="437" customFormat="1" ht="25.15" customHeight="1"/>
    <row r="611" s="437" customFormat="1" ht="25.15" customHeight="1"/>
    <row r="612" s="437" customFormat="1" ht="25.15" customHeight="1"/>
    <row r="613" s="437" customFormat="1" ht="25.15" customHeight="1"/>
    <row r="614" s="437" customFormat="1" ht="25.15" customHeight="1"/>
    <row r="615" s="437" customFormat="1" ht="25.15" customHeight="1"/>
    <row r="616" s="437" customFormat="1" ht="25.15" customHeight="1"/>
    <row r="617" s="437" customFormat="1" ht="25.15" customHeight="1"/>
    <row r="618" s="437" customFormat="1" ht="25.15" customHeight="1"/>
    <row r="619" s="437" customFormat="1" ht="25.15" customHeight="1"/>
    <row r="620" s="437" customFormat="1" ht="25.15" customHeight="1"/>
    <row r="621" s="437" customFormat="1" ht="25.15" customHeight="1"/>
    <row r="622" s="437" customFormat="1" ht="25.15" customHeight="1"/>
    <row r="623" s="437" customFormat="1" ht="25.15" customHeight="1"/>
    <row r="624" s="437" customFormat="1" ht="25.15" customHeight="1"/>
    <row r="625" s="437" customFormat="1" ht="25.15" customHeight="1"/>
    <row r="626" s="437" customFormat="1" ht="25.15" customHeight="1"/>
    <row r="627" s="437" customFormat="1" ht="25.15" customHeight="1"/>
    <row r="628" s="437" customFormat="1" ht="25.15" customHeight="1"/>
    <row r="629" s="437" customFormat="1" ht="25.15" customHeight="1"/>
    <row r="630" s="437" customFormat="1" ht="25.15" customHeight="1"/>
    <row r="631" s="437" customFormat="1" ht="25.15" customHeight="1"/>
    <row r="632" s="437" customFormat="1" ht="25.15" customHeight="1"/>
    <row r="633" s="437" customFormat="1" ht="25.15" customHeight="1"/>
    <row r="634" s="437" customFormat="1" ht="25.15" customHeight="1"/>
    <row r="635" s="437" customFormat="1" ht="25.15" customHeight="1"/>
    <row r="636" s="437" customFormat="1" ht="25.15" customHeight="1"/>
    <row r="637" s="437" customFormat="1" ht="25.15" customHeight="1"/>
    <row r="638" s="437" customFormat="1" ht="25.15" customHeight="1"/>
    <row r="639" s="437" customFormat="1" ht="25.15" customHeight="1"/>
    <row r="640" s="437" customFormat="1" ht="25.15" customHeight="1"/>
    <row r="641" s="437" customFormat="1" ht="25.15" customHeight="1"/>
    <row r="642" s="437" customFormat="1" ht="25.15" customHeight="1"/>
    <row r="643" s="437" customFormat="1" ht="25.15" customHeight="1"/>
    <row r="644" s="437" customFormat="1" ht="25.15" customHeight="1"/>
    <row r="645" s="437" customFormat="1" ht="25.15" customHeight="1"/>
    <row r="646" s="437" customFormat="1" ht="25.15" customHeight="1"/>
    <row r="647" s="437" customFormat="1" ht="25.15" customHeight="1"/>
    <row r="648" s="437" customFormat="1" ht="25.15" customHeight="1"/>
    <row r="649" s="437" customFormat="1" ht="25.15" customHeight="1"/>
    <row r="650" s="437" customFormat="1" ht="25.15" customHeight="1"/>
    <row r="651" s="437" customFormat="1" ht="25.15" customHeight="1"/>
    <row r="652" s="437" customFormat="1" ht="25.15" customHeight="1"/>
    <row r="653" s="437" customFormat="1" ht="25.15" customHeight="1"/>
    <row r="654" s="437" customFormat="1" ht="25.15" customHeight="1"/>
    <row r="655" s="437" customFormat="1" ht="25.15" customHeight="1"/>
    <row r="656" s="437" customFormat="1" ht="25.15" customHeight="1"/>
    <row r="657" s="437" customFormat="1" ht="25.15" customHeight="1"/>
    <row r="658" s="437" customFormat="1" ht="25.15" customHeight="1"/>
    <row r="659" s="437" customFormat="1" ht="25.15" customHeight="1"/>
    <row r="660" s="437" customFormat="1" ht="25.15" customHeight="1"/>
    <row r="661" s="437" customFormat="1" ht="25.15" customHeight="1"/>
    <row r="662" s="437" customFormat="1" ht="25.15" customHeight="1"/>
    <row r="663" s="437" customFormat="1" ht="25.15" customHeight="1"/>
    <row r="664" s="437" customFormat="1" ht="25.15" customHeight="1"/>
    <row r="665" s="437" customFormat="1" ht="25.15" customHeight="1"/>
    <row r="666" s="437" customFormat="1" ht="25.15" customHeight="1"/>
    <row r="667" s="437" customFormat="1" ht="25.15" customHeight="1"/>
    <row r="668" s="437" customFormat="1" ht="25.15" customHeight="1"/>
    <row r="669" s="437" customFormat="1" ht="25.15" customHeight="1"/>
    <row r="670" s="437" customFormat="1" ht="25.15" customHeight="1"/>
    <row r="671" s="437" customFormat="1" ht="25.15" customHeight="1"/>
    <row r="672" s="437" customFormat="1" ht="25.15" customHeight="1"/>
    <row r="673" s="437" customFormat="1" ht="25.15" customHeight="1"/>
    <row r="674" s="437" customFormat="1" ht="25.15" customHeight="1"/>
    <row r="675" s="437" customFormat="1" ht="25.15" customHeight="1"/>
    <row r="676" s="437" customFormat="1" ht="25.15" customHeight="1"/>
    <row r="677" s="437" customFormat="1" ht="25.15" customHeight="1"/>
    <row r="678" s="437" customFormat="1" ht="25.15" customHeight="1"/>
    <row r="679" s="437" customFormat="1" ht="25.15" customHeight="1"/>
    <row r="680" s="437" customFormat="1" ht="25.15" customHeight="1"/>
    <row r="681" s="437" customFormat="1" ht="25.15" customHeight="1"/>
    <row r="682" s="437" customFormat="1" ht="25.15" customHeight="1"/>
    <row r="683" s="437" customFormat="1" ht="25.15" customHeight="1"/>
    <row r="684" s="437" customFormat="1" ht="25.15" customHeight="1"/>
    <row r="685" s="437" customFormat="1" ht="25.15" customHeight="1"/>
    <row r="686" s="437" customFormat="1" ht="25.15" customHeight="1"/>
    <row r="687" s="437" customFormat="1" ht="25.15" customHeight="1"/>
    <row r="688" s="437" customFormat="1" ht="25.15" customHeight="1"/>
    <row r="689" s="437" customFormat="1" ht="25.15" customHeight="1"/>
    <row r="690" s="437" customFormat="1" ht="25.15" customHeight="1"/>
    <row r="691" s="437" customFormat="1" ht="25.15" customHeight="1"/>
    <row r="692" s="437" customFormat="1" ht="25.15" customHeight="1"/>
    <row r="693" s="437" customFormat="1" ht="25.15" customHeight="1"/>
    <row r="694" s="437" customFormat="1" ht="25.15" customHeight="1"/>
    <row r="695" s="437" customFormat="1" ht="25.15" customHeight="1"/>
    <row r="696" s="437" customFormat="1" ht="25.15" customHeight="1"/>
    <row r="697" s="437" customFormat="1" ht="25.15" customHeight="1"/>
    <row r="698" s="437" customFormat="1" ht="25.15" customHeight="1"/>
    <row r="699" s="437" customFormat="1" ht="25.15" customHeight="1"/>
    <row r="700" s="437" customFormat="1" ht="25.15" customHeight="1"/>
    <row r="701" s="437" customFormat="1" ht="25.15" customHeight="1"/>
    <row r="702" s="437" customFormat="1" ht="25.15" customHeight="1"/>
    <row r="703" s="437" customFormat="1" ht="25.15" customHeight="1"/>
    <row r="704" s="437" customFormat="1" ht="25.15" customHeight="1"/>
    <row r="705" s="437" customFormat="1" ht="25.15" customHeight="1"/>
    <row r="706" s="437" customFormat="1" ht="25.15" customHeight="1"/>
    <row r="707" s="437" customFormat="1" ht="25.15" customHeight="1"/>
    <row r="708" s="437" customFormat="1" ht="25.15" customHeight="1"/>
    <row r="709" s="437" customFormat="1" ht="25.15" customHeight="1"/>
    <row r="710" s="437" customFormat="1" ht="25.15" customHeight="1"/>
    <row r="711" s="437" customFormat="1" ht="25.15" customHeight="1"/>
    <row r="712" s="437" customFormat="1" ht="25.15" customHeight="1"/>
    <row r="713" s="437" customFormat="1" ht="25.15" customHeight="1"/>
    <row r="714" s="437" customFormat="1" ht="25.15" customHeight="1"/>
    <row r="715" s="437" customFormat="1" ht="25.15" customHeight="1"/>
    <row r="716" s="437" customFormat="1" ht="25.15" customHeight="1"/>
    <row r="717" s="437" customFormat="1" ht="25.15" customHeight="1"/>
    <row r="718" s="437" customFormat="1" ht="25.15" customHeight="1"/>
    <row r="719" s="437" customFormat="1" ht="25.15" customHeight="1"/>
    <row r="720" s="437" customFormat="1" ht="25.15" customHeight="1"/>
    <row r="721" s="437" customFormat="1" ht="25.15" customHeight="1"/>
    <row r="722" s="437" customFormat="1" ht="25.15" customHeight="1"/>
    <row r="723" s="437" customFormat="1" ht="25.15" customHeight="1"/>
    <row r="724" s="437" customFormat="1" ht="25.15" customHeight="1"/>
    <row r="725" s="437" customFormat="1" ht="25.15" customHeight="1"/>
    <row r="726" s="437" customFormat="1" ht="25.15" customHeight="1"/>
    <row r="727" s="437" customFormat="1" ht="25.15" customHeight="1"/>
    <row r="728" s="437" customFormat="1" ht="25.15" customHeight="1"/>
    <row r="729" s="437" customFormat="1" ht="25.15" customHeight="1"/>
    <row r="730" s="437" customFormat="1" ht="25.15" customHeight="1"/>
    <row r="731" s="437" customFormat="1" ht="25.15" customHeight="1"/>
    <row r="732" s="437" customFormat="1" ht="25.15" customHeight="1"/>
    <row r="733" s="437" customFormat="1" ht="25.15" customHeight="1"/>
    <row r="734" s="437" customFormat="1" ht="25.15" customHeight="1"/>
    <row r="735" s="437" customFormat="1" ht="25.15" customHeight="1"/>
    <row r="736" s="437" customFormat="1" ht="25.15" customHeight="1"/>
    <row r="737" s="437" customFormat="1" ht="25.15" customHeight="1"/>
    <row r="738" s="437" customFormat="1" ht="25.15" customHeight="1"/>
    <row r="739" s="437" customFormat="1" ht="25.15" customHeight="1"/>
    <row r="740" s="437" customFormat="1" ht="25.15" customHeight="1"/>
    <row r="741" s="437" customFormat="1" ht="25.15" customHeight="1"/>
    <row r="742" s="437" customFormat="1" ht="25.15" customHeight="1"/>
    <row r="743" s="437" customFormat="1" ht="25.15" customHeight="1"/>
    <row r="744" s="437" customFormat="1" ht="25.15" customHeight="1"/>
    <row r="745" s="437" customFormat="1" ht="25.15" customHeight="1"/>
    <row r="746" s="437" customFormat="1" ht="25.15" customHeight="1"/>
    <row r="747" s="437" customFormat="1" ht="25.15" customHeight="1"/>
    <row r="748" s="437" customFormat="1" ht="25.15" customHeight="1"/>
    <row r="749" s="437" customFormat="1" ht="25.15" customHeight="1"/>
    <row r="750" s="437" customFormat="1" ht="25.15" customHeight="1"/>
    <row r="751" s="437" customFormat="1" ht="25.15" customHeight="1"/>
    <row r="752" s="437" customFormat="1" ht="25.15" customHeight="1"/>
    <row r="753" s="437" customFormat="1" ht="25.15" customHeight="1"/>
    <row r="754" s="437" customFormat="1" ht="25.15" customHeight="1"/>
    <row r="755" s="437" customFormat="1" ht="25.15" customHeight="1"/>
    <row r="756" s="437" customFormat="1" ht="25.15" customHeight="1"/>
    <row r="757" s="437" customFormat="1" ht="25.15" customHeight="1"/>
    <row r="758" s="437" customFormat="1" ht="25.15" customHeight="1"/>
    <row r="759" s="437" customFormat="1" ht="25.15" customHeight="1"/>
    <row r="760" s="437" customFormat="1" ht="25.15" customHeight="1"/>
    <row r="761" s="437" customFormat="1" ht="25.15" customHeight="1"/>
    <row r="762" s="437" customFormat="1" ht="25.15" customHeight="1"/>
    <row r="763" s="437" customFormat="1" ht="25.15" customHeight="1"/>
    <row r="764" s="437" customFormat="1" ht="25.15" customHeight="1"/>
    <row r="765" s="437" customFormat="1" ht="25.15" customHeight="1"/>
    <row r="766" s="437" customFormat="1" ht="25.15" customHeight="1"/>
    <row r="767" s="437" customFormat="1" ht="25.15" customHeight="1"/>
    <row r="768" s="437" customFormat="1" ht="25.15" customHeight="1"/>
    <row r="769" s="437" customFormat="1" ht="25.15" customHeight="1"/>
    <row r="770" s="437" customFormat="1" ht="25.15" customHeight="1"/>
    <row r="771" s="437" customFormat="1" ht="25.15" customHeight="1"/>
    <row r="772" s="437" customFormat="1" ht="25.15" customHeight="1"/>
    <row r="773" s="437" customFormat="1" ht="25.15" customHeight="1"/>
    <row r="774" s="437" customFormat="1" ht="25.15" customHeight="1"/>
    <row r="775" s="437" customFormat="1" ht="25.15" customHeight="1"/>
    <row r="776" s="437" customFormat="1" ht="25.15" customHeight="1"/>
    <row r="777" s="437" customFormat="1" ht="25.15" customHeight="1"/>
    <row r="778" s="437" customFormat="1" ht="25.15" customHeight="1"/>
    <row r="779" s="437" customFormat="1" ht="25.15" customHeight="1"/>
    <row r="780" s="437" customFormat="1" ht="25.15" customHeight="1"/>
    <row r="781" s="437" customFormat="1" ht="25.15" customHeight="1"/>
    <row r="782" s="437" customFormat="1" ht="25.15" customHeight="1"/>
    <row r="783" s="437" customFormat="1" ht="25.15" customHeight="1"/>
    <row r="784" s="437" customFormat="1" ht="25.15" customHeight="1"/>
    <row r="785" s="437" customFormat="1" ht="25.15" customHeight="1"/>
    <row r="786" s="437" customFormat="1" ht="25.15" customHeight="1"/>
    <row r="787" s="437" customFormat="1" ht="25.15" customHeight="1"/>
    <row r="788" s="437" customFormat="1" ht="25.15" customHeight="1"/>
    <row r="789" s="437" customFormat="1" ht="25.15" customHeight="1"/>
    <row r="790" s="437" customFormat="1" ht="25.15" customHeight="1"/>
    <row r="791" s="437" customFormat="1" ht="25.15" customHeight="1"/>
    <row r="792" s="437" customFormat="1" ht="25.15" customHeight="1"/>
    <row r="793" s="437" customFormat="1" ht="25.15" customHeight="1"/>
    <row r="794" s="437" customFormat="1" ht="25.15" customHeight="1"/>
    <row r="795" s="437" customFormat="1" ht="25.15" customHeight="1"/>
    <row r="796" s="437" customFormat="1" ht="25.15" customHeight="1"/>
    <row r="797" s="437" customFormat="1" ht="25.15" customHeight="1"/>
    <row r="798" s="437" customFormat="1" ht="25.15" customHeight="1"/>
    <row r="799" s="437" customFormat="1" ht="25.15" customHeight="1"/>
    <row r="800" s="437" customFormat="1" ht="25.15" customHeight="1"/>
    <row r="801" s="437" customFormat="1" ht="25.15" customHeight="1"/>
    <row r="802" s="437" customFormat="1" ht="25.15" customHeight="1"/>
    <row r="803" s="437" customFormat="1" ht="25.15" customHeight="1"/>
    <row r="804" s="437" customFormat="1" ht="25.15" customHeight="1"/>
    <row r="805" s="437" customFormat="1" ht="25.15" customHeight="1"/>
    <row r="806" s="437" customFormat="1" ht="25.15" customHeight="1"/>
    <row r="807" s="437" customFormat="1" ht="25.15" customHeight="1"/>
    <row r="808" s="437" customFormat="1" ht="25.15" customHeight="1"/>
    <row r="809" s="437" customFormat="1" ht="25.15" customHeight="1"/>
    <row r="810" s="437" customFormat="1" ht="25.15" customHeight="1"/>
    <row r="811" s="437" customFormat="1" ht="25.15" customHeight="1"/>
    <row r="812" s="437" customFormat="1" ht="25.15" customHeight="1"/>
    <row r="813" s="437" customFormat="1" ht="25.15" customHeight="1"/>
    <row r="814" s="437" customFormat="1" ht="25.15" customHeight="1"/>
    <row r="815" s="437" customFormat="1" ht="25.15" customHeight="1"/>
    <row r="816" s="437" customFormat="1" ht="25.15" customHeight="1"/>
    <row r="817" s="437" customFormat="1" ht="25.15" customHeight="1"/>
    <row r="818" s="437" customFormat="1" ht="25.15" customHeight="1"/>
    <row r="819" s="437" customFormat="1" ht="25.15" customHeight="1"/>
    <row r="820" s="437" customFormat="1" ht="25.15" customHeight="1"/>
    <row r="821" s="437" customFormat="1" ht="25.15" customHeight="1"/>
    <row r="822" s="437" customFormat="1" ht="25.15" customHeight="1"/>
    <row r="823" s="437" customFormat="1" ht="25.15" customHeight="1"/>
    <row r="824" s="437" customFormat="1" ht="25.15" customHeight="1"/>
    <row r="825" s="437" customFormat="1" ht="25.15" customHeight="1"/>
    <row r="826" s="437" customFormat="1" ht="25.15" customHeight="1"/>
    <row r="827" s="437" customFormat="1" ht="25.15" customHeight="1"/>
    <row r="828" s="437" customFormat="1" ht="25.15" customHeight="1"/>
    <row r="829" s="437" customFormat="1" ht="25.15" customHeight="1"/>
    <row r="830" s="437" customFormat="1" ht="25.15" customHeight="1"/>
    <row r="831" s="437" customFormat="1" ht="25.15" customHeight="1"/>
    <row r="832" s="437" customFormat="1" ht="25.15" customHeight="1"/>
    <row r="833" s="437" customFormat="1" ht="25.15" customHeight="1"/>
    <row r="834" s="437" customFormat="1" ht="25.15" customHeight="1"/>
    <row r="835" s="437" customFormat="1" ht="25.15" customHeight="1"/>
    <row r="836" s="437" customFormat="1" ht="25.15" customHeight="1"/>
    <row r="837" s="437" customFormat="1" ht="25.15" customHeight="1"/>
    <row r="838" s="437" customFormat="1" ht="25.15" customHeight="1"/>
    <row r="839" s="437" customFormat="1" ht="25.15" customHeight="1"/>
    <row r="840" s="437" customFormat="1" ht="25.15" customHeight="1"/>
    <row r="841" s="437" customFormat="1" ht="25.15" customHeight="1"/>
    <row r="842" s="437" customFormat="1" ht="25.15" customHeight="1"/>
    <row r="843" s="437" customFormat="1" ht="25.15" customHeight="1"/>
    <row r="844" s="437" customFormat="1" ht="25.15" customHeight="1"/>
    <row r="845" s="437" customFormat="1" ht="25.15" customHeight="1"/>
    <row r="846" s="437" customFormat="1" ht="25.15" customHeight="1"/>
    <row r="847" s="437" customFormat="1" ht="25.15" customHeight="1"/>
    <row r="848" s="437" customFormat="1" ht="25.15" customHeight="1"/>
    <row r="849" s="437" customFormat="1" ht="25.15" customHeight="1"/>
    <row r="850" s="437" customFormat="1" ht="25.15" customHeight="1"/>
    <row r="851" s="437" customFormat="1" ht="25.15" customHeight="1"/>
    <row r="852" s="437" customFormat="1" ht="25.15" customHeight="1"/>
    <row r="853" s="437" customFormat="1" ht="25.15" customHeight="1"/>
    <row r="854" s="437" customFormat="1" ht="25.15" customHeight="1"/>
    <row r="855" s="437" customFormat="1" ht="25.15" customHeight="1"/>
    <row r="856" s="437" customFormat="1" ht="25.15" customHeight="1"/>
    <row r="857" s="437" customFormat="1" ht="25.15" customHeight="1"/>
    <row r="858" s="437" customFormat="1" ht="25.15" customHeight="1"/>
    <row r="859" s="437" customFormat="1" ht="25.15" customHeight="1"/>
    <row r="860" s="437" customFormat="1" ht="25.15" customHeight="1"/>
    <row r="861" s="437" customFormat="1" ht="25.15" customHeight="1"/>
    <row r="862" s="437" customFormat="1" ht="25.15" customHeight="1"/>
    <row r="863" s="437" customFormat="1" ht="25.15" customHeight="1"/>
    <row r="864" s="437" customFormat="1" ht="25.15" customHeight="1"/>
    <row r="865" s="437" customFormat="1" ht="25.15" customHeight="1"/>
    <row r="866" s="437" customFormat="1" ht="25.15" customHeight="1"/>
    <row r="867" s="437" customFormat="1" ht="25.15" customHeight="1"/>
    <row r="868" s="437" customFormat="1" ht="25.15" customHeight="1"/>
    <row r="869" s="437" customFormat="1" ht="25.15" customHeight="1"/>
    <row r="870" s="437" customFormat="1" ht="25.15" customHeight="1"/>
    <row r="871" s="437" customFormat="1" ht="25.15" customHeight="1"/>
    <row r="872" s="437" customFormat="1" ht="25.15" customHeight="1"/>
    <row r="873" s="437" customFormat="1" ht="25.15" customHeight="1"/>
    <row r="874" s="437" customFormat="1" ht="25.15" customHeight="1"/>
    <row r="875" s="437" customFormat="1" ht="25.15" customHeight="1"/>
    <row r="876" s="437" customFormat="1" ht="25.15" customHeight="1"/>
    <row r="877" s="437" customFormat="1" ht="25.15" customHeight="1"/>
    <row r="878" s="437" customFormat="1" ht="25.15" customHeight="1"/>
    <row r="879" s="437" customFormat="1" ht="25.15" customHeight="1"/>
    <row r="880" s="437" customFormat="1" ht="25.15" customHeight="1"/>
    <row r="881" s="437" customFormat="1" ht="25.15" customHeight="1"/>
    <row r="882" s="437" customFormat="1" ht="25.15" customHeight="1"/>
    <row r="883" s="437" customFormat="1" ht="25.15" customHeight="1"/>
    <row r="884" s="437" customFormat="1" ht="25.15" customHeight="1"/>
    <row r="885" s="437" customFormat="1" ht="25.15" customHeight="1"/>
    <row r="886" s="437" customFormat="1" ht="25.15" customHeight="1"/>
    <row r="887" s="437" customFormat="1" ht="25.15" customHeight="1"/>
    <row r="888" s="437" customFormat="1" ht="25.15" customHeight="1"/>
    <row r="889" s="437" customFormat="1" ht="25.15" customHeight="1"/>
    <row r="890" s="437" customFormat="1" ht="25.15" customHeight="1"/>
    <row r="891" s="437" customFormat="1" ht="25.15" customHeight="1"/>
    <row r="892" s="437" customFormat="1" ht="25.15" customHeight="1"/>
    <row r="893" s="437" customFormat="1" ht="25.15" customHeight="1"/>
    <row r="894" s="437" customFormat="1" ht="25.15" customHeight="1"/>
    <row r="895" s="437" customFormat="1" ht="25.15" customHeight="1"/>
    <row r="896" s="437" customFormat="1" ht="25.15" customHeight="1"/>
    <row r="897" s="437" customFormat="1" ht="25.15" customHeight="1"/>
    <row r="898" s="437" customFormat="1" ht="25.15" customHeight="1"/>
    <row r="899" s="437" customFormat="1" ht="25.15" customHeight="1"/>
    <row r="900" s="437" customFormat="1" ht="25.15" customHeight="1"/>
    <row r="901" s="437" customFormat="1" ht="25.15" customHeight="1"/>
    <row r="902" s="437" customFormat="1" ht="25.15" customHeight="1"/>
    <row r="903" s="437" customFormat="1" ht="25.15" customHeight="1"/>
    <row r="904" s="437" customFormat="1" ht="25.15" customHeight="1"/>
    <row r="905" s="437" customFormat="1" ht="25.15" customHeight="1"/>
    <row r="906" s="437" customFormat="1" ht="25.15" customHeight="1"/>
    <row r="907" s="437" customFormat="1" ht="25.15" customHeight="1"/>
    <row r="908" s="437" customFormat="1" ht="25.15" customHeight="1"/>
    <row r="909" s="437" customFormat="1" ht="25.15" customHeight="1"/>
    <row r="910" s="437" customFormat="1" ht="25.15" customHeight="1"/>
    <row r="911" s="437" customFormat="1" ht="25.15" customHeight="1"/>
    <row r="912" s="437" customFormat="1" ht="25.15" customHeight="1"/>
    <row r="913" s="437" customFormat="1" ht="25.15" customHeight="1"/>
    <row r="914" s="437" customFormat="1" ht="25.15" customHeight="1"/>
    <row r="915" s="437" customFormat="1" ht="25.15" customHeight="1"/>
    <row r="916" s="437" customFormat="1" ht="25.15" customHeight="1"/>
    <row r="917" s="437" customFormat="1" ht="25.15" customHeight="1"/>
    <row r="918" s="437" customFormat="1" ht="25.15" customHeight="1"/>
    <row r="919" s="437" customFormat="1" ht="25.15" customHeight="1"/>
    <row r="920" s="437" customFormat="1" ht="25.15" customHeight="1"/>
    <row r="921" s="437" customFormat="1" ht="25.15" customHeight="1"/>
    <row r="922" s="437" customFormat="1" ht="25.15" customHeight="1"/>
    <row r="923" s="437" customFormat="1" ht="25.15" customHeight="1"/>
    <row r="924" s="437" customFormat="1" ht="25.15" customHeight="1"/>
    <row r="925" s="437" customFormat="1" ht="25.15" customHeight="1"/>
    <row r="926" s="437" customFormat="1" ht="25.15" customHeight="1"/>
    <row r="927" s="437" customFormat="1" ht="25.15" customHeight="1"/>
    <row r="928" s="437" customFormat="1" ht="25.15" customHeight="1"/>
    <row r="929" s="437" customFormat="1" ht="25.15" customHeight="1"/>
    <row r="930" s="437" customFormat="1" ht="25.15" customHeight="1"/>
    <row r="931" s="437" customFormat="1" ht="25.15" customHeight="1"/>
    <row r="932" s="437" customFormat="1" ht="25.15" customHeight="1"/>
    <row r="933" s="437" customFormat="1" ht="25.15" customHeight="1"/>
    <row r="934" s="437" customFormat="1" ht="25.15" customHeight="1"/>
    <row r="935" s="437" customFormat="1" ht="25.15" customHeight="1"/>
    <row r="936" s="437" customFormat="1" ht="25.15" customHeight="1"/>
    <row r="937" s="437" customFormat="1" ht="25.15" customHeight="1"/>
    <row r="938" s="437" customFormat="1" ht="25.15" customHeight="1"/>
    <row r="939" s="437" customFormat="1" ht="25.15" customHeight="1"/>
    <row r="940" s="437" customFormat="1" ht="25.15" customHeight="1"/>
    <row r="941" s="437" customFormat="1" ht="25.15" customHeight="1"/>
    <row r="942" s="437" customFormat="1" ht="25.15" customHeight="1"/>
    <row r="943" s="437" customFormat="1" ht="25.15" customHeight="1"/>
    <row r="944" s="437" customFormat="1" ht="25.15" customHeight="1"/>
    <row r="945" s="437" customFormat="1" ht="25.15" customHeight="1"/>
    <row r="946" s="437" customFormat="1" ht="25.15" customHeight="1"/>
    <row r="947" s="437" customFormat="1" ht="25.15" customHeight="1"/>
    <row r="948" s="437" customFormat="1" ht="25.15" customHeight="1"/>
    <row r="949" s="437" customFormat="1" ht="25.15" customHeight="1"/>
    <row r="950" s="437" customFormat="1" ht="25.15" customHeight="1"/>
    <row r="951" s="437" customFormat="1" ht="25.15" customHeight="1"/>
    <row r="952" s="437" customFormat="1" ht="25.15" customHeight="1"/>
    <row r="953" s="437" customFormat="1" ht="25.15" customHeight="1"/>
    <row r="954" s="437" customFormat="1" ht="25.15" customHeight="1"/>
    <row r="955" s="437" customFormat="1" ht="25.15" customHeight="1"/>
    <row r="956" s="437" customFormat="1" ht="25.15" customHeight="1"/>
    <row r="957" s="437" customFormat="1" ht="25.15" customHeight="1"/>
    <row r="958" s="437" customFormat="1" ht="25.15" customHeight="1"/>
    <row r="959" s="437" customFormat="1" ht="25.15" customHeight="1"/>
    <row r="960" s="437" customFormat="1" ht="25.15" customHeight="1"/>
    <row r="961" s="437" customFormat="1" ht="25.15" customHeight="1"/>
    <row r="962" s="437" customFormat="1" ht="25.15" customHeight="1"/>
    <row r="963" s="437" customFormat="1" ht="25.15" customHeight="1"/>
    <row r="964" s="437" customFormat="1" ht="25.15" customHeight="1"/>
    <row r="965" s="437" customFormat="1" ht="25.15" customHeight="1"/>
    <row r="966" s="437" customFormat="1" ht="25.15" customHeight="1"/>
    <row r="967" s="437" customFormat="1" ht="25.15" customHeight="1"/>
    <row r="968" s="437" customFormat="1" ht="25.15" customHeight="1"/>
    <row r="969" s="437" customFormat="1" ht="25.15" customHeight="1"/>
    <row r="970" s="437" customFormat="1" ht="25.15" customHeight="1"/>
    <row r="971" s="437" customFormat="1" ht="25.15" customHeight="1"/>
    <row r="972" s="437" customFormat="1" ht="25.15" customHeight="1"/>
    <row r="973" s="437" customFormat="1" ht="25.15" customHeight="1"/>
    <row r="974" s="437" customFormat="1" ht="25.15" customHeight="1"/>
    <row r="975" s="437" customFormat="1" ht="25.15" customHeight="1"/>
    <row r="976" s="437" customFormat="1" ht="25.15" customHeight="1"/>
    <row r="977" s="437" customFormat="1" ht="25.15" customHeight="1"/>
    <row r="978" s="437" customFormat="1" ht="25.15" customHeight="1"/>
    <row r="979" s="437" customFormat="1" ht="25.15" customHeight="1"/>
    <row r="980" s="437" customFormat="1" ht="25.15" customHeight="1"/>
    <row r="981" s="437" customFormat="1" ht="25.15" customHeight="1"/>
    <row r="982" s="437" customFormat="1" ht="25.15" customHeight="1"/>
    <row r="983" s="437" customFormat="1" ht="25.15" customHeight="1"/>
    <row r="984" s="437" customFormat="1" ht="25.15" customHeight="1"/>
    <row r="985" s="437" customFormat="1" ht="25.15" customHeight="1"/>
    <row r="986" s="437" customFormat="1" ht="25.15" customHeight="1"/>
    <row r="987" s="437" customFormat="1" ht="25.15" customHeight="1"/>
    <row r="988" s="437" customFormat="1" ht="25.15" customHeight="1"/>
    <row r="989" s="437" customFormat="1" ht="25.15" customHeight="1"/>
    <row r="990" s="437" customFormat="1" ht="25.15" customHeight="1"/>
    <row r="991" s="437" customFormat="1" ht="25.15" customHeight="1"/>
    <row r="992" s="437" customFormat="1" ht="25.15" customHeight="1"/>
    <row r="993" s="437" customFormat="1" ht="25.15" customHeight="1"/>
    <row r="994" s="437" customFormat="1" ht="25.15" customHeight="1"/>
    <row r="995" s="437" customFormat="1" ht="25.15" customHeight="1"/>
    <row r="996" s="437" customFormat="1" ht="25.15" customHeight="1"/>
    <row r="997" s="437" customFormat="1" ht="25.15" customHeight="1"/>
    <row r="998" s="437" customFormat="1" ht="25.15" customHeight="1"/>
    <row r="999" s="437" customFormat="1" ht="25.15" customHeight="1"/>
    <row r="1000" s="437" customFormat="1" ht="25.15" customHeight="1"/>
    <row r="1001" s="437" customFormat="1" ht="25.15" customHeight="1"/>
    <row r="1002" s="437" customFormat="1" ht="25.15" customHeight="1"/>
    <row r="1003" s="437" customFormat="1" ht="25.15" customHeight="1"/>
    <row r="1004" s="437" customFormat="1" ht="25.15" customHeight="1"/>
    <row r="1005" s="437" customFormat="1" ht="25.15" customHeight="1"/>
    <row r="1006" s="437" customFormat="1" ht="25.15" customHeight="1"/>
    <row r="1007" s="437" customFormat="1" ht="25.15" customHeight="1"/>
    <row r="1008" s="437" customFormat="1" ht="25.15" customHeight="1"/>
    <row r="1009" s="437" customFormat="1" ht="25.15" customHeight="1"/>
    <row r="1010" s="437" customFormat="1" ht="25.15" customHeight="1"/>
    <row r="1011" s="437" customFormat="1" ht="25.15" customHeight="1"/>
    <row r="1012" s="437" customFormat="1" ht="25.15" customHeight="1"/>
    <row r="1013" s="437" customFormat="1" ht="25.15" customHeight="1"/>
    <row r="1014" s="437" customFormat="1" ht="25.15" customHeight="1"/>
    <row r="1015" s="437" customFormat="1" ht="25.15" customHeight="1"/>
    <row r="1016" s="437" customFormat="1" ht="25.15" customHeight="1"/>
    <row r="1017" s="437" customFormat="1" ht="25.15" customHeight="1"/>
    <row r="1018" s="437" customFormat="1" ht="25.15" customHeight="1"/>
    <row r="1019" s="437" customFormat="1" ht="25.15" customHeight="1"/>
    <row r="1020" s="437" customFormat="1" ht="25.15" customHeight="1"/>
    <row r="1021" s="437" customFormat="1" ht="25.15" customHeight="1"/>
    <row r="1022" s="437" customFormat="1" ht="25.15" customHeight="1"/>
    <row r="1023" s="437" customFormat="1" ht="25.15" customHeight="1"/>
    <row r="1024" s="437" customFormat="1" ht="25.15" customHeight="1"/>
    <row r="1025" s="437" customFormat="1" ht="25.15" customHeight="1"/>
    <row r="1026" s="437" customFormat="1" ht="25.15" customHeight="1"/>
    <row r="1027" s="437" customFormat="1" ht="25.15" customHeight="1"/>
    <row r="1028" s="437" customFormat="1" ht="25.15" customHeight="1"/>
    <row r="1029" s="437" customFormat="1" ht="25.15" customHeight="1"/>
    <row r="1030" s="437" customFormat="1" ht="25.15" customHeight="1"/>
    <row r="1031" s="437" customFormat="1" ht="24.95" customHeight="1"/>
    <row r="1032" s="437" customFormat="1" ht="24.95" customHeight="1"/>
    <row r="1033" s="437" customFormat="1" ht="24.95" customHeight="1"/>
    <row r="1034" s="437" customFormat="1" ht="24.95" customHeight="1"/>
    <row r="1035" s="437" customFormat="1" ht="24.95" customHeight="1"/>
    <row r="1036" s="437" customFormat="1" ht="24.95" customHeight="1"/>
    <row r="1037" s="437" customFormat="1" ht="24.95" customHeight="1"/>
    <row r="1038" s="437" customFormat="1" ht="24.95" customHeight="1"/>
    <row r="1039" s="437" customFormat="1" ht="24.95" customHeight="1"/>
    <row r="1040" s="437" customFormat="1" ht="24.95" customHeight="1"/>
    <row r="1041" s="437" customFormat="1" ht="24.95" customHeight="1"/>
    <row r="1042" s="437" customFormat="1" ht="24.95" customHeight="1"/>
    <row r="1043" s="437" customFormat="1" ht="24.95" customHeight="1"/>
    <row r="1044" s="437" customFormat="1" ht="24.95" customHeight="1"/>
    <row r="1045" s="437" customFormat="1" ht="24.95" customHeight="1"/>
    <row r="1046" s="437" customFormat="1" ht="24.95" customHeight="1"/>
    <row r="1047" s="437" customFormat="1" ht="24.95" customHeight="1"/>
    <row r="1048" s="437" customFormat="1" ht="24.95" customHeight="1"/>
    <row r="1049" s="437" customFormat="1" ht="24.95" customHeight="1"/>
    <row r="1050" s="437" customFormat="1" ht="24.95" customHeight="1"/>
    <row r="1051" s="437" customFormat="1" ht="24.95" customHeight="1"/>
    <row r="1052" s="437" customFormat="1" ht="24.95" customHeight="1"/>
    <row r="1053" s="437" customFormat="1" ht="24.95" customHeight="1"/>
    <row r="1054" s="437" customFormat="1" ht="24.95" customHeight="1"/>
    <row r="1055" s="437" customFormat="1" ht="24.95" customHeight="1"/>
    <row r="1056" s="437" customFormat="1" ht="24.95" customHeight="1"/>
    <row r="1057" s="437" customFormat="1" ht="24.95" customHeight="1"/>
    <row r="1058" s="437" customFormat="1" ht="24.95" customHeight="1"/>
    <row r="1059" s="437" customFormat="1" ht="24.95" customHeight="1"/>
    <row r="1060" s="437" customFormat="1" ht="24.95" customHeight="1"/>
    <row r="1061" s="437" customFormat="1" ht="24.95" customHeight="1"/>
    <row r="1062" s="437" customFormat="1" ht="24.95" customHeight="1"/>
    <row r="1063" s="437" customFormat="1" ht="24.95" customHeight="1"/>
    <row r="1064" s="437" customFormat="1" ht="24.95" customHeight="1"/>
    <row r="1065" s="437" customFormat="1" ht="24.95" customHeight="1"/>
    <row r="1066" s="437" customFormat="1" ht="24.95" customHeight="1"/>
    <row r="1067" s="437" customFormat="1" ht="24.95" customHeight="1"/>
    <row r="1068" s="437" customFormat="1" ht="24.95" customHeight="1"/>
    <row r="1069" s="437" customFormat="1" ht="24.95" customHeight="1"/>
    <row r="1070" s="437" customFormat="1" ht="24.95" customHeight="1"/>
    <row r="1071" s="437" customFormat="1" ht="24.95" customHeight="1"/>
    <row r="1072" s="437" customFormat="1" ht="24.95" customHeight="1"/>
    <row r="1073" s="437" customFormat="1" ht="24.95" customHeight="1"/>
    <row r="1074" s="437" customFormat="1" ht="24.95" customHeight="1"/>
    <row r="1075" s="437" customFormat="1" ht="24.95" customHeight="1"/>
    <row r="1076" s="437" customFormat="1" ht="24.95" customHeight="1"/>
    <row r="1077" s="437" customFormat="1" ht="24.95" customHeight="1"/>
    <row r="1078" s="437" customFormat="1" ht="24.95" customHeight="1"/>
    <row r="1079" s="437" customFormat="1" ht="24.95" customHeight="1"/>
    <row r="1080" s="437" customFormat="1" ht="24.95" customHeight="1"/>
    <row r="1081" s="437" customFormat="1" ht="24.95" customHeight="1"/>
    <row r="1082" s="437" customFormat="1" ht="24.95" customHeight="1"/>
    <row r="1083" s="437" customFormat="1" ht="24.95" customHeight="1"/>
    <row r="1084" s="437" customFormat="1" ht="24.95" customHeight="1"/>
    <row r="1085" s="437" customFormat="1" ht="24.95" customHeight="1"/>
    <row r="1086" s="437" customFormat="1" ht="24.95" customHeight="1"/>
    <row r="1087" s="437" customFormat="1" ht="24.95" customHeight="1"/>
    <row r="1088" s="437" customFormat="1" ht="24.95" customHeight="1"/>
    <row r="1089" s="437" customFormat="1" ht="24.95" customHeight="1"/>
    <row r="1090" s="437" customFormat="1" ht="24.95" customHeight="1"/>
    <row r="1091" s="437" customFormat="1" ht="24.95" customHeight="1"/>
    <row r="1092" s="437" customFormat="1" ht="24.95" customHeight="1"/>
    <row r="1093" s="437" customFormat="1" ht="24.95" customHeight="1"/>
    <row r="1094" s="437" customFormat="1" ht="24.95" customHeight="1"/>
    <row r="1095" s="437" customFormat="1" ht="24.95" customHeight="1"/>
    <row r="1096" s="437" customFormat="1" ht="24.95" customHeight="1"/>
    <row r="1097" s="437" customFormat="1" ht="24.95" customHeight="1"/>
    <row r="1098" s="437" customFormat="1" ht="24.95" customHeight="1"/>
    <row r="1099" s="437" customFormat="1" ht="24.95" customHeight="1"/>
    <row r="1100" s="437" customFormat="1" ht="24.95" customHeight="1"/>
    <row r="1101" s="437" customFormat="1" ht="24.95" customHeight="1"/>
    <row r="1102" s="437" customFormat="1" ht="24.95" customHeight="1"/>
    <row r="1103" s="437" customFormat="1" ht="24.95" customHeight="1"/>
    <row r="1104" s="437" customFormat="1" ht="24.95" customHeight="1"/>
    <row r="1105" s="437" customFormat="1" ht="24.95" customHeight="1"/>
    <row r="1106" s="437" customFormat="1" ht="24.95" customHeight="1"/>
    <row r="1107" s="437" customFormat="1" ht="24.95" customHeight="1"/>
    <row r="1108" s="437" customFormat="1" ht="24.95" customHeight="1"/>
    <row r="1109" s="437" customFormat="1" ht="24.95" customHeight="1"/>
    <row r="1110" s="437" customFormat="1" ht="24.95" customHeight="1"/>
    <row r="1111" s="437" customFormat="1" ht="24.95" customHeight="1"/>
    <row r="1112" s="437" customFormat="1" ht="24.95" customHeight="1"/>
    <row r="1113" s="437" customFormat="1" ht="24.95" customHeight="1"/>
    <row r="1114" s="437" customFormat="1" ht="24.95" customHeight="1"/>
    <row r="1115" s="437" customFormat="1" ht="24.95" customHeight="1"/>
    <row r="1116" s="437" customFormat="1" ht="24.95" customHeight="1"/>
    <row r="1117" s="437" customFormat="1" ht="24.95" customHeight="1"/>
    <row r="1118" s="437" customFormat="1" ht="24.95" customHeight="1"/>
    <row r="1119" s="437" customFormat="1" ht="24.95" customHeight="1"/>
    <row r="1120" s="437" customFormat="1" ht="24.95" customHeight="1"/>
    <row r="1121" s="437" customFormat="1" ht="24.95" customHeight="1"/>
    <row r="1122" s="437" customFormat="1" ht="24.95" customHeight="1"/>
    <row r="1123" s="437" customFormat="1" ht="24.95" customHeight="1"/>
    <row r="1124" s="437" customFormat="1" ht="24.95" customHeight="1"/>
    <row r="1125" s="437" customFormat="1" ht="24.95" customHeight="1"/>
    <row r="1126" s="437" customFormat="1" ht="24.95" customHeight="1"/>
    <row r="1127" s="437" customFormat="1" ht="24.95" customHeight="1"/>
    <row r="1128" s="437" customFormat="1" ht="24.95" customHeight="1"/>
    <row r="1129" s="437" customFormat="1" ht="24.95" customHeight="1"/>
    <row r="1130" s="437" customFormat="1" ht="24.95" customHeight="1"/>
    <row r="1131" s="437" customFormat="1" ht="24.95" customHeight="1"/>
    <row r="1132" s="437" customFormat="1" ht="24.95" customHeight="1"/>
    <row r="1133" s="437" customFormat="1" ht="24.95" customHeight="1"/>
    <row r="1134" s="437" customFormat="1" ht="24.95" customHeight="1"/>
    <row r="1135" s="437" customFormat="1" ht="24.95" customHeight="1"/>
    <row r="1136" s="437" customFormat="1" ht="24.95" customHeight="1"/>
    <row r="1137" s="437" customFormat="1" ht="24.95" customHeight="1"/>
    <row r="1138" s="437" customFormat="1" ht="24.95" customHeight="1"/>
    <row r="1139" s="437" customFormat="1" ht="24.95" customHeight="1"/>
    <row r="1140" s="437" customFormat="1" ht="24.95" customHeight="1"/>
    <row r="1141" s="437" customFormat="1" ht="24.95" customHeight="1"/>
    <row r="1142" s="437" customFormat="1" ht="24.95" customHeight="1"/>
    <row r="1143" s="437" customFormat="1" ht="24.95" customHeight="1"/>
    <row r="1144" s="437" customFormat="1" ht="24.95" customHeight="1"/>
    <row r="1145" s="437" customFormat="1" ht="24.95" customHeight="1"/>
    <row r="1146" s="437" customFormat="1" ht="24.95" customHeight="1"/>
    <row r="1147" s="437" customFormat="1" ht="24.95" customHeight="1"/>
    <row r="1148" s="437" customFormat="1" ht="24.95" customHeight="1"/>
    <row r="1149" s="437" customFormat="1" ht="24.95" customHeight="1"/>
    <row r="1150" s="437" customFormat="1" ht="24.95" customHeight="1"/>
    <row r="1151" s="437" customFormat="1" ht="24.95" customHeight="1"/>
    <row r="1152" s="437" customFormat="1" ht="24.95" customHeight="1"/>
    <row r="1153" s="437" customFormat="1" ht="24.95" customHeight="1"/>
    <row r="1154" s="437" customFormat="1" ht="24.95" customHeight="1"/>
    <row r="1155" s="437" customFormat="1" ht="24.95" customHeight="1"/>
    <row r="1156" s="437" customFormat="1" ht="24.95" customHeight="1"/>
    <row r="1157" s="437" customFormat="1" ht="24.95" customHeight="1"/>
    <row r="1158" s="437" customFormat="1" ht="24.95" customHeight="1"/>
    <row r="1159" s="437" customFormat="1" ht="24.95" customHeight="1"/>
    <row r="1160" s="437" customFormat="1" ht="24.95" customHeight="1"/>
    <row r="1161" s="437" customFormat="1" ht="24.95" customHeight="1"/>
    <row r="1162" s="437" customFormat="1" ht="24.95" customHeight="1"/>
    <row r="1163" s="437" customFormat="1" ht="24.95" customHeight="1"/>
    <row r="1164" s="437" customFormat="1" ht="24.95" customHeight="1"/>
    <row r="1165" s="437" customFormat="1" ht="24.95" customHeight="1"/>
    <row r="1166" s="437" customFormat="1" ht="24.95" customHeight="1"/>
    <row r="1167" s="437" customFormat="1" ht="24.95" customHeight="1"/>
    <row r="1168" s="437" customFormat="1" ht="24.95" customHeight="1"/>
    <row r="1169" s="437" customFormat="1" ht="24.95" customHeight="1"/>
    <row r="1170" s="437" customFormat="1" ht="24.95" customHeight="1"/>
    <row r="1171" s="437" customFormat="1" ht="24.95" customHeight="1"/>
    <row r="1172" s="437" customFormat="1" ht="24.95" customHeight="1"/>
    <row r="1173" s="437" customFormat="1" ht="24.95" customHeight="1"/>
    <row r="1174" s="437" customFormat="1" ht="24.95" customHeight="1"/>
    <row r="1175" s="437" customFormat="1" ht="24.95" customHeight="1"/>
    <row r="1176" s="437" customFormat="1" ht="24.95" customHeight="1"/>
    <row r="1177" s="437" customFormat="1" ht="24.95" customHeight="1"/>
    <row r="1178" s="437" customFormat="1" ht="24.95" customHeight="1"/>
    <row r="1179" s="437" customFormat="1" ht="24.95" customHeight="1"/>
    <row r="1180" s="437" customFormat="1" ht="24.95" customHeight="1"/>
    <row r="1181" s="437" customFormat="1" ht="24.95" customHeight="1"/>
    <row r="1182" s="437" customFormat="1" ht="24.95" customHeight="1"/>
    <row r="1183" s="437" customFormat="1" ht="24.95" customHeight="1"/>
    <row r="1184" s="437" customFormat="1" ht="24.95" customHeight="1"/>
    <row r="1185" s="437" customFormat="1" ht="24.95" customHeight="1"/>
    <row r="1186" s="437" customFormat="1" ht="24.95" customHeight="1"/>
    <row r="1187" s="437" customFormat="1" ht="24.95" customHeight="1"/>
    <row r="1188" s="437" customFormat="1" ht="24.95" customHeight="1"/>
    <row r="1189" s="437" customFormat="1" ht="24.95" customHeight="1"/>
    <row r="1190" s="437" customFormat="1" ht="24.95" customHeight="1"/>
    <row r="1191" s="437" customFormat="1" ht="24.95" customHeight="1"/>
    <row r="1192" s="437" customFormat="1" ht="24.95" customHeight="1"/>
    <row r="1193" s="437" customFormat="1" ht="24.95" customHeight="1"/>
    <row r="1194" s="437" customFormat="1" ht="24.95" customHeight="1"/>
    <row r="1195" s="437" customFormat="1" ht="24.95" customHeight="1"/>
    <row r="1196" s="437" customFormat="1" ht="24.95" customHeight="1"/>
    <row r="1197" s="437" customFormat="1" ht="24.95" customHeight="1"/>
    <row r="1198" s="437" customFormat="1" ht="24.95" customHeight="1"/>
    <row r="1199" s="437" customFormat="1" ht="24.95" customHeight="1"/>
    <row r="1200" s="437" customFormat="1" ht="24.95" customHeight="1"/>
    <row r="1201" s="437" customFormat="1" ht="24.95" customHeight="1"/>
    <row r="1202" s="437" customFormat="1" ht="24.95" customHeight="1"/>
    <row r="1203" s="437" customFormat="1" ht="24.95" customHeight="1"/>
    <row r="1204" s="437" customFormat="1" ht="24.95" customHeight="1"/>
    <row r="1205" s="437" customFormat="1" ht="24.95" customHeight="1"/>
    <row r="1206" s="437" customFormat="1" ht="24.95" customHeight="1"/>
    <row r="1207" s="437" customFormat="1" ht="24.95" customHeight="1"/>
    <row r="1208" s="437" customFormat="1" ht="24.95" customHeight="1"/>
    <row r="1209" s="437" customFormat="1" ht="24.95" customHeight="1"/>
    <row r="1210" s="437" customFormat="1" ht="24.95" customHeight="1"/>
    <row r="1211" s="437" customFormat="1" ht="24.95" customHeight="1"/>
    <row r="1212" s="437" customFormat="1" ht="24.95" customHeight="1"/>
    <row r="1213" s="437" customFormat="1" ht="24.95" customHeight="1"/>
    <row r="1214" s="437" customFormat="1" ht="24.95" customHeight="1"/>
    <row r="1215" s="437" customFormat="1" ht="24.95" customHeight="1"/>
    <row r="1216" s="437" customFormat="1" ht="24.95" customHeight="1"/>
    <row r="1217" s="437" customFormat="1" ht="24.95" customHeight="1"/>
    <row r="1218" s="437" customFormat="1" ht="24.95" customHeight="1"/>
    <row r="1219" s="437" customFormat="1" ht="24.95" customHeight="1"/>
    <row r="1220" s="437" customFormat="1" ht="24.95" customHeight="1"/>
    <row r="1221" s="437" customFormat="1" ht="24.95" customHeight="1"/>
    <row r="1222" s="437" customFormat="1" ht="24.95" customHeight="1"/>
    <row r="1223" s="437" customFormat="1" ht="24.95" customHeight="1"/>
    <row r="1224" s="437" customFormat="1" ht="24.95" customHeight="1"/>
    <row r="1225" s="437" customFormat="1" ht="24.95" customHeight="1"/>
    <row r="1226" s="437" customFormat="1" ht="24.95" customHeight="1"/>
    <row r="1227" s="437" customFormat="1" ht="24.95" customHeight="1"/>
    <row r="1228" s="437" customFormat="1" ht="24.95" customHeight="1"/>
    <row r="1229" s="437" customFormat="1" ht="24.95" customHeight="1"/>
    <row r="1230" s="437" customFormat="1" ht="24.95" customHeight="1"/>
    <row r="1231" s="437" customFormat="1" ht="24.95" customHeight="1"/>
    <row r="1232" s="437" customFormat="1" ht="24.95" customHeight="1"/>
    <row r="1233" s="437" customFormat="1" ht="24.95" customHeight="1"/>
    <row r="1234" s="437" customFormat="1" ht="24.95" customHeight="1"/>
    <row r="1235" s="437" customFormat="1" ht="24.95" customHeight="1"/>
    <row r="1236" s="437" customFormat="1" ht="24.95" customHeight="1"/>
    <row r="1237" s="437" customFormat="1" ht="24.95" customHeight="1"/>
    <row r="1238" s="437" customFormat="1" ht="24.95" customHeight="1"/>
    <row r="1239" s="437" customFormat="1" ht="24.95" customHeight="1"/>
    <row r="1240" s="437" customFormat="1" ht="24.95" customHeight="1"/>
    <row r="1241" s="437" customFormat="1" ht="24.95" customHeight="1"/>
    <row r="1242" s="437" customFormat="1" ht="24.95" customHeight="1"/>
    <row r="1243" s="437" customFormat="1" ht="24.95" customHeight="1"/>
    <row r="1244" s="437" customFormat="1" ht="24.95" customHeight="1"/>
    <row r="1245" s="437" customFormat="1" ht="24.95" customHeight="1"/>
    <row r="1246" s="437" customFormat="1" ht="24.95" customHeight="1"/>
    <row r="1247" s="437" customFormat="1" ht="24.95" customHeight="1"/>
    <row r="1248" s="437" customFormat="1" ht="24.95" customHeight="1"/>
    <row r="1249" s="437" customFormat="1" ht="24.95" customHeight="1"/>
    <row r="1250" s="437" customFormat="1" ht="24.95" customHeight="1"/>
    <row r="1251" s="437" customFormat="1" ht="24.95" customHeight="1"/>
    <row r="1252" s="437" customFormat="1" ht="24.95" customHeight="1"/>
    <row r="1253" s="437" customFormat="1" ht="24.95" customHeight="1"/>
    <row r="1254" s="437" customFormat="1" ht="24.95" customHeight="1"/>
    <row r="1255" s="437" customFormat="1" ht="24.95" customHeight="1"/>
    <row r="1256" s="437" customFormat="1" ht="24.95" customHeight="1"/>
    <row r="1257" s="437" customFormat="1" ht="24.95" customHeight="1"/>
    <row r="1258" s="437" customFormat="1" ht="24.95" customHeight="1"/>
    <row r="1259" s="437" customFormat="1" ht="24.95" customHeight="1"/>
    <row r="1260" s="437" customFormat="1" ht="24.95" customHeight="1"/>
    <row r="1261" s="437" customFormat="1" ht="24.95" customHeight="1"/>
    <row r="1262" s="437" customFormat="1" ht="24.95" customHeight="1"/>
    <row r="1263" s="437" customFormat="1" ht="24.95" customHeight="1"/>
    <row r="1264" s="437" customFormat="1" ht="24.95" customHeight="1"/>
    <row r="1265" s="437" customFormat="1" ht="24.95" customHeight="1"/>
    <row r="1266" s="437" customFormat="1" ht="24.95" customHeight="1"/>
    <row r="1267" s="437" customFormat="1" ht="24.95" customHeight="1"/>
    <row r="1268" s="437" customFormat="1" ht="24.95" customHeight="1"/>
    <row r="1269" s="437" customFormat="1" ht="24.95" customHeight="1"/>
    <row r="1270" s="437" customFormat="1" ht="24.95" customHeight="1"/>
    <row r="1271" s="437" customFormat="1" ht="24.95" customHeight="1"/>
    <row r="1272" s="437" customFormat="1" ht="24.95" customHeight="1"/>
    <row r="1273" s="437" customFormat="1" ht="24.95" customHeight="1"/>
    <row r="1274" s="437" customFormat="1" ht="24.95" customHeight="1"/>
    <row r="1275" s="437" customFormat="1" ht="24.95" customHeight="1"/>
    <row r="1276" s="437" customFormat="1" ht="24.95" customHeight="1"/>
    <row r="1277" s="437" customFormat="1" ht="24.95" customHeight="1"/>
    <row r="1278" s="437" customFormat="1" ht="24.95" customHeight="1"/>
    <row r="1279" s="437" customFormat="1" ht="24.95" customHeight="1"/>
    <row r="1280" s="437" customFormat="1" ht="24.95" customHeight="1"/>
    <row r="1281" s="437" customFormat="1" ht="24.95" customHeight="1"/>
    <row r="1282" s="437" customFormat="1" ht="24.95" customHeight="1"/>
    <row r="1283" s="437" customFormat="1" ht="24.95" customHeight="1"/>
    <row r="1284" s="437" customFormat="1" ht="24.95" customHeight="1"/>
    <row r="1285" s="437" customFormat="1" ht="24.95" customHeight="1"/>
    <row r="1286" s="437" customFormat="1" ht="24.95" customHeight="1"/>
    <row r="1287" s="437" customFormat="1" ht="24.95" customHeight="1"/>
    <row r="1288" s="437" customFormat="1" ht="24.95" customHeight="1"/>
    <row r="1289" s="437" customFormat="1" ht="24.95" customHeight="1"/>
    <row r="1290" s="437" customFormat="1" ht="24.95" customHeight="1"/>
    <row r="1291" s="437" customFormat="1" ht="24.95" customHeight="1"/>
    <row r="1292" s="437" customFormat="1" ht="24.95" customHeight="1"/>
    <row r="1293" s="437" customFormat="1" ht="24.95" customHeight="1"/>
    <row r="1294" s="437" customFormat="1" ht="24.95" customHeight="1"/>
    <row r="1295" s="437" customFormat="1" ht="24.95" customHeight="1"/>
    <row r="1296" s="437" customFormat="1" ht="24.95" customHeight="1"/>
    <row r="1297" s="437" customFormat="1" ht="24.95" customHeight="1"/>
    <row r="1298" s="437" customFormat="1" ht="24.95" customHeight="1"/>
    <row r="1299" s="437" customFormat="1" ht="24.95" customHeight="1"/>
    <row r="1300" s="437" customFormat="1" ht="24.95" customHeight="1"/>
    <row r="1301" s="437" customFormat="1" ht="24.95" customHeight="1"/>
    <row r="1302" s="437" customFormat="1" ht="24.95" customHeight="1"/>
    <row r="1303" s="437" customFormat="1" ht="24.95" customHeight="1"/>
    <row r="1304" s="437" customFormat="1" ht="24.95" customHeight="1"/>
    <row r="1305" s="437" customFormat="1" ht="24.95" customHeight="1"/>
    <row r="1306" s="437" customFormat="1" ht="24.95" customHeight="1"/>
    <row r="1307" s="437" customFormat="1" ht="24.95" customHeight="1"/>
    <row r="1308" s="437" customFormat="1" ht="24.95" customHeight="1"/>
    <row r="1309" s="437" customFormat="1" ht="24.95" customHeight="1"/>
    <row r="1310" s="437" customFormat="1" ht="24.95" customHeight="1"/>
    <row r="1311" s="437" customFormat="1" ht="24.95" customHeight="1"/>
    <row r="1312" s="437" customFormat="1" ht="24.95" customHeight="1"/>
    <row r="1313" s="437" customFormat="1" ht="24.95" customHeight="1"/>
    <row r="1314" s="437" customFormat="1" ht="24.95" customHeight="1"/>
    <row r="1315" s="437" customFormat="1" ht="24.95" customHeight="1"/>
    <row r="1316" s="437" customFormat="1" ht="24.95" customHeight="1"/>
    <row r="1317" s="437" customFormat="1" ht="24.95" customHeight="1"/>
    <row r="1318" s="437" customFormat="1" ht="24.95" customHeight="1"/>
    <row r="1319" s="437" customFormat="1" ht="24.95" customHeight="1"/>
    <row r="1320" s="437" customFormat="1" ht="24.95" customHeight="1"/>
    <row r="1321" s="437" customFormat="1" ht="24.95" customHeight="1"/>
    <row r="1322" s="437" customFormat="1" ht="24.95" customHeight="1"/>
    <row r="1323" s="437" customFormat="1" ht="24.95" customHeight="1"/>
    <row r="1324" s="437" customFormat="1" ht="24.95" customHeight="1"/>
    <row r="1325" s="437" customFormat="1" ht="24.95" customHeight="1"/>
    <row r="1326" s="437" customFormat="1" ht="24.95" customHeight="1"/>
    <row r="1327" s="437" customFormat="1" ht="24.95" customHeight="1"/>
    <row r="1328" s="437" customFormat="1" ht="24.95" customHeight="1"/>
    <row r="1329" s="437" customFormat="1" ht="24.95" customHeight="1"/>
    <row r="1330" s="437" customFormat="1" ht="24.95" customHeight="1"/>
    <row r="1331" s="437" customFormat="1" ht="24.95" customHeight="1"/>
    <row r="1332" s="437" customFormat="1" ht="24.95" customHeight="1"/>
    <row r="1333" s="437" customFormat="1" ht="24.95" customHeight="1"/>
    <row r="1334" s="437" customFormat="1" ht="24.95" customHeight="1"/>
    <row r="1335" s="437" customFormat="1" ht="24.95" customHeight="1"/>
    <row r="1336" s="437" customFormat="1" ht="24.95" customHeight="1"/>
    <row r="1337" s="437" customFormat="1" ht="24.95" customHeight="1"/>
    <row r="1338" s="437" customFormat="1" ht="24.95" customHeight="1"/>
    <row r="1339" s="437" customFormat="1" ht="24.95" customHeight="1"/>
    <row r="1340" s="437" customFormat="1" ht="24.95" customHeight="1"/>
    <row r="1341" s="437" customFormat="1" ht="24.95" customHeight="1"/>
    <row r="1342" s="437" customFormat="1" ht="24.95" customHeight="1"/>
    <row r="1343" s="437" customFormat="1" ht="24.95" customHeight="1"/>
    <row r="1344" s="437" customFormat="1" ht="24.95" customHeight="1"/>
    <row r="1345" s="437" customFormat="1" ht="24.95" customHeight="1"/>
    <row r="1346" s="437" customFormat="1" ht="24.95" customHeight="1"/>
    <row r="1347" s="437" customFormat="1" ht="24.95" customHeight="1"/>
    <row r="1348" s="437" customFormat="1" ht="24.95" customHeight="1"/>
    <row r="1349" s="437" customFormat="1" ht="24.95" customHeight="1"/>
    <row r="1350" s="437" customFormat="1" ht="24.95" customHeight="1"/>
    <row r="1351" s="437" customFormat="1" ht="24.95" customHeight="1"/>
    <row r="1352" s="437" customFormat="1" ht="24.95" customHeight="1"/>
    <row r="1353" s="437" customFormat="1" ht="24.95" customHeight="1"/>
    <row r="1354" s="437" customFormat="1" ht="24.95" customHeight="1"/>
    <row r="1355" s="437" customFormat="1" ht="24.95" customHeight="1"/>
    <row r="1356" s="437" customFormat="1" ht="24.95" customHeight="1"/>
    <row r="1357" s="437" customFormat="1" ht="24.95" customHeight="1"/>
    <row r="1358" s="437" customFormat="1" ht="24.95" customHeight="1"/>
    <row r="1359" s="437" customFormat="1" ht="24.95" customHeight="1"/>
    <row r="1360" s="437" customFormat="1" ht="24.95" customHeight="1"/>
    <row r="1361" s="437" customFormat="1" ht="24.95" customHeight="1"/>
    <row r="1362" s="437" customFormat="1" ht="24.95" customHeight="1"/>
    <row r="1363" s="437" customFormat="1" ht="24.95" customHeight="1"/>
    <row r="1364" s="437" customFormat="1" ht="24.95" customHeight="1"/>
    <row r="1365" s="437" customFormat="1" ht="24.95" customHeight="1"/>
    <row r="1366" s="437" customFormat="1" ht="24.95" customHeight="1"/>
    <row r="1367" s="437" customFormat="1" ht="24.95" customHeight="1"/>
    <row r="1368" s="437" customFormat="1" ht="24.95" customHeight="1"/>
    <row r="1369" s="437" customFormat="1" ht="24.95" customHeight="1"/>
    <row r="1370" s="437" customFormat="1" ht="24.95" customHeight="1"/>
    <row r="1371" s="437" customFormat="1" ht="24.95" customHeight="1"/>
    <row r="1372" s="437" customFormat="1" ht="24.95" customHeight="1"/>
    <row r="1373" s="437" customFormat="1" ht="24.95" customHeight="1"/>
    <row r="1374" s="437" customFormat="1" ht="24.95" customHeight="1"/>
    <row r="1375" s="437" customFormat="1" ht="24.95" customHeight="1"/>
    <row r="1376" s="437" customFormat="1" ht="24.95" customHeight="1"/>
    <row r="1377" s="437" customFormat="1" ht="24.95" customHeight="1"/>
    <row r="1378" s="437" customFormat="1" ht="24.95" customHeight="1"/>
    <row r="1379" s="437" customFormat="1" ht="24.95" customHeight="1"/>
    <row r="1380" s="437" customFormat="1" ht="24.95" customHeight="1"/>
    <row r="1381" s="437" customFormat="1" ht="24.95" customHeight="1"/>
    <row r="1382" s="437" customFormat="1" ht="24.95" customHeight="1"/>
    <row r="1383" s="437" customFormat="1" ht="24.95" customHeight="1"/>
    <row r="1384" s="437" customFormat="1" ht="24.95" customHeight="1"/>
    <row r="1385" s="437" customFormat="1" ht="24.95" customHeight="1"/>
    <row r="1386" s="437" customFormat="1" ht="24.95" customHeight="1"/>
    <row r="1387" s="437" customFormat="1" ht="24.95" customHeight="1"/>
    <row r="1388" s="437" customFormat="1" ht="24.95" customHeight="1"/>
    <row r="1389" s="437" customFormat="1" ht="24.95" customHeight="1"/>
    <row r="1390" s="437" customFormat="1" ht="24.95" customHeight="1"/>
    <row r="1391" s="437" customFormat="1" ht="24.95" customHeight="1"/>
    <row r="1392" s="437" customFormat="1" ht="24.95" customHeight="1"/>
    <row r="1393" s="437" customFormat="1" ht="24.95" customHeight="1"/>
    <row r="1394" s="437" customFormat="1" ht="24.95" customHeight="1"/>
    <row r="1395" s="437" customFormat="1" ht="24.95" customHeight="1"/>
    <row r="1396" s="437" customFormat="1" ht="24.95" customHeight="1"/>
    <row r="1397" s="437" customFormat="1" ht="24.95" customHeight="1"/>
    <row r="1398" s="437" customFormat="1" ht="24.95" customHeight="1"/>
    <row r="1399" s="437" customFormat="1" ht="24.95" customHeight="1"/>
    <row r="1400" s="437" customFormat="1" ht="24.95" customHeight="1"/>
    <row r="1401" s="437" customFormat="1" ht="24.95" customHeight="1"/>
    <row r="1402" s="437" customFormat="1" ht="24.95" customHeight="1"/>
    <row r="1403" s="437" customFormat="1" ht="24.95" customHeight="1"/>
    <row r="1404" s="437" customFormat="1" ht="24.95" customHeight="1"/>
    <row r="1405" s="437" customFormat="1" ht="24.95" customHeight="1"/>
    <row r="1406" s="437" customFormat="1" ht="24.95" customHeight="1"/>
    <row r="1407" s="437" customFormat="1" ht="24.95" customHeight="1"/>
    <row r="1408" s="437" customFormat="1" ht="24.95" customHeight="1"/>
    <row r="1409" s="437" customFormat="1" ht="24.95" customHeight="1"/>
    <row r="1410" s="437" customFormat="1" ht="24.95" customHeight="1"/>
    <row r="1411" s="437" customFormat="1" ht="24.95" customHeight="1"/>
    <row r="1412" s="437" customFormat="1" ht="24.95" customHeight="1"/>
    <row r="1413" s="437" customFormat="1" ht="24.95" customHeight="1"/>
    <row r="1414" s="437" customFormat="1" ht="24.95" customHeight="1"/>
    <row r="1415" s="437" customFormat="1" ht="24.95" customHeight="1"/>
    <row r="1416" s="437" customFormat="1" ht="24.95" customHeight="1"/>
    <row r="1417" s="437" customFormat="1" ht="24.95" customHeight="1"/>
    <row r="1418" s="437" customFormat="1" ht="24.95" customHeight="1"/>
    <row r="1419" s="437" customFormat="1" ht="24.95" customHeight="1"/>
    <row r="1420" s="437" customFormat="1" ht="24.95" customHeight="1"/>
    <row r="1421" s="437" customFormat="1" ht="24.95" customHeight="1"/>
    <row r="1422" s="437" customFormat="1" ht="24.95" customHeight="1"/>
    <row r="1423" s="437" customFormat="1" ht="24.95" customHeight="1"/>
    <row r="1424" s="437" customFormat="1" ht="24.95" customHeight="1"/>
    <row r="1425" s="437" customFormat="1" ht="24.95" customHeight="1"/>
    <row r="1426" s="437" customFormat="1" ht="24.95" customHeight="1"/>
    <row r="1427" s="437" customFormat="1" ht="24.95" customHeight="1"/>
    <row r="1428" s="437" customFormat="1" ht="24.95" customHeight="1"/>
    <row r="1429" s="437" customFormat="1" ht="24.95" customHeight="1"/>
    <row r="1430" s="437" customFormat="1" ht="24.95" customHeight="1"/>
    <row r="1431" s="437" customFormat="1" ht="24.95" customHeight="1"/>
    <row r="1432" s="437" customFormat="1" ht="24.95" customHeight="1"/>
    <row r="1433" s="437" customFormat="1" ht="24.95" customHeight="1"/>
    <row r="1434" s="437" customFormat="1" ht="24.95" customHeight="1"/>
    <row r="1435" s="437" customFormat="1" ht="24.95" customHeight="1"/>
    <row r="1436" s="437" customFormat="1" ht="24.95" customHeight="1"/>
    <row r="1437" s="437" customFormat="1" ht="24.95" customHeight="1"/>
    <row r="1438" s="437" customFormat="1" ht="24.95" customHeight="1"/>
    <row r="1439" s="437" customFormat="1" ht="24.95" customHeight="1"/>
    <row r="1440" s="437" customFormat="1" ht="24.95" customHeight="1"/>
    <row r="1441" s="437" customFormat="1" ht="24.95" customHeight="1"/>
    <row r="1442" s="437" customFormat="1" ht="24.95" customHeight="1"/>
    <row r="1443" s="437" customFormat="1" ht="24.95" customHeight="1"/>
    <row r="1444" s="437" customFormat="1" ht="24.95" customHeight="1"/>
    <row r="1445" s="437" customFormat="1" ht="24.95" customHeight="1"/>
    <row r="1446" s="437" customFormat="1" ht="24.95" customHeight="1"/>
    <row r="1447" s="437" customFormat="1" ht="24.95" customHeight="1"/>
    <row r="1448" s="437" customFormat="1" ht="24.95" customHeight="1"/>
    <row r="1449" s="437" customFormat="1" ht="24.95" customHeight="1"/>
    <row r="1450" s="437" customFormat="1" ht="24.95" customHeight="1"/>
    <row r="1451" s="437" customFormat="1" ht="24.95" customHeight="1"/>
    <row r="1452" s="437" customFormat="1" ht="24.95" customHeight="1"/>
    <row r="1453" s="437" customFormat="1" ht="24.95" customHeight="1"/>
    <row r="1454" s="437" customFormat="1" ht="24.95" customHeight="1"/>
    <row r="1455" s="437" customFormat="1" ht="24.95" customHeight="1"/>
    <row r="1456" s="437" customFormat="1" ht="24.95" customHeight="1"/>
    <row r="1457" s="437" customFormat="1" ht="24.95" customHeight="1"/>
    <row r="1458" s="437" customFormat="1" ht="24.95" customHeight="1"/>
    <row r="1459" s="437" customFormat="1" ht="24.95" customHeight="1"/>
    <row r="1460" s="437" customFormat="1" ht="24.95" customHeight="1"/>
    <row r="1461" s="437" customFormat="1" ht="24.95" customHeight="1"/>
    <row r="1462" s="437" customFormat="1" ht="24.95" customHeight="1"/>
    <row r="1463" s="437" customFormat="1" ht="24.95" customHeight="1"/>
    <row r="1464" s="437" customFormat="1" ht="24.95" customHeight="1"/>
    <row r="1465" s="437" customFormat="1" ht="24.95" customHeight="1"/>
    <row r="1466" s="437" customFormat="1" ht="24.95" customHeight="1"/>
    <row r="1467" s="437" customFormat="1" ht="24.95" customHeight="1"/>
    <row r="1468" s="437" customFormat="1" ht="24.95" customHeight="1"/>
    <row r="1469" s="437" customFormat="1" ht="24.95" customHeight="1"/>
    <row r="1470" s="437" customFormat="1" ht="24.95" customHeight="1"/>
    <row r="1471" s="437" customFormat="1" ht="24.95" customHeight="1"/>
    <row r="1472" s="437" customFormat="1" ht="24.95" customHeight="1"/>
    <row r="1473" s="437" customFormat="1" ht="24.95" customHeight="1"/>
    <row r="1474" s="437" customFormat="1" ht="24.95" customHeight="1"/>
    <row r="1475" s="437" customFormat="1" ht="24.95" customHeight="1"/>
    <row r="1476" s="437" customFormat="1" ht="24.95" customHeight="1"/>
    <row r="1477" s="437" customFormat="1" ht="24.95" customHeight="1"/>
    <row r="1478" s="437" customFormat="1" ht="24.95" customHeight="1"/>
    <row r="1479" s="437" customFormat="1" ht="24.95" customHeight="1"/>
    <row r="1480" s="437" customFormat="1" ht="24.95" customHeight="1"/>
    <row r="1481" s="437" customFormat="1" ht="24.95" customHeight="1"/>
    <row r="1482" s="437" customFormat="1" ht="24.95" customHeight="1"/>
    <row r="1483" s="437" customFormat="1" ht="24.95" customHeight="1"/>
    <row r="1484" s="437" customFormat="1" ht="24.95" customHeight="1"/>
    <row r="1485" s="437" customFormat="1" ht="24.95" customHeight="1"/>
    <row r="1486" s="437" customFormat="1" ht="24.95" customHeight="1"/>
    <row r="1487" s="437" customFormat="1" ht="24.95" customHeight="1"/>
    <row r="1488" s="437" customFormat="1" ht="24.95" customHeight="1"/>
    <row r="1489" s="437" customFormat="1" ht="24.95" customHeight="1"/>
    <row r="1490" s="437" customFormat="1" ht="24.95" customHeight="1"/>
    <row r="1491" s="437" customFormat="1" ht="24.95" customHeight="1"/>
    <row r="1492" s="437" customFormat="1" ht="24.95" customHeight="1"/>
    <row r="1493" s="437" customFormat="1" ht="24.95" customHeight="1"/>
    <row r="1494" s="437" customFormat="1" ht="24.95" customHeight="1"/>
    <row r="1495" s="437" customFormat="1" ht="24.95" customHeight="1"/>
    <row r="1496" s="437" customFormat="1" ht="24.95" customHeight="1"/>
    <row r="1497" s="437" customFormat="1" ht="24.95" customHeight="1"/>
    <row r="1498" s="437" customFormat="1" ht="24.95" customHeight="1"/>
    <row r="1499" s="437" customFormat="1" ht="24.95" customHeight="1"/>
    <row r="1500" s="437" customFormat="1" ht="24.95" customHeight="1"/>
    <row r="1501" s="437" customFormat="1" ht="24.95" customHeight="1"/>
    <row r="1502" s="437" customFormat="1" ht="24.95" customHeight="1"/>
    <row r="1503" s="437" customFormat="1" ht="24.95" customHeight="1"/>
    <row r="1504" s="437" customFormat="1" ht="24.95" customHeight="1"/>
    <row r="1505" s="437" customFormat="1" ht="24.95" customHeight="1"/>
    <row r="1506" s="437" customFormat="1" ht="24.95" customHeight="1"/>
    <row r="1507" s="437" customFormat="1" ht="24.95" customHeight="1"/>
    <row r="1508" s="437" customFormat="1" ht="24.95" customHeight="1"/>
    <row r="1509" s="437" customFormat="1" ht="24.95" customHeight="1"/>
    <row r="1510" s="437" customFormat="1" ht="24.95" customHeight="1"/>
    <row r="1511" s="437" customFormat="1" ht="24.95" customHeight="1"/>
    <row r="1512" s="437" customFormat="1" ht="24.95" customHeight="1"/>
    <row r="1513" s="437" customFormat="1" ht="24.95" customHeight="1"/>
    <row r="1514" s="437" customFormat="1" ht="24.95" customHeight="1"/>
    <row r="1515" s="437" customFormat="1" ht="24.95" customHeight="1"/>
    <row r="1516" s="437" customFormat="1" ht="24.95" customHeight="1"/>
    <row r="1517" s="437" customFormat="1" ht="24.95" customHeight="1"/>
    <row r="1518" s="437" customFormat="1" ht="24.95" customHeight="1"/>
    <row r="1519" s="437" customFormat="1" ht="24.95" customHeight="1"/>
    <row r="1520" s="437" customFormat="1" ht="24.95" customHeight="1"/>
    <row r="1521" s="437" customFormat="1" ht="24.95" customHeight="1"/>
    <row r="1522" s="437" customFormat="1" ht="24.95" customHeight="1"/>
    <row r="1523" s="437" customFormat="1" ht="24.95" customHeight="1"/>
    <row r="1524" s="437" customFormat="1" ht="24.95" customHeight="1"/>
    <row r="1525" s="437" customFormat="1" ht="24.95" customHeight="1"/>
    <row r="1526" s="437" customFormat="1" ht="24.95" customHeight="1"/>
    <row r="1527" s="437" customFormat="1" ht="24.95" customHeight="1"/>
    <row r="1528" s="437" customFormat="1" ht="24.95" customHeight="1"/>
    <row r="1529" s="437" customFormat="1" ht="24.95" customHeight="1"/>
    <row r="1530" s="437" customFormat="1" ht="24.95" customHeight="1"/>
    <row r="1531" s="437" customFormat="1" ht="24.95" customHeight="1"/>
    <row r="1532" s="437" customFormat="1" ht="24.95" customHeight="1"/>
    <row r="1533" s="437" customFormat="1" ht="24.95" customHeight="1"/>
    <row r="1534" s="437" customFormat="1" ht="24.95" customHeight="1"/>
    <row r="1535" s="437" customFormat="1" ht="24.95" customHeight="1"/>
    <row r="1536" s="437" customFormat="1" ht="24.95" customHeight="1"/>
    <row r="1537" s="437" customFormat="1" ht="24.95" customHeight="1"/>
    <row r="1538" s="437" customFormat="1" ht="24.95" customHeight="1"/>
    <row r="1539" s="437" customFormat="1" ht="24.95" customHeight="1"/>
    <row r="1540" s="437" customFormat="1" ht="24.95" customHeight="1"/>
    <row r="1541" s="437" customFormat="1" ht="24.95" customHeight="1"/>
    <row r="1542" s="437" customFormat="1" ht="24.95" customHeight="1"/>
    <row r="1543" s="437" customFormat="1" ht="24.95" customHeight="1"/>
    <row r="1544" s="437" customFormat="1" ht="24.95" customHeight="1"/>
    <row r="1545" s="437" customFormat="1" ht="24.95" customHeight="1"/>
    <row r="1546" s="437" customFormat="1" ht="24.95" customHeight="1"/>
    <row r="1547" s="437" customFormat="1" ht="24.95" customHeight="1"/>
    <row r="1548" s="437" customFormat="1" ht="24.95" customHeight="1"/>
    <row r="1549" s="437" customFormat="1" ht="24.95" customHeight="1"/>
    <row r="1550" s="437" customFormat="1" ht="24.95" customHeight="1"/>
    <row r="1551" s="437" customFormat="1" ht="24.95" customHeight="1"/>
    <row r="1552" s="437" customFormat="1" ht="24.95" customHeight="1"/>
    <row r="1553" s="437" customFormat="1" ht="24.95" customHeight="1"/>
    <row r="1554" s="437" customFormat="1" ht="24.95" customHeight="1"/>
    <row r="1555" s="437" customFormat="1" ht="24.95" customHeight="1"/>
    <row r="1556" s="437" customFormat="1" ht="24.95" customHeight="1"/>
    <row r="1557" s="437" customFormat="1" ht="24.95" customHeight="1"/>
    <row r="1558" s="437" customFormat="1" ht="24.95" customHeight="1"/>
    <row r="1559" s="437" customFormat="1" ht="24.95" customHeight="1"/>
    <row r="1560" s="437" customFormat="1" ht="24.95" customHeight="1"/>
    <row r="1561" s="437" customFormat="1" ht="24.95" customHeight="1"/>
    <row r="1562" s="437" customFormat="1" ht="24.95" customHeight="1"/>
    <row r="1563" s="437" customFormat="1" ht="24.95" customHeight="1"/>
    <row r="1564" s="437" customFormat="1" ht="24.95" customHeight="1"/>
    <row r="1565" s="437" customFormat="1" ht="24.95" customHeight="1"/>
    <row r="1566" s="437" customFormat="1" ht="24.95" customHeight="1"/>
    <row r="1567" s="437" customFormat="1" ht="24.95" customHeight="1"/>
    <row r="1568" s="437" customFormat="1" ht="24.95" customHeight="1"/>
    <row r="1569" s="437" customFormat="1" ht="24.95" customHeight="1"/>
    <row r="1570" s="437" customFormat="1" ht="24.95" customHeight="1"/>
    <row r="1571" s="437" customFormat="1" ht="24.95" customHeight="1"/>
    <row r="1572" s="437" customFormat="1" ht="24.95" customHeight="1"/>
    <row r="1573" s="437" customFormat="1" ht="24.95" customHeight="1"/>
    <row r="1574" s="437" customFormat="1" ht="24.95" customHeight="1"/>
    <row r="1575" s="437" customFormat="1" ht="24.95" customHeight="1"/>
    <row r="1576" s="437" customFormat="1" ht="24.95" customHeight="1"/>
    <row r="1577" s="437" customFormat="1" ht="24.95" customHeight="1"/>
    <row r="1578" s="437" customFormat="1" ht="24.95" customHeight="1"/>
    <row r="1579" s="437" customFormat="1" ht="24.95" customHeight="1"/>
    <row r="1580" s="437" customFormat="1" ht="24.95" customHeight="1"/>
    <row r="1581" s="437" customFormat="1" ht="24.95" customHeight="1"/>
    <row r="1582" s="437" customFormat="1" ht="24.95" customHeight="1"/>
    <row r="1583" s="437" customFormat="1" ht="24.95" customHeight="1"/>
    <row r="1584" s="437" customFormat="1" ht="24.95" customHeight="1"/>
    <row r="1585" s="437" customFormat="1" ht="24.95" customHeight="1"/>
    <row r="1586" s="437" customFormat="1" ht="24.95" customHeight="1"/>
    <row r="1587" s="437" customFormat="1" ht="24.95" customHeight="1"/>
    <row r="1588" s="437" customFormat="1" ht="24.95" customHeight="1"/>
    <row r="1589" s="437" customFormat="1" ht="24.95" customHeight="1"/>
    <row r="1590" s="437" customFormat="1" ht="24.95" customHeight="1"/>
    <row r="1591" s="437" customFormat="1" ht="24.95" customHeight="1"/>
    <row r="1592" s="437" customFormat="1" ht="24.95" customHeight="1"/>
    <row r="1593" s="437" customFormat="1" ht="24.95" customHeight="1"/>
    <row r="1594" s="437" customFormat="1" ht="24.95" customHeight="1"/>
    <row r="1595" s="437" customFormat="1" ht="24.95" customHeight="1"/>
    <row r="1596" s="437" customFormat="1" ht="24.95" customHeight="1"/>
    <row r="1597" s="437" customFormat="1" ht="24.95" customHeight="1"/>
    <row r="1598" s="437" customFormat="1" ht="24.95" customHeight="1"/>
    <row r="1599" s="437" customFormat="1" ht="24.95" customHeight="1"/>
    <row r="1600" s="437" customFormat="1" ht="24.95" customHeight="1"/>
    <row r="1601" s="437" customFormat="1" ht="24.95" customHeight="1"/>
    <row r="1602" s="437" customFormat="1" ht="24.95" customHeight="1"/>
    <row r="1603" s="437" customFormat="1" ht="24.95" customHeight="1"/>
    <row r="1604" s="437" customFormat="1" ht="24.95" customHeight="1"/>
    <row r="1605" s="437" customFormat="1" ht="24.95" customHeight="1"/>
    <row r="1606" s="437" customFormat="1" ht="24.95" customHeight="1"/>
    <row r="1607" s="437" customFormat="1" ht="24.95" customHeight="1"/>
    <row r="1608" s="437" customFormat="1" ht="24.95" customHeight="1"/>
    <row r="1609" s="437" customFormat="1" ht="24.95" customHeight="1"/>
    <row r="1610" s="437" customFormat="1" ht="24.95" customHeight="1"/>
    <row r="1611" s="437" customFormat="1" ht="24.95" customHeight="1"/>
    <row r="1612" s="437" customFormat="1" ht="24.95" customHeight="1"/>
    <row r="1613" s="437" customFormat="1" ht="24.95" customHeight="1"/>
    <row r="1614" s="437" customFormat="1" ht="24.95" customHeight="1"/>
    <row r="1615" s="437" customFormat="1" ht="24.95" customHeight="1"/>
    <row r="1616" s="437" customFormat="1" ht="24.95" customHeight="1"/>
    <row r="1617" s="437" customFormat="1" ht="24.95" customHeight="1"/>
    <row r="1618" s="437" customFormat="1" ht="24.95" customHeight="1"/>
    <row r="1619" s="437" customFormat="1" ht="24.95" customHeight="1"/>
    <row r="1620" s="437" customFormat="1" ht="24.95" customHeight="1"/>
    <row r="1621" s="437" customFormat="1" ht="24.95" customHeight="1"/>
    <row r="1622" s="437" customFormat="1" ht="24.95" customHeight="1"/>
    <row r="1623" s="437" customFormat="1" ht="24.95" customHeight="1"/>
    <row r="1624" s="437" customFormat="1" ht="24.95" customHeight="1"/>
    <row r="1625" s="437" customFormat="1" ht="24.95" customHeight="1"/>
    <row r="1626" s="437" customFormat="1" ht="24.95" customHeight="1"/>
    <row r="1627" s="437" customFormat="1" ht="24.95" customHeight="1"/>
    <row r="1628" s="437" customFormat="1" ht="24.95" customHeight="1"/>
    <row r="1629" s="437" customFormat="1" ht="24.95" customHeight="1"/>
    <row r="1630" s="437" customFormat="1" ht="24.95" customHeight="1"/>
    <row r="1631" s="437" customFormat="1" ht="24.95" customHeight="1"/>
    <row r="1632" s="437" customFormat="1" ht="24.95" customHeight="1"/>
    <row r="1633" s="437" customFormat="1" ht="24.95" customHeight="1"/>
    <row r="1634" s="437" customFormat="1" ht="24.95" customHeight="1"/>
    <row r="1635" s="437" customFormat="1" ht="24.95" customHeight="1"/>
    <row r="1636" s="437" customFormat="1" ht="24.95" customHeight="1"/>
    <row r="1637" s="437" customFormat="1" ht="24.95" customHeight="1"/>
    <row r="1638" s="437" customFormat="1" ht="24.95" customHeight="1"/>
    <row r="1639" s="437" customFormat="1" ht="24.95" customHeight="1"/>
    <row r="1640" s="437" customFormat="1" ht="24.95" customHeight="1"/>
    <row r="1641" s="437" customFormat="1" ht="24.95" customHeight="1"/>
    <row r="1642" s="437" customFormat="1" ht="24.95" customHeight="1"/>
    <row r="1643" s="437" customFormat="1" ht="24.95" customHeight="1"/>
    <row r="1644" s="437" customFormat="1" ht="24.95" customHeight="1"/>
    <row r="1645" s="437" customFormat="1" ht="24.95" customHeight="1"/>
    <row r="1646" s="437" customFormat="1" ht="24.95" customHeight="1"/>
    <row r="1647" s="437" customFormat="1" ht="24.95" customHeight="1"/>
    <row r="1648" s="437" customFormat="1" ht="24.95" customHeight="1"/>
    <row r="1649" s="437" customFormat="1" ht="24.95" customHeight="1"/>
    <row r="1650" s="437" customFormat="1" ht="24.95" customHeight="1"/>
    <row r="1651" s="437" customFormat="1" ht="24.95" customHeight="1"/>
    <row r="1652" s="437" customFormat="1" ht="24.95" customHeight="1"/>
    <row r="1653" s="437" customFormat="1" ht="24.95" customHeight="1"/>
    <row r="1654" s="437" customFormat="1" ht="24.95" customHeight="1"/>
    <row r="1655" s="437" customFormat="1" ht="24.95" customHeight="1"/>
    <row r="1656" s="437" customFormat="1" ht="24.95" customHeight="1"/>
    <row r="1657" s="437" customFormat="1" ht="24.95" customHeight="1"/>
    <row r="1658" s="437" customFormat="1" ht="24.95" customHeight="1"/>
    <row r="1659" s="437" customFormat="1" ht="24.95" customHeight="1"/>
    <row r="1660" s="437" customFormat="1" ht="24.95" customHeight="1"/>
    <row r="1661" s="437" customFormat="1" ht="24.95" customHeight="1"/>
    <row r="1662" s="437" customFormat="1" ht="24.95" customHeight="1"/>
    <row r="1663" s="437" customFormat="1" ht="24.95" customHeight="1"/>
    <row r="1664" s="437" customFormat="1" ht="24.95" customHeight="1"/>
    <row r="1665" s="437" customFormat="1" ht="24.95" customHeight="1"/>
    <row r="1666" s="437" customFormat="1" ht="24.95" customHeight="1"/>
    <row r="1667" s="437" customFormat="1" ht="24.95" customHeight="1"/>
    <row r="1668" s="437" customFormat="1" ht="24.95" customHeight="1"/>
    <row r="1669" s="437" customFormat="1" ht="24.95" customHeight="1"/>
    <row r="1670" s="437" customFormat="1" ht="24.95" customHeight="1"/>
    <row r="1671" s="437" customFormat="1" ht="24.95" customHeight="1"/>
    <row r="1672" s="437" customFormat="1" ht="24.95" customHeight="1"/>
    <row r="1673" s="437" customFormat="1" ht="24.95" customHeight="1"/>
    <row r="1674" s="437" customFormat="1" ht="24.95" customHeight="1"/>
    <row r="1675" s="437" customFormat="1" ht="24.95" customHeight="1"/>
    <row r="1676" s="437" customFormat="1" ht="24.95" customHeight="1"/>
    <row r="1677" s="437" customFormat="1" ht="24.95" customHeight="1"/>
    <row r="1678" s="437" customFormat="1" ht="24.95" customHeight="1"/>
    <row r="1679" s="437" customFormat="1" ht="24.95" customHeight="1"/>
    <row r="1680" s="437" customFormat="1" ht="24.95" customHeight="1"/>
    <row r="1681" s="437" customFormat="1" ht="24.95" customHeight="1"/>
    <row r="1682" s="437" customFormat="1" ht="24.95" customHeight="1"/>
    <row r="1683" s="437" customFormat="1" ht="24.95" customHeight="1"/>
    <row r="1684" s="437" customFormat="1" ht="24.95" customHeight="1"/>
    <row r="1685" s="437" customFormat="1" ht="24.95" customHeight="1"/>
    <row r="1686" s="437" customFormat="1" ht="24.95" customHeight="1"/>
    <row r="1687" s="437" customFormat="1" ht="24.95" customHeight="1"/>
    <row r="1688" s="437" customFormat="1" ht="24.95" customHeight="1"/>
    <row r="1689" s="437" customFormat="1" ht="24.95" customHeight="1"/>
    <row r="1690" s="437" customFormat="1" ht="24.95" customHeight="1"/>
    <row r="1691" s="437" customFormat="1" ht="24.95" customHeight="1"/>
    <row r="1692" s="437" customFormat="1" ht="24.95" customHeight="1"/>
    <row r="1693" s="437" customFormat="1" ht="24.95" customHeight="1"/>
    <row r="1694" s="437" customFormat="1" ht="24.95" customHeight="1"/>
    <row r="1695" s="437" customFormat="1" ht="24.95" customHeight="1"/>
    <row r="1696" s="437" customFormat="1" ht="24.95" customHeight="1"/>
    <row r="1697" s="437" customFormat="1" ht="24.95" customHeight="1"/>
    <row r="1698" s="437" customFormat="1" ht="24.95" customHeight="1"/>
    <row r="1699" s="437" customFormat="1" ht="24.95" customHeight="1"/>
    <row r="1700" s="437" customFormat="1" ht="24.95" customHeight="1"/>
    <row r="1701" s="437" customFormat="1" ht="24.95" customHeight="1"/>
    <row r="1702" s="437" customFormat="1" ht="24.95" customHeight="1"/>
    <row r="1703" s="437" customFormat="1" ht="24.95" customHeight="1"/>
    <row r="1704" s="437" customFormat="1" ht="24.95" customHeight="1"/>
    <row r="1705" s="437" customFormat="1" ht="24.95" customHeight="1"/>
    <row r="1706" s="437" customFormat="1" ht="24.95" customHeight="1"/>
    <row r="1707" s="437" customFormat="1" ht="24.95" customHeight="1"/>
    <row r="1708" s="437" customFormat="1" ht="24.95" customHeight="1"/>
    <row r="1709" s="437" customFormat="1" ht="24.95" customHeight="1"/>
    <row r="1710" s="437" customFormat="1" ht="24.95" customHeight="1"/>
    <row r="1711" s="437" customFormat="1" ht="24.95" customHeight="1"/>
    <row r="1712" s="437" customFormat="1" ht="24.95" customHeight="1"/>
    <row r="1713" s="437" customFormat="1" ht="24.95" customHeight="1"/>
    <row r="1714" s="437" customFormat="1" ht="24.95" customHeight="1"/>
    <row r="1715" s="437" customFormat="1" ht="24.95" customHeight="1"/>
    <row r="1716" s="437" customFormat="1" ht="24.95" customHeight="1"/>
    <row r="1717" s="437" customFormat="1" ht="24.95" customHeight="1"/>
    <row r="1718" s="437" customFormat="1" ht="24.95" customHeight="1"/>
    <row r="1719" s="437" customFormat="1" ht="24.95" customHeight="1"/>
    <row r="1720" s="437" customFormat="1" ht="24.95" customHeight="1"/>
    <row r="1721" s="437" customFormat="1" ht="24.95" customHeight="1"/>
    <row r="1722" s="437" customFormat="1" ht="24.95" customHeight="1"/>
    <row r="1723" s="437" customFormat="1" ht="24.95" customHeight="1"/>
    <row r="1724" s="437" customFormat="1" ht="24.95" customHeight="1"/>
    <row r="1725" s="437" customFormat="1" ht="24.95" customHeight="1"/>
    <row r="1726" s="437" customFormat="1" ht="24.95" customHeight="1"/>
    <row r="1727" s="437" customFormat="1" ht="24.95" customHeight="1"/>
    <row r="1728" s="437" customFormat="1" ht="24.95" customHeight="1"/>
    <row r="1729" s="437" customFormat="1" ht="24.95" customHeight="1"/>
    <row r="1730" s="437" customFormat="1" ht="24.95" customHeight="1"/>
    <row r="1731" s="437" customFormat="1" ht="24.95" customHeight="1"/>
    <row r="1732" s="437" customFormat="1" ht="24.95" customHeight="1"/>
    <row r="1733" s="437" customFormat="1" ht="24.95" customHeight="1"/>
    <row r="1734" s="437" customFormat="1" ht="24.95" customHeight="1"/>
    <row r="1735" s="437" customFormat="1" ht="24.95" customHeight="1"/>
    <row r="1736" s="437" customFormat="1" ht="24.95" customHeight="1"/>
    <row r="1737" s="437" customFormat="1" ht="24.95" customHeight="1"/>
    <row r="1738" s="437" customFormat="1" ht="24.95" customHeight="1"/>
    <row r="1739" s="437" customFormat="1" ht="24.95" customHeight="1"/>
    <row r="1740" s="437" customFormat="1" ht="24.95" customHeight="1"/>
    <row r="1741" s="437" customFormat="1" ht="24.95" customHeight="1"/>
    <row r="1742" s="437" customFormat="1" ht="24.95" customHeight="1"/>
    <row r="1743" s="437" customFormat="1" ht="24.95" customHeight="1"/>
    <row r="1744" s="437" customFormat="1" ht="24.95" customHeight="1"/>
    <row r="1745" s="437" customFormat="1" ht="24.95" customHeight="1"/>
    <row r="1746" s="437" customFormat="1" ht="24.95" customHeight="1"/>
    <row r="1747" s="437" customFormat="1" ht="24.95" customHeight="1"/>
    <row r="1748" s="437" customFormat="1" ht="24.95" customHeight="1"/>
    <row r="1749" s="437" customFormat="1" ht="24.95" customHeight="1"/>
    <row r="1750" s="437" customFormat="1" ht="24.95" customHeight="1"/>
    <row r="1751" s="437" customFormat="1" ht="24.95" customHeight="1"/>
    <row r="1752" s="437" customFormat="1" ht="24.95" customHeight="1"/>
    <row r="1753" s="437" customFormat="1" ht="24.95" customHeight="1"/>
    <row r="1754" s="437" customFormat="1" ht="24.95" customHeight="1"/>
    <row r="1755" s="437" customFormat="1" ht="24.95" customHeight="1"/>
    <row r="1756" s="437" customFormat="1" ht="24.95" customHeight="1"/>
    <row r="1757" s="437" customFormat="1" ht="24.95" customHeight="1"/>
    <row r="1758" s="437" customFormat="1" ht="24.95" customHeight="1"/>
    <row r="1759" s="437" customFormat="1" ht="24.95" customHeight="1"/>
    <row r="1760" s="437" customFormat="1" ht="24.95" customHeight="1"/>
    <row r="1761" s="437" customFormat="1" ht="24.95" customHeight="1"/>
    <row r="1762" s="437" customFormat="1" ht="24.95" customHeight="1"/>
    <row r="1763" s="437" customFormat="1" ht="24.95" customHeight="1"/>
    <row r="1764" s="437" customFormat="1" ht="24.95" customHeight="1"/>
    <row r="1765" s="437" customFormat="1" ht="24.95" customHeight="1"/>
    <row r="1766" s="437" customFormat="1" ht="24.95" customHeight="1"/>
    <row r="1767" s="437" customFormat="1" ht="24.95" customHeight="1"/>
    <row r="1768" s="437" customFormat="1" ht="24.95" customHeight="1"/>
    <row r="1769" s="437" customFormat="1" ht="24.95" customHeight="1"/>
    <row r="1770" s="437" customFormat="1" ht="24.95" customHeight="1"/>
    <row r="1771" s="437" customFormat="1" ht="24.95" customHeight="1"/>
    <row r="1772" s="437" customFormat="1" ht="24.95" customHeight="1"/>
    <row r="1773" s="437" customFormat="1" ht="24.95" customHeight="1"/>
    <row r="1774" s="437" customFormat="1" ht="24.95" customHeight="1"/>
    <row r="1775" s="437" customFormat="1" ht="24.95" customHeight="1"/>
    <row r="1776" s="437" customFormat="1" ht="24.95" customHeight="1"/>
    <row r="1777" s="437" customFormat="1" ht="24.95" customHeight="1"/>
    <row r="1778" s="437" customFormat="1" ht="24.95" customHeight="1"/>
    <row r="1779" s="437" customFormat="1" ht="24.95" customHeight="1"/>
    <row r="1780" s="437" customFormat="1" ht="24.95" customHeight="1"/>
    <row r="1781" s="437" customFormat="1" ht="24.95" customHeight="1"/>
    <row r="1782" s="437" customFormat="1" ht="24.95" customHeight="1"/>
    <row r="1783" s="437" customFormat="1" ht="24.95" customHeight="1"/>
    <row r="1784" s="437" customFormat="1" ht="24.95" customHeight="1"/>
    <row r="1785" s="437" customFormat="1" ht="24.95" customHeight="1"/>
    <row r="1786" s="437" customFormat="1" ht="24.95" customHeight="1"/>
    <row r="1787" s="437" customFormat="1" ht="24.95" customHeight="1"/>
    <row r="1788" s="437" customFormat="1" ht="24.95" customHeight="1"/>
    <row r="1789" s="437" customFormat="1" ht="24.95" customHeight="1"/>
    <row r="1790" s="437" customFormat="1" ht="24.95" customHeight="1"/>
    <row r="1791" s="437" customFormat="1" ht="24.95" customHeight="1"/>
    <row r="1792" s="437" customFormat="1" ht="24.95" customHeight="1"/>
    <row r="1793" s="437" customFormat="1" ht="24.95" customHeight="1"/>
    <row r="1794" s="437" customFormat="1" ht="24.95" customHeight="1"/>
    <row r="1795" s="437" customFormat="1" ht="24.95" customHeight="1"/>
    <row r="1796" s="437" customFormat="1" ht="24.95" customHeight="1"/>
    <row r="1797" s="437" customFormat="1" ht="24.95" customHeight="1"/>
    <row r="1798" s="437" customFormat="1" ht="24.95" customHeight="1"/>
    <row r="1799" s="437" customFormat="1" ht="24.95" customHeight="1"/>
    <row r="1800" s="437" customFormat="1" ht="24.95" customHeight="1"/>
    <row r="1801" s="437" customFormat="1" ht="24.95" customHeight="1"/>
    <row r="1802" s="437" customFormat="1" ht="24.95" customHeight="1"/>
    <row r="1803" s="437" customFormat="1" ht="24.95" customHeight="1"/>
    <row r="1804" s="437" customFormat="1" ht="24.95" customHeight="1"/>
    <row r="1805" s="437" customFormat="1" ht="24.95" customHeight="1"/>
    <row r="1806" s="437" customFormat="1" ht="24.95" customHeight="1"/>
    <row r="1807" s="437" customFormat="1" ht="24.95" customHeight="1"/>
    <row r="1808" s="437" customFormat="1" ht="24.95" customHeight="1"/>
    <row r="1809" s="437" customFormat="1" ht="24.95" customHeight="1"/>
    <row r="1810" s="437" customFormat="1" ht="24.95" customHeight="1"/>
    <row r="1811" s="437" customFormat="1" ht="24.95" customHeight="1"/>
    <row r="1812" s="437" customFormat="1" ht="24.95" customHeight="1"/>
    <row r="1813" s="437" customFormat="1" ht="24.95" customHeight="1"/>
    <row r="1814" s="437" customFormat="1" ht="24.95" customHeight="1"/>
    <row r="1815" s="437" customFormat="1" ht="24.95" customHeight="1"/>
    <row r="1816" s="437" customFormat="1" ht="24.95" customHeight="1"/>
    <row r="1817" s="437" customFormat="1" ht="24.95" customHeight="1"/>
    <row r="1818" s="437" customFormat="1" ht="24.95" customHeight="1"/>
    <row r="1819" s="437" customFormat="1" ht="24.95" customHeight="1"/>
    <row r="1820" s="437" customFormat="1" ht="24.95" customHeight="1"/>
    <row r="1821" s="437" customFormat="1" ht="24.95" customHeight="1"/>
    <row r="1822" s="437" customFormat="1" ht="24.95" customHeight="1"/>
    <row r="1823" s="437" customFormat="1" ht="24.95" customHeight="1"/>
    <row r="1824" s="437" customFormat="1" ht="24.95" customHeight="1"/>
    <row r="1825" s="437" customFormat="1" ht="24.95" customHeight="1"/>
    <row r="1826" s="437" customFormat="1" ht="24.95" customHeight="1"/>
    <row r="1827" s="437" customFormat="1" ht="24.95" customHeight="1"/>
    <row r="1828" s="437" customFormat="1" ht="24.95" customHeight="1"/>
    <row r="1829" s="437" customFormat="1" ht="24.95" customHeight="1"/>
    <row r="1830" s="437" customFormat="1" ht="24.95" customHeight="1"/>
    <row r="1831" s="437" customFormat="1" ht="24.95" customHeight="1"/>
    <row r="1832" s="437" customFormat="1" ht="24.95" customHeight="1"/>
    <row r="1833" s="437" customFormat="1" ht="24.95" customHeight="1"/>
    <row r="1834" s="437" customFormat="1" ht="24.95" customHeight="1"/>
    <row r="1835" s="437" customFormat="1" ht="24.95" customHeight="1"/>
    <row r="1836" s="437" customFormat="1" ht="24.95" customHeight="1"/>
    <row r="1837" s="437" customFormat="1" ht="24.95" customHeight="1"/>
    <row r="1838" s="437" customFormat="1" ht="24.95" customHeight="1"/>
    <row r="1839" s="437" customFormat="1" ht="24.95" customHeight="1"/>
    <row r="1840" s="437" customFormat="1" ht="24.95" customHeight="1"/>
    <row r="1841" s="437" customFormat="1" ht="24.95" customHeight="1"/>
    <row r="1842" s="437" customFormat="1" ht="24.95" customHeight="1"/>
    <row r="1843" s="437" customFormat="1" ht="24.95" customHeight="1"/>
    <row r="1844" s="437" customFormat="1" ht="24.95" customHeight="1"/>
    <row r="1845" s="437" customFormat="1" ht="24.95" customHeight="1"/>
    <row r="1846" s="437" customFormat="1" ht="24.95" customHeight="1"/>
    <row r="1847" s="437" customFormat="1" ht="24.95" customHeight="1"/>
    <row r="1848" s="437" customFormat="1" ht="24.95" customHeight="1"/>
    <row r="1849" s="437" customFormat="1" ht="24.95" customHeight="1"/>
    <row r="1850" s="437" customFormat="1" ht="24.95" customHeight="1"/>
    <row r="1851" s="437" customFormat="1" ht="24.95" customHeight="1"/>
    <row r="1852" s="437" customFormat="1" ht="24.95" customHeight="1"/>
    <row r="1853" s="437" customFormat="1" ht="24.95" customHeight="1"/>
    <row r="1854" s="437" customFormat="1" ht="24.95" customHeight="1"/>
    <row r="1855" s="437" customFormat="1" ht="24.95" customHeight="1"/>
    <row r="1856" s="437" customFormat="1" ht="24.95" customHeight="1"/>
    <row r="1857" s="437" customFormat="1" ht="24.95" customHeight="1"/>
    <row r="1858" s="437" customFormat="1" ht="24.95" customHeight="1"/>
    <row r="1859" s="437" customFormat="1" ht="24.95" customHeight="1"/>
    <row r="1860" s="437" customFormat="1" ht="24.95" customHeight="1"/>
    <row r="1861" s="437" customFormat="1" ht="24.95" customHeight="1"/>
    <row r="1862" s="437" customFormat="1" ht="24.95" customHeight="1"/>
    <row r="1863" s="437" customFormat="1" ht="24.95" customHeight="1"/>
    <row r="1864" s="437" customFormat="1" ht="24.95" customHeight="1"/>
    <row r="1865" s="437" customFormat="1" ht="24.95" customHeight="1"/>
    <row r="1866" s="437" customFormat="1" ht="24.95" customHeight="1"/>
    <row r="1867" s="437" customFormat="1" ht="24.95" customHeight="1"/>
    <row r="1868" s="437" customFormat="1" ht="24.95" customHeight="1"/>
    <row r="1869" s="437" customFormat="1" ht="24.95" customHeight="1"/>
    <row r="1870" s="437" customFormat="1" ht="24.95" customHeight="1"/>
    <row r="1871" s="437" customFormat="1" ht="24.95" customHeight="1"/>
    <row r="1872" s="437" customFormat="1" ht="24.95" customHeight="1"/>
    <row r="1873" s="437" customFormat="1" ht="24.95" customHeight="1"/>
    <row r="1874" s="437" customFormat="1" ht="24.95" customHeight="1"/>
    <row r="1875" s="437" customFormat="1" ht="24.95" customHeight="1"/>
    <row r="1876" s="437" customFormat="1" ht="24.95" customHeight="1"/>
    <row r="1877" s="437" customFormat="1" ht="24.95" customHeight="1"/>
    <row r="1878" s="437" customFormat="1" ht="24.95" customHeight="1"/>
    <row r="1879" s="437" customFormat="1" ht="24.95" customHeight="1"/>
    <row r="1880" s="437" customFormat="1" ht="24.95" customHeight="1"/>
    <row r="1881" s="437" customFormat="1" ht="24.95" customHeight="1"/>
    <row r="1882" s="437" customFormat="1" ht="24.95" customHeight="1"/>
    <row r="1883" s="437" customFormat="1" ht="24.95" customHeight="1"/>
    <row r="1884" s="437" customFormat="1" ht="24.95" customHeight="1"/>
    <row r="1885" s="437" customFormat="1" ht="24.95" customHeight="1"/>
    <row r="1886" s="437" customFormat="1" ht="24.95" customHeight="1"/>
    <row r="1887" s="437" customFormat="1" ht="24.95" customHeight="1"/>
    <row r="1888" s="437" customFormat="1" ht="24.95" customHeight="1"/>
    <row r="1889" s="437" customFormat="1" ht="24.95" customHeight="1"/>
    <row r="1890" s="437" customFormat="1" ht="24.95" customHeight="1"/>
    <row r="1891" s="437" customFormat="1" ht="24.95" customHeight="1"/>
    <row r="1892" s="437" customFormat="1" ht="24.95" customHeight="1"/>
    <row r="1893" s="437" customFormat="1" ht="24.95" customHeight="1"/>
    <row r="1894" s="437" customFormat="1" ht="24.95" customHeight="1"/>
    <row r="1895" s="437" customFormat="1" ht="24.95" customHeight="1"/>
    <row r="1896" s="437" customFormat="1" ht="24.95" customHeight="1"/>
    <row r="1897" s="437" customFormat="1" ht="24.95" customHeight="1"/>
    <row r="1898" s="437" customFormat="1" ht="24.95" customHeight="1"/>
    <row r="1899" s="437" customFormat="1" ht="24.95" customHeight="1"/>
    <row r="1900" s="437" customFormat="1" ht="24.95" customHeight="1"/>
    <row r="1901" s="437" customFormat="1" ht="24.95" customHeight="1"/>
    <row r="1902" s="437" customFormat="1" ht="24.95" customHeight="1"/>
    <row r="1903" s="437" customFormat="1" ht="24.95" customHeight="1"/>
    <row r="1904" s="437" customFormat="1" ht="24.95" customHeight="1"/>
    <row r="1905" s="437" customFormat="1" ht="24.95" customHeight="1"/>
    <row r="1906" s="437" customFormat="1" ht="24.95" customHeight="1"/>
    <row r="1907" s="437" customFormat="1" ht="24.95" customHeight="1"/>
    <row r="1908" s="437" customFormat="1" ht="24.95" customHeight="1"/>
    <row r="1909" s="437" customFormat="1" ht="24.95" customHeight="1"/>
    <row r="1910" s="437" customFormat="1" ht="24.95" customHeight="1"/>
    <row r="1911" s="437" customFormat="1" ht="24.95" customHeight="1"/>
    <row r="1912" s="437" customFormat="1" ht="24.95" customHeight="1"/>
    <row r="1913" s="437" customFormat="1" ht="24.95" customHeight="1"/>
    <row r="1914" s="437" customFormat="1" ht="24.95" customHeight="1"/>
    <row r="1915" s="437" customFormat="1" ht="24.95" customHeight="1"/>
    <row r="1916" s="437" customFormat="1" ht="24.95" customHeight="1"/>
    <row r="1917" s="437" customFormat="1" ht="24.95" customHeight="1"/>
    <row r="1918" s="437" customFormat="1" ht="24.95" customHeight="1"/>
    <row r="1919" s="437" customFormat="1" ht="24.95" customHeight="1"/>
    <row r="1920" s="437" customFormat="1" ht="24.95" customHeight="1"/>
    <row r="1921" s="437" customFormat="1" ht="24.95" customHeight="1"/>
    <row r="1922" s="437" customFormat="1" ht="24.95" customHeight="1"/>
    <row r="1923" s="437" customFormat="1" ht="24.95" customHeight="1"/>
    <row r="1924" s="437" customFormat="1" ht="24.95" customHeight="1"/>
    <row r="1925" s="437" customFormat="1" ht="24.95" customHeight="1"/>
    <row r="1926" s="437" customFormat="1" ht="24.95" customHeight="1"/>
    <row r="1927" s="437" customFormat="1" ht="24.95" customHeight="1"/>
    <row r="1928" s="437" customFormat="1" ht="24.95" customHeight="1"/>
    <row r="1929" s="437" customFormat="1" ht="24.95" customHeight="1"/>
    <row r="1930" s="437" customFormat="1" ht="24.95" customHeight="1"/>
    <row r="1931" s="437" customFormat="1" ht="24.95" customHeight="1"/>
    <row r="1932" s="437" customFormat="1" ht="24.95" customHeight="1"/>
    <row r="1933" s="437" customFormat="1" ht="24.95" customHeight="1"/>
    <row r="1934" s="437" customFormat="1" ht="24.95" customHeight="1"/>
    <row r="1935" s="437" customFormat="1" ht="24.95" customHeight="1"/>
    <row r="1936" s="437" customFormat="1" ht="24.95" customHeight="1"/>
    <row r="1937" s="437" customFormat="1" ht="24.95" customHeight="1"/>
    <row r="1938" s="437" customFormat="1" ht="24.95" customHeight="1"/>
    <row r="1939" s="437" customFormat="1" ht="24.95" customHeight="1"/>
    <row r="1940" s="437" customFormat="1" ht="24.95" customHeight="1"/>
    <row r="1941" s="437" customFormat="1" ht="24.95" customHeight="1"/>
    <row r="1942" s="437" customFormat="1" ht="24.95" customHeight="1"/>
    <row r="1943" s="437" customFormat="1" ht="24.95" customHeight="1"/>
    <row r="1944" s="437" customFormat="1" ht="24.95" customHeight="1"/>
    <row r="1945" s="437" customFormat="1" ht="24.95" customHeight="1"/>
    <row r="1946" s="437" customFormat="1" ht="24.95" customHeight="1"/>
    <row r="1947" s="437" customFormat="1" ht="24.95" customHeight="1"/>
    <row r="1948" s="437" customFormat="1" ht="24.95" customHeight="1"/>
    <row r="1949" s="437" customFormat="1" ht="24.95" customHeight="1"/>
    <row r="1950" s="437" customFormat="1" ht="24.95" customHeight="1"/>
    <row r="1951" s="437" customFormat="1" ht="24.95" customHeight="1"/>
    <row r="1952" s="437" customFormat="1" ht="24.95" customHeight="1"/>
    <row r="1953" s="437" customFormat="1" ht="24.95" customHeight="1"/>
    <row r="1954" s="437" customFormat="1" ht="24.95" customHeight="1"/>
    <row r="1955" s="437" customFormat="1" ht="24.95" customHeight="1"/>
    <row r="1956" s="437" customFormat="1" ht="24.95" customHeight="1"/>
    <row r="1957" s="437" customFormat="1" ht="24.95" customHeight="1"/>
    <row r="1958" s="437" customFormat="1" ht="24.95" customHeight="1"/>
    <row r="1959" s="437" customFormat="1" ht="24.95" customHeight="1"/>
    <row r="1960" s="437" customFormat="1" ht="24.95" customHeight="1"/>
    <row r="1961" s="437" customFormat="1" ht="24.95" customHeight="1"/>
    <row r="1962" s="437" customFormat="1" ht="24.95" customHeight="1"/>
    <row r="1963" s="437" customFormat="1" ht="24.95" customHeight="1"/>
    <row r="1964" s="437" customFormat="1" ht="24.95" customHeight="1"/>
    <row r="1965" s="437" customFormat="1" ht="24.95" customHeight="1"/>
    <row r="1966" s="437" customFormat="1" ht="24.95" customHeight="1"/>
    <row r="1967" s="437" customFormat="1" ht="24.95" customHeight="1"/>
    <row r="1968" s="437" customFormat="1" ht="24.95" customHeight="1"/>
    <row r="1969" s="437" customFormat="1" ht="24.95" customHeight="1"/>
    <row r="1970" s="437" customFormat="1" ht="24.95" customHeight="1"/>
    <row r="1971" s="437" customFormat="1" ht="24.95" customHeight="1"/>
    <row r="1972" s="437" customFormat="1" ht="24.95" customHeight="1"/>
    <row r="1973" s="437" customFormat="1" ht="24.95" customHeight="1"/>
    <row r="1974" s="437" customFormat="1" ht="24.95" customHeight="1"/>
    <row r="1975" s="437" customFormat="1" ht="24.95" customHeight="1"/>
    <row r="1976" s="437" customFormat="1" ht="24.95" customHeight="1"/>
    <row r="1977" s="437" customFormat="1" ht="24.95" customHeight="1"/>
    <row r="1978" s="437" customFormat="1" ht="24.95" customHeight="1"/>
    <row r="1979" s="437" customFormat="1" ht="24.95" customHeight="1"/>
    <row r="1980" s="437" customFormat="1" ht="24.95" customHeight="1"/>
    <row r="1981" s="437" customFormat="1" ht="24.95" customHeight="1"/>
    <row r="1982" s="437" customFormat="1" ht="24.95" customHeight="1"/>
    <row r="1983" s="437" customFormat="1" ht="24.95" customHeight="1"/>
    <row r="1984" s="437" customFormat="1" ht="24.95" customHeight="1"/>
    <row r="1985" s="437" customFormat="1" ht="24.95" customHeight="1"/>
    <row r="1986" s="437" customFormat="1" ht="24.95" customHeight="1"/>
    <row r="1987" s="437" customFormat="1" ht="24.95" customHeight="1"/>
    <row r="1988" s="437" customFormat="1" ht="24.95" customHeight="1"/>
    <row r="1989" s="437" customFormat="1" ht="24.95" customHeight="1"/>
    <row r="1990" s="437" customFormat="1" ht="24.95" customHeight="1"/>
    <row r="1991" s="437" customFormat="1" ht="24.95" customHeight="1"/>
    <row r="1992" s="437" customFormat="1" ht="24.95" customHeight="1"/>
    <row r="1993" s="437" customFormat="1" ht="24.95" customHeight="1"/>
    <row r="1994" s="437" customFormat="1" ht="24.95" customHeight="1"/>
    <row r="1995" s="437" customFormat="1" ht="24.95" customHeight="1"/>
    <row r="1996" s="437" customFormat="1" ht="24.95" customHeight="1"/>
    <row r="1997" s="437" customFormat="1" ht="24.95" customHeight="1"/>
    <row r="1998" s="437" customFormat="1" ht="24.95" customHeight="1"/>
    <row r="1999" s="437" customFormat="1" ht="24.95" customHeight="1"/>
    <row r="2000" s="437" customFormat="1" ht="24.95" customHeight="1"/>
    <row r="2001" s="437" customFormat="1" ht="24.95" customHeight="1"/>
    <row r="2002" s="437" customFormat="1" ht="24.95" customHeight="1"/>
    <row r="2003" s="437" customFormat="1" ht="24.95" customHeight="1"/>
    <row r="2004" s="437" customFormat="1" ht="24.95" customHeight="1"/>
    <row r="2005" s="437" customFormat="1" ht="24.95" customHeight="1"/>
    <row r="2006" s="437" customFormat="1" ht="24.95" customHeight="1"/>
    <row r="2007" s="437" customFormat="1" ht="24.95" customHeight="1"/>
    <row r="2008" s="437" customFormat="1" ht="24.95" customHeight="1"/>
    <row r="2009" s="437" customFormat="1" ht="24.95" customHeight="1"/>
    <row r="2010" s="437" customFormat="1" ht="24.95" customHeight="1"/>
    <row r="2011" s="437" customFormat="1" ht="24.95" customHeight="1"/>
    <row r="2012" s="437" customFormat="1" ht="24.95" customHeight="1"/>
    <row r="2013" s="437" customFormat="1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N11"/>
  <sheetViews>
    <sheetView showGridLines="0" showZeros="0" view="pageBreakPreview" zoomScaleNormal="100" workbookViewId="0">
      <selection activeCell="I7" sqref="I7"/>
    </sheetView>
  </sheetViews>
  <sheetFormatPr defaultColWidth="10.28515625" defaultRowHeight="34.15" customHeight="1"/>
  <cols>
    <col min="1" max="1" width="1.7109375" style="398" customWidth="1"/>
    <col min="2" max="2" width="14.5703125" style="398" customWidth="1"/>
    <col min="3" max="4" width="1.7109375" style="398" customWidth="1"/>
    <col min="5" max="5" width="14.140625" style="398" customWidth="1"/>
    <col min="6" max="6" width="1.7109375" style="398" customWidth="1"/>
    <col min="7" max="7" width="12.7109375" style="399" hidden="1" customWidth="1"/>
    <col min="8" max="8" width="1.7109375" style="399" hidden="1" customWidth="1"/>
    <col min="9" max="9" width="15.28515625" style="399" customWidth="1"/>
    <col min="10" max="10" width="1.7109375" style="399" customWidth="1"/>
    <col min="11" max="11" width="15.28515625" style="399" customWidth="1"/>
    <col min="12" max="12" width="1.7109375" style="399" customWidth="1"/>
    <col min="13" max="13" width="0.85546875" style="399" customWidth="1"/>
    <col min="14" max="14" width="23.85546875" style="399" customWidth="1"/>
    <col min="15" max="16384" width="10.28515625" style="398"/>
  </cols>
  <sheetData>
    <row r="1" spans="1:14" ht="20.100000000000001" customHeight="1">
      <c r="A1" s="398" t="s">
        <v>931</v>
      </c>
    </row>
    <row r="2" spans="1:14" s="402" customFormat="1" ht="39.950000000000003" customHeight="1">
      <c r="A2" s="400" t="s">
        <v>117</v>
      </c>
      <c r="B2" s="400"/>
      <c r="C2" s="400"/>
      <c r="D2" s="400"/>
      <c r="E2" s="400"/>
      <c r="F2" s="400"/>
      <c r="G2" s="401"/>
      <c r="H2" s="401"/>
      <c r="I2" s="401"/>
      <c r="J2" s="401"/>
      <c r="K2" s="401"/>
      <c r="L2" s="401"/>
      <c r="M2" s="401"/>
      <c r="N2" s="401"/>
    </row>
    <row r="3" spans="1:14" ht="20.100000000000001" customHeight="1">
      <c r="A3" s="403"/>
      <c r="B3" s="403"/>
      <c r="C3" s="403"/>
      <c r="D3" s="403"/>
      <c r="E3" s="403"/>
      <c r="F3" s="403"/>
      <c r="G3" s="404"/>
      <c r="H3" s="404"/>
      <c r="I3" s="404"/>
      <c r="J3" s="404"/>
      <c r="K3" s="404"/>
      <c r="L3" s="404"/>
      <c r="M3" s="404"/>
      <c r="N3" s="404"/>
    </row>
    <row r="4" spans="1:14" ht="20.100000000000001" customHeight="1">
      <c r="B4" s="403"/>
      <c r="C4" s="405"/>
      <c r="D4" s="405"/>
      <c r="E4" s="405"/>
      <c r="F4" s="405"/>
      <c r="G4" s="404"/>
      <c r="H4" s="404"/>
      <c r="I4" s="404"/>
      <c r="J4" s="404"/>
      <c r="K4" s="404"/>
      <c r="L4" s="404"/>
      <c r="M4" s="404"/>
      <c r="N4" s="406" t="s">
        <v>33</v>
      </c>
    </row>
    <row r="5" spans="1:14" ht="50.1" customHeight="1">
      <c r="A5" s="407" t="s">
        <v>265</v>
      </c>
      <c r="B5" s="408"/>
      <c r="C5" s="409"/>
      <c r="D5" s="408" t="s">
        <v>266</v>
      </c>
      <c r="E5" s="408"/>
      <c r="F5" s="408"/>
      <c r="G5" s="410" t="s">
        <v>267</v>
      </c>
      <c r="H5" s="411"/>
      <c r="I5" s="410" t="s">
        <v>683</v>
      </c>
      <c r="J5" s="411"/>
      <c r="K5" s="410" t="s">
        <v>915</v>
      </c>
      <c r="L5" s="411"/>
      <c r="M5" s="410" t="s">
        <v>916</v>
      </c>
      <c r="N5" s="411"/>
    </row>
    <row r="6" spans="1:14" ht="39" customHeight="1">
      <c r="A6" s="412"/>
      <c r="B6" s="413"/>
      <c r="C6" s="414"/>
      <c r="D6" s="413"/>
      <c r="E6" s="415"/>
      <c r="F6" s="413"/>
      <c r="G6" s="416" t="s">
        <v>268</v>
      </c>
      <c r="H6" s="417"/>
      <c r="I6" s="805" t="s">
        <v>65</v>
      </c>
      <c r="J6" s="806"/>
      <c r="K6" s="805" t="s">
        <v>1</v>
      </c>
      <c r="L6" s="806"/>
      <c r="M6" s="416"/>
      <c r="N6" s="417"/>
    </row>
    <row r="7" spans="1:14" ht="39" customHeight="1">
      <c r="A7" s="412"/>
      <c r="B7" s="418" t="str">
        <f>인집!B6</f>
        <v>운전원</v>
      </c>
      <c r="C7" s="414"/>
      <c r="D7" s="413"/>
      <c r="E7" s="419" t="str">
        <f>인집!E6</f>
        <v>보통인부</v>
      </c>
      <c r="F7" s="413"/>
      <c r="G7" s="420">
        <f>식대!I7</f>
        <v>175000</v>
      </c>
      <c r="H7" s="421"/>
      <c r="I7" s="420">
        <f>G7</f>
        <v>175000</v>
      </c>
      <c r="J7" s="421"/>
      <c r="K7" s="420">
        <f>체력단련비!I7</f>
        <v>0</v>
      </c>
      <c r="L7" s="421"/>
      <c r="M7" s="420"/>
      <c r="N7" s="422"/>
    </row>
    <row r="8" spans="1:14" ht="39" customHeight="1">
      <c r="A8" s="412"/>
      <c r="B8" s="418" t="str">
        <f>인집!B7</f>
        <v>사무원</v>
      </c>
      <c r="C8" s="414"/>
      <c r="D8" s="413"/>
      <c r="E8" s="419" t="str">
        <f>인집!E7</f>
        <v>보통인부</v>
      </c>
      <c r="F8" s="413"/>
      <c r="G8" s="420">
        <f>식대!I8</f>
        <v>175000</v>
      </c>
      <c r="H8" s="421"/>
      <c r="I8" s="420">
        <f>G8</f>
        <v>175000</v>
      </c>
      <c r="J8" s="421"/>
      <c r="K8" s="420">
        <f>체력단련비!I8</f>
        <v>0</v>
      </c>
      <c r="L8" s="421"/>
      <c r="M8" s="420"/>
      <c r="N8" s="422"/>
    </row>
    <row r="9" spans="1:14" ht="39" customHeight="1">
      <c r="A9" s="423"/>
      <c r="B9" s="424"/>
      <c r="C9" s="425"/>
      <c r="D9" s="426"/>
      <c r="E9" s="427"/>
      <c r="F9" s="426"/>
      <c r="G9" s="428"/>
      <c r="H9" s="429"/>
      <c r="I9" s="428"/>
      <c r="J9" s="429"/>
      <c r="K9" s="428"/>
      <c r="L9" s="429"/>
      <c r="M9" s="428"/>
      <c r="N9" s="430"/>
    </row>
    <row r="10" spans="1:14" ht="24.95" customHeight="1">
      <c r="A10" s="431" t="str">
        <f>"주 1) 식대 : "&amp;식대!A1&amp;식대!A2&amp;" 참조"</f>
        <v>주 1) 식대 : &lt; 표 : 16 &gt; 식비산출표 참조</v>
      </c>
    </row>
    <row r="11" spans="1:14" ht="24.95" customHeight="1">
      <c r="A11" s="431" t="str">
        <f>"   2) 체력단련비 : "&amp;체력단련비!A1&amp;체력단련비!A2&amp;" 참조"</f>
        <v xml:space="preserve">   2) 체력단련비 : &lt; 표 : 17 &gt; 체력단련비산출표 참조</v>
      </c>
    </row>
  </sheetData>
  <mergeCells count="2">
    <mergeCell ref="I6:J6"/>
    <mergeCell ref="K6:L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O11"/>
  <sheetViews>
    <sheetView showGridLines="0" showZeros="0" view="pageBreakPreview" zoomScale="90" zoomScaleNormal="100" workbookViewId="0">
      <selection activeCell="H8" sqref="H8"/>
    </sheetView>
  </sheetViews>
  <sheetFormatPr defaultRowHeight="29.25" customHeight="1"/>
  <cols>
    <col min="1" max="1" width="2.7109375" style="124" customWidth="1"/>
    <col min="2" max="2" width="14.7109375" style="135" customWidth="1"/>
    <col min="3" max="3" width="2.7109375" style="124" customWidth="1"/>
    <col min="4" max="4" width="1.7109375" style="125" customWidth="1"/>
    <col min="5" max="5" width="15.7109375" style="99" customWidth="1"/>
    <col min="6" max="6" width="1.7109375" style="125" customWidth="1"/>
    <col min="7" max="8" width="10.7109375" style="125" customWidth="1"/>
    <col min="9" max="9" width="12.7109375" style="125" customWidth="1"/>
    <col min="10" max="10" width="0.85546875" style="125" customWidth="1"/>
    <col min="11" max="11" width="70" style="125" customWidth="1"/>
    <col min="12" max="16384" width="9.140625" style="91"/>
  </cols>
  <sheetData>
    <row r="1" spans="1:15" ht="23.25" customHeight="1">
      <c r="A1" s="91" t="s">
        <v>932</v>
      </c>
    </row>
    <row r="2" spans="1:15" s="376" customFormat="1" ht="43.5" customHeight="1">
      <c r="A2" s="92" t="s">
        <v>673</v>
      </c>
      <c r="B2" s="126"/>
      <c r="C2" s="92"/>
      <c r="D2" s="375"/>
      <c r="E2" s="129"/>
      <c r="F2" s="375"/>
      <c r="G2" s="375"/>
      <c r="H2" s="375"/>
      <c r="I2" s="375"/>
      <c r="J2" s="375"/>
      <c r="K2" s="375"/>
    </row>
    <row r="3" spans="1:15" s="376" customFormat="1" ht="20.100000000000001" customHeight="1">
      <c r="A3" s="92"/>
      <c r="B3" s="126"/>
      <c r="C3" s="92"/>
      <c r="D3" s="375"/>
      <c r="E3" s="129"/>
      <c r="F3" s="375"/>
      <c r="G3" s="375"/>
      <c r="H3" s="375"/>
      <c r="I3" s="375"/>
      <c r="J3" s="375"/>
      <c r="K3" s="375"/>
    </row>
    <row r="4" spans="1:15" ht="20.100000000000001" customHeight="1">
      <c r="A4" s="134"/>
      <c r="K4" s="377" t="s">
        <v>36</v>
      </c>
    </row>
    <row r="5" spans="1:15" ht="42" customHeight="1">
      <c r="A5" s="152" t="s">
        <v>177</v>
      </c>
      <c r="B5" s="343" t="s">
        <v>221</v>
      </c>
      <c r="C5" s="343"/>
      <c r="D5" s="344"/>
      <c r="E5" s="343" t="s">
        <v>257</v>
      </c>
      <c r="F5" s="378"/>
      <c r="G5" s="379" t="s">
        <v>118</v>
      </c>
      <c r="H5" s="379" t="s">
        <v>119</v>
      </c>
      <c r="I5" s="379" t="s">
        <v>34</v>
      </c>
      <c r="J5" s="380" t="s">
        <v>120</v>
      </c>
      <c r="K5" s="378"/>
    </row>
    <row r="6" spans="1:15" s="388" customFormat="1" ht="42.75" customHeight="1">
      <c r="A6" s="381"/>
      <c r="B6" s="135"/>
      <c r="C6" s="382"/>
      <c r="D6" s="381"/>
      <c r="E6" s="383"/>
      <c r="F6" s="135"/>
      <c r="G6" s="381" t="s">
        <v>49</v>
      </c>
      <c r="H6" s="381" t="s">
        <v>10</v>
      </c>
      <c r="I6" s="384" t="s">
        <v>674</v>
      </c>
      <c r="J6" s="385"/>
      <c r="K6" s="386"/>
      <c r="L6" s="387" t="s">
        <v>670</v>
      </c>
      <c r="M6" s="387" t="s">
        <v>671</v>
      </c>
      <c r="N6" s="387" t="s">
        <v>672</v>
      </c>
      <c r="O6" s="387"/>
    </row>
    <row r="7" spans="1:15" ht="42.75" customHeight="1">
      <c r="A7" s="381"/>
      <c r="B7" s="361" t="str">
        <f>인집!B6</f>
        <v>운전원</v>
      </c>
      <c r="C7" s="335"/>
      <c r="D7" s="352"/>
      <c r="E7" s="362" t="str">
        <f>인집!E6</f>
        <v>보통인부</v>
      </c>
      <c r="F7" s="386"/>
      <c r="G7" s="389">
        <f>SUM(L7:N7)</f>
        <v>25</v>
      </c>
      <c r="H7" s="271">
        <v>7000</v>
      </c>
      <c r="I7" s="271">
        <f>TRUNC(G7*H7,0)</f>
        <v>175000</v>
      </c>
      <c r="J7" s="96"/>
      <c r="K7" s="390" t="str">
        <f>""&amp;L7&amp;"(월근무일수) + "&amp;M7&amp;"(휴일근무일수)"</f>
        <v>21(월근무일수) + 4(휴일근무일수)</v>
      </c>
      <c r="L7" s="91">
        <f>월기본급!I9</f>
        <v>21</v>
      </c>
      <c r="M7" s="391">
        <f>휴일근로!$E$8</f>
        <v>4</v>
      </c>
      <c r="N7" s="392"/>
    </row>
    <row r="8" spans="1:15" ht="42.75" customHeight="1">
      <c r="A8" s="381"/>
      <c r="B8" s="361" t="str">
        <f>인집!B7</f>
        <v>사무원</v>
      </c>
      <c r="C8" s="335"/>
      <c r="D8" s="352"/>
      <c r="E8" s="362" t="str">
        <f>인집!E7</f>
        <v>보통인부</v>
      </c>
      <c r="F8" s="386"/>
      <c r="G8" s="389">
        <f>SUM(L8:N8)</f>
        <v>25</v>
      </c>
      <c r="H8" s="271">
        <v>7000</v>
      </c>
      <c r="I8" s="271">
        <f>TRUNC(G8*H8,0)</f>
        <v>175000</v>
      </c>
      <c r="J8" s="96"/>
      <c r="K8" s="390" t="str">
        <f>""&amp;L8&amp;"(월근무일수) + "&amp;M8&amp;"(휴일근무일수)"</f>
        <v>21(월근무일수) + 4(휴일근무일수)</v>
      </c>
      <c r="L8" s="91">
        <f>월기본급!I10</f>
        <v>21</v>
      </c>
      <c r="M8" s="391">
        <f>휴일근로!$E$8</f>
        <v>4</v>
      </c>
      <c r="N8" s="392"/>
    </row>
    <row r="9" spans="1:15" ht="42.75" customHeight="1">
      <c r="A9" s="393"/>
      <c r="B9" s="366"/>
      <c r="C9" s="367"/>
      <c r="D9" s="365"/>
      <c r="E9" s="394"/>
      <c r="F9" s="395"/>
      <c r="G9" s="396"/>
      <c r="H9" s="329"/>
      <c r="I9" s="329"/>
      <c r="J9" s="97"/>
      <c r="K9" s="397"/>
      <c r="M9" s="391"/>
      <c r="N9" s="392"/>
    </row>
    <row r="10" spans="1:15" ht="27" customHeight="1">
      <c r="A10" s="133" t="str">
        <f>"주 1) 수량 : "&amp;월기본급!A1&amp;월기본급!A2&amp;" 참조"</f>
        <v>주 1) 수량 : &lt; 표 : 5 &gt; M/M당기본급산출표 참조</v>
      </c>
    </row>
    <row r="11" spans="1:15" ht="27" customHeight="1">
      <c r="A11" s="133" t="s">
        <v>178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view="pageBreakPreview" zoomScale="90" zoomScaleNormal="100" workbookViewId="0">
      <selection activeCell="K12" sqref="K12"/>
    </sheetView>
  </sheetViews>
  <sheetFormatPr defaultRowHeight="29.25" customHeight="1"/>
  <cols>
    <col min="1" max="1" width="2.7109375" style="124" customWidth="1"/>
    <col min="2" max="2" width="14.7109375" style="135" customWidth="1"/>
    <col min="3" max="3" width="2.7109375" style="124" customWidth="1"/>
    <col min="4" max="4" width="1.7109375" style="125" customWidth="1"/>
    <col min="5" max="5" width="15.7109375" style="99" customWidth="1"/>
    <col min="6" max="6" width="1.7109375" style="125" customWidth="1"/>
    <col min="7" max="8" width="10.7109375" style="125" customWidth="1"/>
    <col min="9" max="9" width="12.7109375" style="125" customWidth="1"/>
    <col min="10" max="10" width="0.85546875" style="125" customWidth="1"/>
    <col min="11" max="11" width="70" style="125" customWidth="1"/>
    <col min="12" max="16384" width="9.140625" style="91"/>
  </cols>
  <sheetData>
    <row r="1" spans="1:15" ht="23.25" customHeight="1">
      <c r="A1" s="91" t="s">
        <v>748</v>
      </c>
    </row>
    <row r="2" spans="1:15" s="376" customFormat="1" ht="43.5" customHeight="1">
      <c r="A2" s="92" t="s">
        <v>917</v>
      </c>
      <c r="B2" s="126"/>
      <c r="C2" s="92"/>
      <c r="D2" s="375"/>
      <c r="E2" s="129"/>
      <c r="F2" s="375"/>
      <c r="G2" s="375"/>
      <c r="H2" s="375"/>
      <c r="I2" s="375"/>
      <c r="J2" s="375"/>
      <c r="K2" s="375"/>
    </row>
    <row r="3" spans="1:15" s="376" customFormat="1" ht="20.100000000000001" customHeight="1">
      <c r="A3" s="92"/>
      <c r="B3" s="126"/>
      <c r="C3" s="92"/>
      <c r="D3" s="375"/>
      <c r="E3" s="129"/>
      <c r="F3" s="375"/>
      <c r="G3" s="375"/>
      <c r="H3" s="375"/>
      <c r="I3" s="375"/>
      <c r="J3" s="375"/>
      <c r="K3" s="375"/>
    </row>
    <row r="4" spans="1:15" ht="20.100000000000001" customHeight="1">
      <c r="A4" s="134"/>
      <c r="K4" s="377" t="s">
        <v>36</v>
      </c>
    </row>
    <row r="5" spans="1:15" ht="42" customHeight="1">
      <c r="A5" s="152" t="s">
        <v>177</v>
      </c>
      <c r="B5" s="343" t="s">
        <v>61</v>
      </c>
      <c r="C5" s="343"/>
      <c r="D5" s="344"/>
      <c r="E5" s="343" t="s">
        <v>123</v>
      </c>
      <c r="F5" s="378"/>
      <c r="G5" s="379" t="s">
        <v>118</v>
      </c>
      <c r="H5" s="379" t="s">
        <v>119</v>
      </c>
      <c r="I5" s="379" t="s">
        <v>34</v>
      </c>
      <c r="J5" s="380" t="s">
        <v>120</v>
      </c>
      <c r="K5" s="378"/>
    </row>
    <row r="6" spans="1:15" s="388" customFormat="1" ht="42.75" customHeight="1">
      <c r="A6" s="381"/>
      <c r="B6" s="135"/>
      <c r="C6" s="382"/>
      <c r="D6" s="381"/>
      <c r="E6" s="383"/>
      <c r="F6" s="135"/>
      <c r="G6" s="381" t="s">
        <v>49</v>
      </c>
      <c r="H6" s="381" t="s">
        <v>10</v>
      </c>
      <c r="I6" s="384" t="s">
        <v>230</v>
      </c>
      <c r="J6" s="385"/>
      <c r="K6" s="386"/>
      <c r="L6" s="387"/>
      <c r="M6" s="387"/>
      <c r="N6" s="387"/>
      <c r="O6" s="387"/>
    </row>
    <row r="7" spans="1:15" ht="42.75" customHeight="1">
      <c r="A7" s="381"/>
      <c r="B7" s="711" t="str">
        <f>인집!B6</f>
        <v>운전원</v>
      </c>
      <c r="C7" s="712"/>
      <c r="D7" s="713"/>
      <c r="E7" s="714" t="str">
        <f>인집!E6</f>
        <v>보통인부</v>
      </c>
      <c r="F7" s="722"/>
      <c r="G7" s="723">
        <f>TRUNC(L7*M7/N7,2)</f>
        <v>0.16</v>
      </c>
      <c r="H7" s="719">
        <v>0</v>
      </c>
      <c r="I7" s="719">
        <f>TRUNC(G7*H7,0)</f>
        <v>0</v>
      </c>
      <c r="J7" s="716"/>
      <c r="K7" s="724" t="str">
        <f>""&amp;L7&amp;"인 × "&amp;M7&amp;"회/년 ÷ 12개월"</f>
        <v>1인 × 2회/년 ÷ 12개월</v>
      </c>
      <c r="L7" s="91">
        <v>1</v>
      </c>
      <c r="M7" s="391">
        <v>2</v>
      </c>
      <c r="N7" s="391">
        <v>12</v>
      </c>
    </row>
    <row r="8" spans="1:15" ht="42.75" customHeight="1">
      <c r="A8" s="381"/>
      <c r="B8" s="711" t="str">
        <f>인집!B7</f>
        <v>사무원</v>
      </c>
      <c r="C8" s="712"/>
      <c r="D8" s="713"/>
      <c r="E8" s="714" t="str">
        <f>인집!E7</f>
        <v>보통인부</v>
      </c>
      <c r="F8" s="722"/>
      <c r="G8" s="723">
        <f>TRUNC(L8*M8/N8,2)</f>
        <v>0.16</v>
      </c>
      <c r="H8" s="719">
        <v>0</v>
      </c>
      <c r="I8" s="719">
        <f>TRUNC(G8*H8,0)</f>
        <v>0</v>
      </c>
      <c r="J8" s="716"/>
      <c r="K8" s="724" t="str">
        <f>""&amp;L8&amp;"인 × "&amp;M8&amp;"회/년 ÷ 12개월"</f>
        <v>1인 × 2회/년 ÷ 12개월</v>
      </c>
      <c r="L8" s="91">
        <v>1</v>
      </c>
      <c r="M8" s="391">
        <v>2</v>
      </c>
      <c r="N8" s="391">
        <v>12</v>
      </c>
    </row>
    <row r="9" spans="1:15" ht="42.75" customHeight="1">
      <c r="A9" s="694"/>
      <c r="B9" s="366"/>
      <c r="C9" s="367"/>
      <c r="D9" s="365"/>
      <c r="E9" s="394"/>
      <c r="F9" s="693"/>
      <c r="G9" s="396"/>
      <c r="H9" s="329"/>
      <c r="I9" s="329"/>
      <c r="J9" s="97"/>
      <c r="K9" s="397"/>
      <c r="M9" s="391"/>
      <c r="N9" s="392"/>
    </row>
    <row r="10" spans="1:15" ht="27" customHeight="1">
      <c r="A10" s="133" t="str">
        <f>"주 1) 수량 : 전문업체 지급실적 참조"</f>
        <v>주 1) 수량 : 전문업체 지급실적 참조</v>
      </c>
    </row>
    <row r="11" spans="1:15" ht="27" customHeight="1">
      <c r="A11" s="133" t="s">
        <v>178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L13"/>
  <sheetViews>
    <sheetView showGridLines="0" showZeros="0" view="pageBreakPreview" topLeftCell="A4" zoomScaleNormal="100" workbookViewId="0">
      <selection activeCell="I8" sqref="I8"/>
    </sheetView>
  </sheetViews>
  <sheetFormatPr defaultRowHeight="27" customHeight="1"/>
  <cols>
    <col min="1" max="1" width="1.7109375" style="334" customWidth="1"/>
    <col min="2" max="2" width="14.7109375" style="334" customWidth="1"/>
    <col min="3" max="3" width="1.7109375" style="334" customWidth="1"/>
    <col min="4" max="4" width="1.7109375" style="335" customWidth="1"/>
    <col min="5" max="5" width="15.7109375" style="335" customWidth="1"/>
    <col min="6" max="6" width="1.7109375" style="335" customWidth="1"/>
    <col min="7" max="7" width="14.7109375" style="334" customWidth="1"/>
    <col min="8" max="8" width="2.7109375" style="334" customWidth="1"/>
    <col min="9" max="9" width="9.7109375" style="334" customWidth="1"/>
    <col min="10" max="10" width="13.7109375" style="336" customWidth="1"/>
    <col min="11" max="11" width="3.7109375" style="337" customWidth="1"/>
    <col min="12" max="12" width="13.42578125" style="336" customWidth="1"/>
    <col min="13" max="16384" width="9.140625" style="334"/>
  </cols>
  <sheetData>
    <row r="1" spans="1:12" ht="20.100000000000001" customHeight="1">
      <c r="A1" s="332" t="s">
        <v>749</v>
      </c>
      <c r="B1" s="333"/>
      <c r="I1" s="335"/>
    </row>
    <row r="2" spans="1:12" s="328" customFormat="1" ht="39.950000000000003" customHeight="1">
      <c r="A2" s="251" t="s">
        <v>259</v>
      </c>
      <c r="B2" s="251"/>
      <c r="C2" s="251"/>
      <c r="D2" s="327"/>
      <c r="E2" s="327"/>
      <c r="F2" s="327"/>
      <c r="G2" s="251"/>
      <c r="H2" s="251"/>
      <c r="I2" s="251"/>
      <c r="J2" s="251"/>
      <c r="K2" s="327"/>
      <c r="L2" s="251"/>
    </row>
    <row r="3" spans="1:12" s="328" customFormat="1" ht="20.100000000000001" customHeight="1">
      <c r="A3" s="251"/>
      <c r="B3" s="251"/>
      <c r="C3" s="251"/>
      <c r="D3" s="327"/>
      <c r="E3" s="327"/>
      <c r="F3" s="327"/>
      <c r="G3" s="251"/>
      <c r="H3" s="251"/>
      <c r="I3" s="251"/>
      <c r="J3" s="251"/>
      <c r="K3" s="327"/>
      <c r="L3" s="251"/>
    </row>
    <row r="4" spans="1:12" ht="20.100000000000001" customHeight="1">
      <c r="A4" s="338"/>
      <c r="B4" s="335"/>
      <c r="C4" s="335"/>
      <c r="G4" s="339"/>
      <c r="H4" s="339"/>
      <c r="I4" s="340"/>
      <c r="J4" s="341"/>
      <c r="K4" s="341"/>
      <c r="L4" s="255" t="s">
        <v>658</v>
      </c>
    </row>
    <row r="5" spans="1:12" s="335" customFormat="1" ht="50.1" customHeight="1">
      <c r="A5" s="342"/>
      <c r="B5" s="343" t="s">
        <v>221</v>
      </c>
      <c r="C5" s="343"/>
      <c r="D5" s="344"/>
      <c r="E5" s="343" t="s">
        <v>257</v>
      </c>
      <c r="F5" s="345"/>
      <c r="G5" s="346" t="s">
        <v>262</v>
      </c>
      <c r="H5" s="347"/>
      <c r="I5" s="348" t="s">
        <v>220</v>
      </c>
      <c r="J5" s="349" t="s">
        <v>258</v>
      </c>
      <c r="K5" s="350"/>
      <c r="L5" s="351" t="s">
        <v>263</v>
      </c>
    </row>
    <row r="6" spans="1:12" ht="38.25" customHeight="1">
      <c r="A6" s="352"/>
      <c r="B6" s="335"/>
      <c r="C6" s="335"/>
      <c r="D6" s="352"/>
      <c r="F6" s="363"/>
      <c r="G6" s="354" t="s">
        <v>222</v>
      </c>
      <c r="H6" s="355"/>
      <c r="I6" s="357" t="s">
        <v>264</v>
      </c>
      <c r="J6" s="358"/>
      <c r="K6" s="359"/>
      <c r="L6" s="360"/>
    </row>
    <row r="7" spans="1:12" ht="38.25" customHeight="1">
      <c r="A7" s="352"/>
      <c r="B7" s="711" t="str">
        <f>인집!B6</f>
        <v>운전원</v>
      </c>
      <c r="C7" s="712"/>
      <c r="D7" s="713"/>
      <c r="E7" s="714" t="str">
        <f>인집!E6</f>
        <v>보통인부</v>
      </c>
      <c r="F7" s="715"/>
      <c r="G7" s="716">
        <f>인집!K6-인집!J6</f>
        <v>2059077</v>
      </c>
      <c r="H7" s="717"/>
      <c r="I7" s="718">
        <v>0</v>
      </c>
      <c r="J7" s="716">
        <f>TRUNC(G7*I7%,0)</f>
        <v>0</v>
      </c>
      <c r="K7" s="717"/>
      <c r="L7" s="719"/>
    </row>
    <row r="8" spans="1:12" ht="38.25" customHeight="1">
      <c r="A8" s="352"/>
      <c r="B8" s="711" t="str">
        <f>인집!B7</f>
        <v>사무원</v>
      </c>
      <c r="C8" s="712"/>
      <c r="D8" s="713"/>
      <c r="E8" s="714" t="str">
        <f>인집!E7</f>
        <v>보통인부</v>
      </c>
      <c r="F8" s="715"/>
      <c r="G8" s="716">
        <f>인집!K7-인집!J7</f>
        <v>1873017</v>
      </c>
      <c r="H8" s="717"/>
      <c r="I8" s="718">
        <v>0</v>
      </c>
      <c r="J8" s="716">
        <f>TRUNC(G8*I8%,0)</f>
        <v>0</v>
      </c>
      <c r="K8" s="717"/>
      <c r="L8" s="719"/>
    </row>
    <row r="9" spans="1:12" ht="38.25" customHeight="1">
      <c r="A9" s="365"/>
      <c r="B9" s="366"/>
      <c r="C9" s="367"/>
      <c r="D9" s="365"/>
      <c r="E9" s="367"/>
      <c r="F9" s="368"/>
      <c r="G9" s="369"/>
      <c r="H9" s="370"/>
      <c r="I9" s="371"/>
      <c r="J9" s="372"/>
      <c r="K9" s="373"/>
      <c r="L9" s="374"/>
    </row>
    <row r="10" spans="1:12" ht="24.95" customHeight="1">
      <c r="A10" s="332" t="str">
        <f>"주 1) 적용대상액(급여액) : "&amp;인집!A1&amp;인집!A2&amp;" 참조"</f>
        <v>주 1) 적용대상액(급여액) : &lt; 표 : 3 &gt; 단위당인건비집계표 참조</v>
      </c>
      <c r="B10" s="332"/>
      <c r="I10" s="335"/>
    </row>
    <row r="11" spans="1:12" ht="24.95" customHeight="1">
      <c r="A11" s="332" t="s">
        <v>871</v>
      </c>
      <c r="B11" s="333"/>
      <c r="I11" s="335"/>
    </row>
    <row r="12" spans="1:12" ht="27" customHeight="1">
      <c r="A12" s="333"/>
      <c r="B12" s="332"/>
      <c r="I12" s="335"/>
    </row>
    <row r="13" spans="1:12" ht="27" customHeight="1">
      <c r="B13" s="332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D22"/>
  <sheetViews>
    <sheetView showGridLines="0" showZeros="0" view="pageBreakPreview" topLeftCell="A7" zoomScale="85" zoomScaleNormal="100" zoomScaleSheetLayoutView="85" workbookViewId="0">
      <selection activeCell="D18" sqref="D18"/>
    </sheetView>
  </sheetViews>
  <sheetFormatPr defaultColWidth="8.140625" defaultRowHeight="30" customHeight="1"/>
  <cols>
    <col min="1" max="1" width="11.5703125" style="100" customWidth="1"/>
    <col min="2" max="2" width="24.42578125" style="100" customWidth="1"/>
    <col min="3" max="3" width="9.85546875" style="100" customWidth="1"/>
    <col min="4" max="4" width="48.7109375" style="100" customWidth="1"/>
    <col min="5" max="16384" width="8.140625" style="100"/>
  </cols>
  <sheetData>
    <row r="1" spans="1:4" ht="39.950000000000003" customHeight="1">
      <c r="A1" s="732" t="s">
        <v>961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4"/>
      <c r="C4" s="104"/>
      <c r="D4" s="104"/>
    </row>
    <row r="5" spans="1:4" s="106" customFormat="1" ht="30" customHeight="1">
      <c r="A5" s="104"/>
      <c r="B5" s="104"/>
      <c r="C5" s="104"/>
      <c r="D5" s="104"/>
    </row>
    <row r="6" spans="1:4" ht="30" customHeight="1">
      <c r="A6" s="104"/>
      <c r="B6" s="104"/>
      <c r="C6" s="104"/>
      <c r="D6" s="104"/>
    </row>
    <row r="7" spans="1:4" ht="30" customHeight="1">
      <c r="A7" s="104"/>
      <c r="B7" s="107"/>
      <c r="C7" s="107"/>
      <c r="D7" s="107"/>
    </row>
    <row r="8" spans="1:4" ht="39.950000000000003" customHeight="1">
      <c r="A8" s="108"/>
      <c r="B8" s="109"/>
      <c r="C8" s="733" t="s">
        <v>872</v>
      </c>
      <c r="D8" s="733"/>
    </row>
    <row r="9" spans="1:4" ht="30" customHeight="1">
      <c r="A9" s="108"/>
      <c r="B9" s="109"/>
      <c r="C9" s="110"/>
      <c r="D9" s="111"/>
    </row>
    <row r="10" spans="1:4" ht="30" customHeight="1">
      <c r="A10" s="108"/>
      <c r="B10" s="109"/>
      <c r="C10" s="110"/>
      <c r="D10" s="111"/>
    </row>
    <row r="11" spans="1:4" ht="30" customHeight="1">
      <c r="A11" s="108"/>
      <c r="B11" s="109"/>
      <c r="C11" s="110"/>
      <c r="D11" s="111"/>
    </row>
    <row r="12" spans="1:4" ht="30" customHeight="1">
      <c r="A12" s="108"/>
      <c r="B12" s="109"/>
      <c r="C12" s="110"/>
      <c r="D12" s="111"/>
    </row>
    <row r="13" spans="1:4" ht="30" customHeight="1">
      <c r="A13" s="108"/>
      <c r="B13" s="109"/>
      <c r="C13" s="110"/>
      <c r="D13" s="111"/>
    </row>
    <row r="14" spans="1:4" ht="30" customHeight="1">
      <c r="A14" s="108"/>
      <c r="B14" s="109"/>
      <c r="C14" s="110"/>
      <c r="D14" s="111"/>
    </row>
    <row r="15" spans="1:4" ht="30" customHeight="1">
      <c r="A15" s="108"/>
      <c r="B15" s="109"/>
      <c r="C15" s="110"/>
      <c r="D15" s="111"/>
    </row>
    <row r="16" spans="1:4" ht="30" customHeight="1">
      <c r="A16" s="108"/>
      <c r="B16" s="109"/>
      <c r="C16" s="110"/>
      <c r="D16" s="111"/>
    </row>
    <row r="17" spans="1:4" ht="30" customHeight="1">
      <c r="A17" s="108"/>
      <c r="B17" s="109"/>
      <c r="C17" s="110"/>
      <c r="D17" s="111"/>
    </row>
    <row r="18" spans="1:4" ht="30" customHeight="1">
      <c r="A18" s="108"/>
      <c r="B18" s="109"/>
      <c r="C18" s="110"/>
      <c r="D18" s="111"/>
    </row>
    <row r="19" spans="1:4" ht="30" customHeight="1">
      <c r="A19" s="108"/>
      <c r="B19" s="109"/>
      <c r="C19" s="110"/>
      <c r="D19" s="111"/>
    </row>
    <row r="20" spans="1:4" ht="30" customHeight="1">
      <c r="A20" s="108"/>
      <c r="B20" s="109"/>
      <c r="C20" s="110"/>
      <c r="D20" s="111"/>
    </row>
    <row r="21" spans="1:4" ht="30" customHeight="1">
      <c r="A21" s="108"/>
      <c r="B21" s="109"/>
      <c r="C21" s="110"/>
      <c r="D21" s="111"/>
    </row>
    <row r="22" spans="1:4" ht="39.950000000000003" customHeight="1">
      <c r="A22" s="112"/>
      <c r="B22" s="112"/>
      <c r="C22" s="112"/>
      <c r="D22" s="112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useFirstPageNumber="1" r:id="rId1"/>
  <headerFooter alignWithMargins="0">
    <oddFooter>&amp;C&amp;"바탕체,보통"&amp;10- &amp;P -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L12"/>
  <sheetViews>
    <sheetView showGridLines="0" showZeros="0" view="pageBreakPreview" zoomScaleNormal="100" workbookViewId="0">
      <selection activeCell="B7" sqref="B7:K8"/>
    </sheetView>
  </sheetViews>
  <sheetFormatPr defaultRowHeight="27" customHeight="1"/>
  <cols>
    <col min="1" max="1" width="1.7109375" style="334" customWidth="1"/>
    <col min="2" max="2" width="14.7109375" style="334" customWidth="1"/>
    <col min="3" max="3" width="1.7109375" style="334" customWidth="1"/>
    <col min="4" max="4" width="1.7109375" style="335" customWidth="1"/>
    <col min="5" max="5" width="15.7109375" style="335" customWidth="1"/>
    <col min="6" max="6" width="1.7109375" style="335" customWidth="1"/>
    <col min="7" max="7" width="12.7109375" style="334" customWidth="1"/>
    <col min="8" max="8" width="1.7109375" style="334" customWidth="1"/>
    <col min="9" max="9" width="9.7109375" style="334" customWidth="1"/>
    <col min="10" max="10" width="13.7109375" style="336" customWidth="1"/>
    <col min="11" max="11" width="2.7109375" style="337" customWidth="1"/>
    <col min="12" max="12" width="17.5703125" style="336" customWidth="1"/>
    <col min="13" max="16384" width="9.140625" style="334"/>
  </cols>
  <sheetData>
    <row r="1" spans="1:12" ht="20.100000000000001" customHeight="1">
      <c r="A1" s="332" t="s">
        <v>870</v>
      </c>
      <c r="B1" s="333"/>
      <c r="I1" s="335"/>
    </row>
    <row r="2" spans="1:12" s="328" customFormat="1" ht="39.950000000000003" customHeight="1">
      <c r="A2" s="251" t="s">
        <v>280</v>
      </c>
      <c r="B2" s="251"/>
      <c r="C2" s="251"/>
      <c r="D2" s="327"/>
      <c r="E2" s="327"/>
      <c r="F2" s="327"/>
      <c r="G2" s="251"/>
      <c r="H2" s="251"/>
      <c r="I2" s="251"/>
      <c r="J2" s="251"/>
      <c r="K2" s="327"/>
      <c r="L2" s="251"/>
    </row>
    <row r="3" spans="1:12" s="328" customFormat="1" ht="20.100000000000001" customHeight="1">
      <c r="A3" s="251"/>
      <c r="B3" s="251"/>
      <c r="C3" s="251"/>
      <c r="D3" s="327"/>
      <c r="E3" s="327"/>
      <c r="F3" s="327"/>
      <c r="G3" s="251"/>
      <c r="H3" s="251"/>
      <c r="I3" s="251"/>
      <c r="J3" s="251"/>
      <c r="K3" s="327"/>
      <c r="L3" s="251"/>
    </row>
    <row r="4" spans="1:12" ht="20.100000000000001" customHeight="1">
      <c r="A4" s="338"/>
      <c r="B4" s="335"/>
      <c r="C4" s="335"/>
      <c r="G4" s="339"/>
      <c r="H4" s="339"/>
      <c r="I4" s="340"/>
      <c r="J4" s="341"/>
      <c r="K4" s="341"/>
      <c r="L4" s="255" t="s">
        <v>658</v>
      </c>
    </row>
    <row r="5" spans="1:12" s="335" customFormat="1" ht="50.1" customHeight="1">
      <c r="A5" s="342"/>
      <c r="B5" s="343" t="s">
        <v>221</v>
      </c>
      <c r="C5" s="343"/>
      <c r="D5" s="344"/>
      <c r="E5" s="343" t="s">
        <v>257</v>
      </c>
      <c r="F5" s="345"/>
      <c r="G5" s="346" t="s">
        <v>282</v>
      </c>
      <c r="H5" s="347"/>
      <c r="I5" s="348" t="s">
        <v>281</v>
      </c>
      <c r="J5" s="349" t="s">
        <v>283</v>
      </c>
      <c r="K5" s="350"/>
      <c r="L5" s="351" t="s">
        <v>263</v>
      </c>
    </row>
    <row r="6" spans="1:12" s="335" customFormat="1" ht="39.75" customHeight="1">
      <c r="A6" s="352"/>
      <c r="B6" s="353"/>
      <c r="C6" s="353"/>
      <c r="D6" s="354"/>
      <c r="E6" s="353"/>
      <c r="F6" s="355"/>
      <c r="G6" s="356"/>
      <c r="H6" s="357"/>
      <c r="I6" s="355"/>
      <c r="J6" s="358"/>
      <c r="K6" s="359"/>
      <c r="L6" s="360"/>
    </row>
    <row r="7" spans="1:12" ht="39.75" customHeight="1">
      <c r="A7" s="352"/>
      <c r="B7" s="711" t="str">
        <f>인집!B6</f>
        <v>운전원</v>
      </c>
      <c r="C7" s="712"/>
      <c r="D7" s="713"/>
      <c r="E7" s="714" t="str">
        <f>인집!E6</f>
        <v>보통인부</v>
      </c>
      <c r="F7" s="715"/>
      <c r="G7" s="716">
        <v>0</v>
      </c>
      <c r="H7" s="717"/>
      <c r="I7" s="721">
        <v>12</v>
      </c>
      <c r="J7" s="716">
        <f>TRUNC(G7/I7)</f>
        <v>0</v>
      </c>
      <c r="K7" s="717"/>
      <c r="L7" s="364"/>
    </row>
    <row r="8" spans="1:12" ht="39.75" customHeight="1">
      <c r="A8" s="352"/>
      <c r="B8" s="711" t="str">
        <f>인집!B7</f>
        <v>사무원</v>
      </c>
      <c r="C8" s="712"/>
      <c r="D8" s="713"/>
      <c r="E8" s="714" t="str">
        <f>인집!E7</f>
        <v>보통인부</v>
      </c>
      <c r="F8" s="715"/>
      <c r="G8" s="716">
        <v>0</v>
      </c>
      <c r="H8" s="717"/>
      <c r="I8" s="721">
        <f>I7</f>
        <v>12</v>
      </c>
      <c r="J8" s="716">
        <f>TRUNC(G8/I8)</f>
        <v>0</v>
      </c>
      <c r="K8" s="717"/>
      <c r="L8" s="364"/>
    </row>
    <row r="9" spans="1:12" ht="39.75" customHeight="1">
      <c r="A9" s="365"/>
      <c r="B9" s="366"/>
      <c r="C9" s="367"/>
      <c r="D9" s="365"/>
      <c r="E9" s="367"/>
      <c r="F9" s="368"/>
      <c r="G9" s="369"/>
      <c r="H9" s="370"/>
      <c r="I9" s="371"/>
      <c r="J9" s="372"/>
      <c r="K9" s="373"/>
      <c r="L9" s="374"/>
    </row>
    <row r="10" spans="1:12" ht="24.95" customHeight="1">
      <c r="A10" s="332" t="s">
        <v>657</v>
      </c>
      <c r="B10" s="332"/>
      <c r="I10" s="335"/>
    </row>
    <row r="11" spans="1:12" ht="27" customHeight="1">
      <c r="A11" s="333"/>
      <c r="B11" s="332"/>
      <c r="I11" s="335"/>
    </row>
    <row r="12" spans="1:12" ht="27" customHeight="1">
      <c r="B12" s="332"/>
      <c r="I12" s="335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4"/>
  <sheetViews>
    <sheetView showGridLines="0" showZeros="0" view="pageBreakPreview" zoomScale="55" zoomScaleNormal="60" zoomScaleSheetLayoutView="55" workbookViewId="0">
      <selection activeCell="J15" sqref="J15"/>
    </sheetView>
  </sheetViews>
  <sheetFormatPr defaultColWidth="8.140625" defaultRowHeight="30" customHeight="1"/>
  <cols>
    <col min="1" max="1" width="11.5703125" style="100" customWidth="1"/>
    <col min="2" max="2" width="24.5703125" style="100" customWidth="1"/>
    <col min="3" max="3" width="15.85546875" style="100" bestFit="1" customWidth="1"/>
    <col min="4" max="4" width="42.570312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7"/>
      <c r="C4" s="107"/>
      <c r="D4" s="107"/>
    </row>
    <row r="5" spans="1:4" ht="39.950000000000003" customHeight="1">
      <c r="A5" s="108"/>
      <c r="B5" s="109"/>
      <c r="C5" s="733" t="s">
        <v>950</v>
      </c>
      <c r="D5" s="733"/>
    </row>
    <row r="6" spans="1:4" ht="56.25" customHeight="1">
      <c r="A6" s="108"/>
      <c r="B6" s="109"/>
      <c r="C6" s="110"/>
      <c r="D6" s="113"/>
    </row>
    <row r="7" spans="1:4" ht="56.25" customHeight="1">
      <c r="A7" s="108"/>
      <c r="B7" s="109"/>
      <c r="C7" s="114" t="s">
        <v>891</v>
      </c>
      <c r="D7" s="115" t="str">
        <f>일반!A2</f>
        <v>일반관리비산출표</v>
      </c>
    </row>
    <row r="8" spans="1:4" ht="56.25" customHeight="1">
      <c r="A8" s="108"/>
      <c r="B8" s="109"/>
      <c r="C8" s="114" t="s">
        <v>893</v>
      </c>
      <c r="D8" s="115" t="str">
        <f>일반비율!A2</f>
        <v>일반관리비율산출표</v>
      </c>
    </row>
    <row r="9" spans="1:4" ht="56.25" customHeight="1">
      <c r="A9" s="108"/>
      <c r="B9" s="109"/>
      <c r="C9" s="114"/>
      <c r="D9" s="115"/>
    </row>
    <row r="10" spans="1:4" ht="64.5" customHeight="1">
      <c r="A10" s="108"/>
      <c r="B10" s="109"/>
      <c r="C10" s="114"/>
      <c r="D10" s="115"/>
    </row>
    <row r="11" spans="1:4" ht="80.25" customHeight="1">
      <c r="A11" s="108"/>
      <c r="B11" s="109"/>
      <c r="C11" s="114"/>
      <c r="D11" s="115"/>
    </row>
    <row r="12" spans="1:4" ht="56.25" customHeight="1">
      <c r="A12" s="108"/>
      <c r="B12" s="109"/>
      <c r="C12" s="114"/>
      <c r="D12" s="115"/>
    </row>
    <row r="13" spans="1:4" ht="56.25" customHeight="1">
      <c r="A13" s="108"/>
      <c r="B13" s="109"/>
      <c r="C13" s="116"/>
      <c r="D13" s="117"/>
    </row>
    <row r="14" spans="1:4" ht="39.950000000000003" customHeight="1">
      <c r="A14" s="112"/>
      <c r="B14" s="112"/>
      <c r="C14" s="112"/>
      <c r="D14" s="112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38" orientation="portrait" useFirstPageNumber="1" r:id="rId1"/>
  <headerFooter alignWithMargins="0">
    <oddFooter>&amp;C- &amp;P -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/>
  <dimension ref="A1:K15"/>
  <sheetViews>
    <sheetView showGridLines="0" showZeros="0" view="pageBreakPreview" zoomScaleNormal="100" workbookViewId="0">
      <selection activeCell="J9" sqref="J9"/>
    </sheetView>
  </sheetViews>
  <sheetFormatPr defaultRowHeight="27" customHeight="1"/>
  <cols>
    <col min="1" max="1" width="1.7109375" style="248" customWidth="1"/>
    <col min="2" max="2" width="12.7109375" style="248" customWidth="1"/>
    <col min="3" max="3" width="1.7109375" style="248" customWidth="1"/>
    <col min="4" max="4" width="1.7109375" style="249" customWidth="1"/>
    <col min="5" max="5" width="14.7109375" style="249" customWidth="1"/>
    <col min="6" max="6" width="1.7109375" style="249" customWidth="1"/>
    <col min="7" max="7" width="13.140625" style="248" customWidth="1"/>
    <col min="8" max="8" width="12.7109375" style="248" customWidth="1"/>
    <col min="9" max="9" width="13.7109375" style="248" customWidth="1"/>
    <col min="10" max="10" width="8.7109375" style="248" customWidth="1"/>
    <col min="11" max="11" width="12.7109375" style="250" customWidth="1"/>
    <col min="12" max="16384" width="9.140625" style="248"/>
  </cols>
  <sheetData>
    <row r="1" spans="1:11" ht="20.100000000000001" customHeight="1">
      <c r="A1" s="246" t="s">
        <v>865</v>
      </c>
      <c r="B1" s="247"/>
      <c r="J1" s="249"/>
    </row>
    <row r="2" spans="1:11" s="328" customFormat="1" ht="39.950000000000003" customHeight="1">
      <c r="A2" s="251" t="s">
        <v>121</v>
      </c>
      <c r="B2" s="251"/>
      <c r="C2" s="251"/>
      <c r="D2" s="327"/>
      <c r="E2" s="327"/>
      <c r="F2" s="327"/>
      <c r="G2" s="251"/>
      <c r="H2" s="251"/>
      <c r="I2" s="251"/>
      <c r="J2" s="251"/>
      <c r="K2" s="251"/>
    </row>
    <row r="3" spans="1:11" s="328" customFormat="1" ht="20.100000000000001" customHeight="1">
      <c r="A3" s="251"/>
      <c r="B3" s="251"/>
      <c r="C3" s="251"/>
      <c r="D3" s="327"/>
      <c r="E3" s="327"/>
      <c r="F3" s="327"/>
      <c r="G3" s="251"/>
      <c r="H3" s="251"/>
      <c r="I3" s="251"/>
      <c r="J3" s="251"/>
      <c r="K3" s="251"/>
    </row>
    <row r="4" spans="1:11" ht="20.100000000000001" customHeight="1">
      <c r="A4" s="253"/>
      <c r="B4" s="249"/>
      <c r="C4" s="249"/>
      <c r="G4" s="254"/>
      <c r="H4" s="254"/>
      <c r="I4" s="254"/>
      <c r="J4" s="123"/>
      <c r="K4" s="255" t="s">
        <v>658</v>
      </c>
    </row>
    <row r="5" spans="1:11" s="249" customFormat="1" ht="24.95" customHeight="1">
      <c r="A5" s="256"/>
      <c r="B5" s="810" t="s">
        <v>122</v>
      </c>
      <c r="C5" s="257"/>
      <c r="D5" s="812"/>
      <c r="E5" s="810" t="s">
        <v>123</v>
      </c>
      <c r="F5" s="814"/>
      <c r="G5" s="259" t="s">
        <v>124</v>
      </c>
      <c r="H5" s="259"/>
      <c r="I5" s="259"/>
      <c r="J5" s="798" t="s">
        <v>220</v>
      </c>
      <c r="K5" s="808" t="s">
        <v>125</v>
      </c>
    </row>
    <row r="6" spans="1:11" s="249" customFormat="1" ht="24.95" customHeight="1">
      <c r="A6" s="260"/>
      <c r="B6" s="811"/>
      <c r="C6" s="261"/>
      <c r="D6" s="813"/>
      <c r="E6" s="811"/>
      <c r="F6" s="815"/>
      <c r="G6" s="263" t="s">
        <v>126</v>
      </c>
      <c r="H6" s="263" t="s">
        <v>127</v>
      </c>
      <c r="I6" s="263" t="s">
        <v>14</v>
      </c>
      <c r="J6" s="807"/>
      <c r="K6" s="809"/>
    </row>
    <row r="7" spans="1:11" ht="41.25" customHeight="1">
      <c r="A7" s="264"/>
      <c r="B7" s="249"/>
      <c r="C7" s="249"/>
      <c r="D7" s="264"/>
      <c r="F7" s="268"/>
      <c r="G7" s="266" t="s">
        <v>260</v>
      </c>
      <c r="H7" s="266" t="s">
        <v>1</v>
      </c>
      <c r="I7" s="266"/>
      <c r="J7" s="265" t="s">
        <v>261</v>
      </c>
      <c r="K7" s="267"/>
    </row>
    <row r="8" spans="1:11" ht="41.25" customHeight="1">
      <c r="A8" s="264"/>
      <c r="B8" s="269" t="str">
        <f>인집!B6</f>
        <v>운전원</v>
      </c>
      <c r="C8" s="249"/>
      <c r="D8" s="264"/>
      <c r="E8" s="270" t="str">
        <f>인집!E6</f>
        <v>보통인부</v>
      </c>
      <c r="F8" s="268"/>
      <c r="G8" s="271">
        <f>인집!K6</f>
        <v>2059077</v>
      </c>
      <c r="H8" s="271">
        <f>경비집계표!E19</f>
        <v>275577</v>
      </c>
      <c r="I8" s="271">
        <f>SUM(G8:H8)</f>
        <v>2334654</v>
      </c>
      <c r="J8" s="272">
        <v>3</v>
      </c>
      <c r="K8" s="271">
        <f>TRUNC(I8*J8%,0)</f>
        <v>70039</v>
      </c>
    </row>
    <row r="9" spans="1:11" ht="41.25" customHeight="1">
      <c r="A9" s="264"/>
      <c r="B9" s="269" t="str">
        <f>인집!B7</f>
        <v>사무원</v>
      </c>
      <c r="C9" s="249"/>
      <c r="D9" s="264"/>
      <c r="E9" s="270" t="str">
        <f>인집!E7</f>
        <v>보통인부</v>
      </c>
      <c r="F9" s="268"/>
      <c r="G9" s="271">
        <f>인집!K7</f>
        <v>1873017</v>
      </c>
      <c r="H9" s="271">
        <f>경비집계표!F19</f>
        <v>350775</v>
      </c>
      <c r="I9" s="271">
        <f>SUM(G9:H9)</f>
        <v>2223792</v>
      </c>
      <c r="J9" s="272">
        <f>J8</f>
        <v>3</v>
      </c>
      <c r="K9" s="271">
        <f>TRUNC(I9*J9%,0)</f>
        <v>66713</v>
      </c>
    </row>
    <row r="10" spans="1:11" ht="41.25" customHeight="1">
      <c r="A10" s="260"/>
      <c r="B10" s="274"/>
      <c r="C10" s="275"/>
      <c r="D10" s="260"/>
      <c r="E10" s="275"/>
      <c r="F10" s="276"/>
      <c r="G10" s="329"/>
      <c r="H10" s="329"/>
      <c r="I10" s="329"/>
      <c r="J10" s="330"/>
      <c r="K10" s="331"/>
    </row>
    <row r="11" spans="1:11" ht="24.95" customHeight="1">
      <c r="A11" s="246" t="str">
        <f>"주 1) 인건비 : "&amp;인집!A1&amp;""&amp;인집!A2&amp;" 참조"</f>
        <v>주 1) 인건비 : &lt; 표 : 3 &gt; 단위당인건비집계표 참조</v>
      </c>
      <c r="B11" s="246"/>
      <c r="J11" s="249"/>
    </row>
    <row r="12" spans="1:11" ht="24.95" customHeight="1">
      <c r="A12" s="247" t="str">
        <f>"   2) 경비 : "&amp;경비집계표!A1&amp;""&amp;경비집계표!A2&amp;" 참조"</f>
        <v xml:space="preserve">   2) 경비 : &lt; 표 : 11 &gt; 경비집계표 참조</v>
      </c>
      <c r="B12" s="246"/>
      <c r="J12" s="249"/>
    </row>
    <row r="13" spans="1:11" ht="24.95" customHeight="1">
      <c r="A13" s="246" t="str">
        <f>"   3) 비율(%) : "&amp;일반비율!A1&amp;""&amp;일반비율!A2&amp;" 참조"</f>
        <v xml:space="preserve">   3) 비율(%) : &lt; 표 : 21 &gt; 일반관리비율산출표 참조</v>
      </c>
      <c r="B13" s="247"/>
      <c r="J13" s="249"/>
    </row>
    <row r="14" spans="1:11" ht="27" customHeight="1">
      <c r="A14" s="247"/>
      <c r="B14" s="246"/>
      <c r="J14" s="249"/>
    </row>
    <row r="15" spans="1:11" ht="27" customHeight="1">
      <c r="B15" s="246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0" orientation="portrait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/>
  <dimension ref="A1:I24"/>
  <sheetViews>
    <sheetView showGridLines="0" showZeros="0" view="pageBreakPreview" zoomScaleNormal="100" workbookViewId="0">
      <selection activeCell="J15" sqref="J15"/>
    </sheetView>
  </sheetViews>
  <sheetFormatPr defaultRowHeight="23.25" customHeight="1"/>
  <cols>
    <col min="1" max="1" width="1.7109375" style="281" customWidth="1"/>
    <col min="2" max="2" width="3.7109375" style="281" customWidth="1"/>
    <col min="3" max="3" width="29.7109375" style="309" customWidth="1"/>
    <col min="4" max="4" width="1.7109375" style="281" customWidth="1"/>
    <col min="5" max="5" width="15.7109375" style="320" customWidth="1"/>
    <col min="6" max="6" width="2.7109375" style="320" customWidth="1"/>
    <col min="7" max="7" width="15.7109375" style="281" customWidth="1"/>
    <col min="8" max="8" width="2.7109375" style="281" customWidth="1"/>
    <col min="9" max="9" width="21.5703125" style="281" customWidth="1"/>
    <col min="10" max="16384" width="9.140625" style="281"/>
  </cols>
  <sheetData>
    <row r="1" spans="1:9" ht="20.100000000000001" customHeight="1">
      <c r="A1" s="279" t="s">
        <v>866</v>
      </c>
      <c r="B1" s="280"/>
      <c r="C1" s="281"/>
      <c r="D1" s="280"/>
      <c r="E1" s="282"/>
      <c r="F1" s="282"/>
    </row>
    <row r="2" spans="1:9" ht="39.950000000000003" customHeight="1">
      <c r="A2" s="283" t="s">
        <v>157</v>
      </c>
      <c r="B2" s="284"/>
      <c r="C2" s="284"/>
      <c r="D2" s="284"/>
      <c r="E2" s="285"/>
      <c r="F2" s="285"/>
      <c r="G2" s="284"/>
      <c r="H2" s="284"/>
      <c r="I2" s="284"/>
    </row>
    <row r="3" spans="1:9" ht="20.100000000000001" customHeight="1">
      <c r="A3" s="286"/>
      <c r="B3" s="284"/>
      <c r="C3" s="284"/>
      <c r="D3" s="284"/>
      <c r="E3" s="285"/>
      <c r="F3" s="285"/>
      <c r="G3" s="284"/>
      <c r="H3" s="284"/>
      <c r="I3" s="284"/>
    </row>
    <row r="4" spans="1:9" ht="20.100000000000001" customHeight="1">
      <c r="A4" s="287" t="s">
        <v>158</v>
      </c>
      <c r="B4" s="288"/>
      <c r="C4" s="284"/>
      <c r="D4" s="288"/>
      <c r="E4" s="289"/>
      <c r="F4" s="289"/>
      <c r="G4" s="284"/>
      <c r="H4" s="284"/>
      <c r="I4" s="284"/>
    </row>
    <row r="5" spans="1:9" ht="50.1" customHeight="1">
      <c r="A5" s="290"/>
      <c r="B5" s="816" t="s">
        <v>159</v>
      </c>
      <c r="C5" s="816"/>
      <c r="D5" s="291"/>
      <c r="E5" s="292" t="s">
        <v>160</v>
      </c>
      <c r="F5" s="292"/>
      <c r="G5" s="817" t="s">
        <v>176</v>
      </c>
      <c r="H5" s="818"/>
      <c r="I5" s="293" t="s">
        <v>161</v>
      </c>
    </row>
    <row r="6" spans="1:9" ht="24.95" customHeight="1">
      <c r="A6" s="294"/>
      <c r="B6" s="295"/>
      <c r="C6" s="286"/>
      <c r="D6" s="296"/>
      <c r="E6" s="285"/>
      <c r="F6" s="285"/>
      <c r="G6" s="297"/>
      <c r="H6" s="298"/>
      <c r="I6" s="299"/>
    </row>
    <row r="7" spans="1:9" ht="24.95" customHeight="1">
      <c r="A7" s="300"/>
      <c r="B7" s="301" t="s">
        <v>162</v>
      </c>
      <c r="C7" s="302" t="s">
        <v>142</v>
      </c>
      <c r="D7" s="303"/>
      <c r="E7" s="304"/>
      <c r="F7" s="304"/>
      <c r="G7" s="305">
        <f>기업!F7</f>
        <v>5197245</v>
      </c>
      <c r="H7" s="306"/>
      <c r="I7" s="307" t="s">
        <v>163</v>
      </c>
    </row>
    <row r="8" spans="1:9" ht="24.95" customHeight="1">
      <c r="A8" s="300"/>
      <c r="B8" s="301" t="s">
        <v>164</v>
      </c>
      <c r="C8" s="302" t="s">
        <v>165</v>
      </c>
      <c r="D8" s="303"/>
      <c r="E8" s="305"/>
      <c r="F8" s="304"/>
      <c r="G8" s="305">
        <f>G9-G10</f>
        <v>10489491</v>
      </c>
      <c r="H8" s="306"/>
      <c r="I8" s="307"/>
    </row>
    <row r="9" spans="1:9" ht="24.95" customHeight="1">
      <c r="A9" s="300"/>
      <c r="B9" s="308" t="s">
        <v>128</v>
      </c>
      <c r="C9" s="302" t="s">
        <v>143</v>
      </c>
      <c r="D9" s="303"/>
      <c r="E9" s="304"/>
      <c r="F9" s="304"/>
      <c r="G9" s="305">
        <f>기업!F9</f>
        <v>13228114</v>
      </c>
      <c r="H9" s="306"/>
      <c r="I9" s="307"/>
    </row>
    <row r="10" spans="1:9" ht="24.95" customHeight="1">
      <c r="A10" s="300"/>
      <c r="B10" s="308" t="s">
        <v>128</v>
      </c>
      <c r="C10" s="302" t="s">
        <v>166</v>
      </c>
      <c r="D10" s="303"/>
      <c r="E10" s="304"/>
      <c r="F10" s="304"/>
      <c r="G10" s="305">
        <f>SUM(G11:G16)</f>
        <v>2738623</v>
      </c>
      <c r="H10" s="306"/>
      <c r="I10" s="307"/>
    </row>
    <row r="11" spans="1:9" ht="24.95" customHeight="1">
      <c r="A11" s="300"/>
      <c r="B11" s="308"/>
      <c r="C11" s="309" t="s">
        <v>167</v>
      </c>
      <c r="D11" s="303"/>
      <c r="E11" s="304"/>
      <c r="F11" s="304"/>
      <c r="G11" s="305">
        <f>기업!F17</f>
        <v>134225</v>
      </c>
      <c r="H11" s="306"/>
      <c r="I11" s="307"/>
    </row>
    <row r="12" spans="1:9" ht="24.95" customHeight="1">
      <c r="A12" s="300"/>
      <c r="B12" s="308"/>
      <c r="C12" s="309" t="s">
        <v>168</v>
      </c>
      <c r="D12" s="303"/>
      <c r="E12" s="304"/>
      <c r="F12" s="304"/>
      <c r="G12" s="305">
        <f>기업!F18</f>
        <v>161745</v>
      </c>
      <c r="H12" s="306"/>
      <c r="I12" s="307"/>
    </row>
    <row r="13" spans="1:9" ht="24.95" customHeight="1">
      <c r="A13" s="300"/>
      <c r="B13" s="308"/>
      <c r="C13" s="309" t="s">
        <v>169</v>
      </c>
      <c r="D13" s="303"/>
      <c r="E13" s="304"/>
      <c r="F13" s="304"/>
      <c r="G13" s="305">
        <f>기업!F21</f>
        <v>72006</v>
      </c>
      <c r="H13" s="306"/>
      <c r="I13" s="307"/>
    </row>
    <row r="14" spans="1:9" ht="24.95" customHeight="1">
      <c r="A14" s="300"/>
      <c r="B14" s="308"/>
      <c r="C14" s="309" t="s">
        <v>170</v>
      </c>
      <c r="D14" s="303"/>
      <c r="E14" s="304"/>
      <c r="F14" s="304"/>
      <c r="G14" s="305">
        <f>기업!F22</f>
        <v>58681</v>
      </c>
      <c r="H14" s="306"/>
      <c r="I14" s="307"/>
    </row>
    <row r="15" spans="1:9" ht="24.95" customHeight="1">
      <c r="A15" s="300"/>
      <c r="B15" s="308"/>
      <c r="C15" s="309" t="s">
        <v>171</v>
      </c>
      <c r="D15" s="303"/>
      <c r="E15" s="304"/>
      <c r="F15" s="304"/>
      <c r="G15" s="305">
        <f>기업!F23</f>
        <v>17916</v>
      </c>
      <c r="H15" s="306"/>
      <c r="I15" s="307"/>
    </row>
    <row r="16" spans="1:9" ht="24.95" customHeight="1">
      <c r="A16" s="300"/>
      <c r="B16" s="308"/>
      <c r="C16" s="309" t="s">
        <v>172</v>
      </c>
      <c r="D16" s="303"/>
      <c r="E16" s="304"/>
      <c r="F16" s="304"/>
      <c r="G16" s="305">
        <f>기업!F26</f>
        <v>2294050</v>
      </c>
      <c r="H16" s="306"/>
      <c r="I16" s="307"/>
    </row>
    <row r="17" spans="1:9" ht="24.95" customHeight="1">
      <c r="A17" s="300"/>
      <c r="B17" s="308"/>
      <c r="D17" s="303"/>
      <c r="E17" s="304"/>
      <c r="F17" s="304"/>
      <c r="G17" s="310"/>
      <c r="H17" s="303"/>
      <c r="I17" s="307"/>
    </row>
    <row r="18" spans="1:9" ht="45" customHeight="1">
      <c r="A18" s="311"/>
      <c r="B18" s="312" t="s">
        <v>173</v>
      </c>
      <c r="C18" s="313" t="s">
        <v>174</v>
      </c>
      <c r="D18" s="314"/>
      <c r="E18" s="315">
        <v>5</v>
      </c>
      <c r="F18" s="316"/>
      <c r="G18" s="315">
        <f>TRUNC(G8/G7*100,2)</f>
        <v>201.82</v>
      </c>
      <c r="H18" s="317"/>
      <c r="I18" s="318" t="s">
        <v>175</v>
      </c>
    </row>
    <row r="19" spans="1:9" ht="24.95" customHeight="1">
      <c r="A19" s="319" t="str">
        <f>"주 1) 금액 : "&amp;기업!A1&amp;기업!A2&amp;" 참조"</f>
        <v>주 1) 금액 : &lt; 표 : 24 &gt; 기업경영분석자료 참조</v>
      </c>
      <c r="B19" s="319"/>
      <c r="C19" s="279"/>
      <c r="D19" s="280"/>
      <c r="E19" s="282"/>
      <c r="F19" s="282"/>
    </row>
    <row r="20" spans="1:9" ht="24.95" customHeight="1">
      <c r="A20" s="279" t="s">
        <v>246</v>
      </c>
      <c r="B20" s="319"/>
    </row>
    <row r="21" spans="1:9" ht="24.95" customHeight="1">
      <c r="A21" s="321" t="s">
        <v>247</v>
      </c>
      <c r="B21" s="321"/>
      <c r="C21" s="322"/>
    </row>
    <row r="22" spans="1:9" s="325" customFormat="1" ht="24.95" customHeight="1">
      <c r="A22" s="323" t="str">
        <f>"   행정안전부예규에 의한 '용역 및 서비스업'의 일반관리비율 적용 한도율은 "&amp;E18&amp;"%이며, 기업경영"</f>
        <v xml:space="preserve">   행정안전부예규에 의한 '용역 및 서비스업'의 일반관리비율 적용 한도율은 5%이며, 기업경영</v>
      </c>
      <c r="B22" s="324"/>
      <c r="C22" s="324"/>
    </row>
    <row r="23" spans="1:9" s="325" customFormat="1" ht="24.95" customHeight="1">
      <c r="A23" s="323" t="str">
        <f>"   분석자료 비율은 "&amp;G18&amp;"%로 발생되어 본 원가산출시 적용 일반관리비율은 "&amp;MIN(E18:G18)&amp;"%를 적용하였다."</f>
        <v xml:space="preserve">   분석자료 비율은 201.82%로 발생되어 본 원가산출시 적용 일반관리비율은 5%를 적용하였다.</v>
      </c>
      <c r="B23" s="323"/>
      <c r="C23" s="323"/>
    </row>
    <row r="24" spans="1:9" ht="23.25" customHeight="1">
      <c r="A24" s="321"/>
      <c r="B24" s="326"/>
      <c r="C24" s="321"/>
    </row>
  </sheetData>
  <mergeCells count="2">
    <mergeCell ref="B5:C5"/>
    <mergeCell ref="G5:H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"/>
  <sheetViews>
    <sheetView showGridLines="0" showZeros="0" view="pageBreakPreview" zoomScale="55" zoomScaleNormal="60" zoomScaleSheetLayoutView="55" workbookViewId="0">
      <selection activeCell="J15" sqref="J15"/>
    </sheetView>
  </sheetViews>
  <sheetFormatPr defaultColWidth="8.140625" defaultRowHeight="30" customHeight="1"/>
  <cols>
    <col min="1" max="1" width="11.5703125" style="100" customWidth="1"/>
    <col min="2" max="2" width="24.5703125" style="100" customWidth="1"/>
    <col min="3" max="3" width="15.85546875" style="100" bestFit="1" customWidth="1"/>
    <col min="4" max="4" width="42.570312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7"/>
      <c r="C4" s="107"/>
      <c r="D4" s="107"/>
    </row>
    <row r="5" spans="1:4" ht="39.950000000000003" customHeight="1">
      <c r="A5" s="108"/>
      <c r="B5" s="109"/>
      <c r="C5" s="733" t="s">
        <v>951</v>
      </c>
      <c r="D5" s="733"/>
    </row>
    <row r="6" spans="1:4" ht="53.25" customHeight="1">
      <c r="A6" s="108"/>
      <c r="B6" s="109"/>
      <c r="C6" s="110"/>
      <c r="D6" s="113"/>
    </row>
    <row r="7" spans="1:4" ht="53.25" customHeight="1">
      <c r="A7" s="108"/>
      <c r="B7" s="109"/>
      <c r="C7" s="114" t="s">
        <v>894</v>
      </c>
      <c r="D7" s="115" t="str">
        <f>이윤!A2</f>
        <v>이윤산출표</v>
      </c>
    </row>
    <row r="8" spans="1:4" ht="53.25" customHeight="1">
      <c r="A8" s="108"/>
      <c r="B8" s="109"/>
      <c r="C8" s="114" t="s">
        <v>895</v>
      </c>
      <c r="D8" s="115" t="str">
        <f>이윤율!A2</f>
        <v>이윤비율표</v>
      </c>
    </row>
    <row r="9" spans="1:4" ht="53.25" customHeight="1">
      <c r="A9" s="108"/>
      <c r="B9" s="109"/>
      <c r="C9" s="114"/>
      <c r="D9" s="115"/>
    </row>
    <row r="10" spans="1:4" ht="53.25" customHeight="1">
      <c r="A10" s="108"/>
      <c r="B10" s="109"/>
      <c r="C10" s="114"/>
      <c r="D10" s="115"/>
    </row>
    <row r="11" spans="1:4" ht="53.25" customHeight="1">
      <c r="A11" s="108"/>
      <c r="B11" s="109"/>
      <c r="C11" s="114"/>
      <c r="D11" s="115"/>
    </row>
    <row r="12" spans="1:4" ht="53.25" customHeight="1">
      <c r="A12" s="108"/>
      <c r="B12" s="109"/>
      <c r="C12" s="114"/>
      <c r="D12" s="115"/>
    </row>
    <row r="13" spans="1:4" ht="53.25" customHeight="1">
      <c r="A13" s="108"/>
      <c r="B13" s="109"/>
      <c r="C13" s="114"/>
      <c r="D13" s="115"/>
    </row>
    <row r="14" spans="1:4" ht="53.25" customHeight="1">
      <c r="A14" s="108"/>
      <c r="B14" s="109"/>
      <c r="C14" s="116"/>
      <c r="D14" s="117"/>
    </row>
    <row r="15" spans="1:4" ht="39.950000000000003" customHeight="1">
      <c r="A15" s="112"/>
      <c r="B15" s="112"/>
      <c r="C15" s="112"/>
      <c r="D15" s="112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41" orientation="portrait" useFirstPageNumber="1" r:id="rId1"/>
  <headerFooter alignWithMargins="0">
    <oddFooter>&amp;C- &amp;P -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/>
  <dimension ref="A1:L16"/>
  <sheetViews>
    <sheetView showGridLines="0" showZeros="0" view="pageBreakPreview" topLeftCell="A10" zoomScaleNormal="100" workbookViewId="0">
      <selection activeCell="Q24" sqref="Q24"/>
    </sheetView>
  </sheetViews>
  <sheetFormatPr defaultRowHeight="27" customHeight="1"/>
  <cols>
    <col min="1" max="1" width="1.7109375" style="248" customWidth="1"/>
    <col min="2" max="2" width="12.140625" style="248" customWidth="1"/>
    <col min="3" max="3" width="1.7109375" style="248" customWidth="1"/>
    <col min="4" max="4" width="0.85546875" style="248" customWidth="1"/>
    <col min="5" max="5" width="14.7109375" style="248" customWidth="1"/>
    <col min="6" max="6" width="0.85546875" style="248" customWidth="1"/>
    <col min="7" max="7" width="11.7109375" style="248" customWidth="1"/>
    <col min="8" max="9" width="10.7109375" style="248" customWidth="1"/>
    <col min="10" max="10" width="11.7109375" style="248" customWidth="1"/>
    <col min="11" max="11" width="7.7109375" style="248" customWidth="1"/>
    <col min="12" max="12" width="10.7109375" style="250" customWidth="1"/>
    <col min="13" max="16384" width="9.140625" style="248"/>
  </cols>
  <sheetData>
    <row r="1" spans="1:12" ht="20.100000000000001" customHeight="1">
      <c r="A1" s="246" t="s">
        <v>690</v>
      </c>
      <c r="B1" s="247"/>
      <c r="K1" s="249"/>
    </row>
    <row r="2" spans="1:12" ht="39.950000000000003" customHeight="1">
      <c r="A2" s="251" t="s">
        <v>144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20.100000000000001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20.100000000000001" customHeight="1">
      <c r="A4" s="253"/>
      <c r="B4" s="249"/>
      <c r="C4" s="249"/>
      <c r="D4" s="249"/>
      <c r="E4" s="249"/>
      <c r="F4" s="249"/>
      <c r="G4" s="254"/>
      <c r="H4" s="254"/>
      <c r="I4" s="254"/>
      <c r="J4" s="254"/>
      <c r="K4" s="123"/>
      <c r="L4" s="255" t="s">
        <v>658</v>
      </c>
    </row>
    <row r="5" spans="1:12" s="249" customFormat="1" ht="24.95" customHeight="1">
      <c r="A5" s="256"/>
      <c r="B5" s="810" t="s">
        <v>145</v>
      </c>
      <c r="C5" s="257"/>
      <c r="D5" s="812"/>
      <c r="E5" s="810" t="s">
        <v>146</v>
      </c>
      <c r="F5" s="258"/>
      <c r="G5" s="259" t="s">
        <v>147</v>
      </c>
      <c r="H5" s="259"/>
      <c r="I5" s="259"/>
      <c r="J5" s="259"/>
      <c r="K5" s="798" t="s">
        <v>220</v>
      </c>
      <c r="L5" s="808" t="s">
        <v>148</v>
      </c>
    </row>
    <row r="6" spans="1:12" s="249" customFormat="1" ht="24.95" customHeight="1">
      <c r="A6" s="260"/>
      <c r="B6" s="811"/>
      <c r="C6" s="261"/>
      <c r="D6" s="813"/>
      <c r="E6" s="811"/>
      <c r="F6" s="262"/>
      <c r="G6" s="263" t="s">
        <v>149</v>
      </c>
      <c r="H6" s="263" t="s">
        <v>150</v>
      </c>
      <c r="I6" s="263" t="s">
        <v>151</v>
      </c>
      <c r="J6" s="263" t="s">
        <v>152</v>
      </c>
      <c r="K6" s="807"/>
      <c r="L6" s="809"/>
    </row>
    <row r="7" spans="1:12" ht="42" customHeight="1">
      <c r="A7" s="264"/>
      <c r="B7" s="249"/>
      <c r="C7" s="249"/>
      <c r="D7" s="264"/>
      <c r="E7" s="249"/>
      <c r="F7" s="268"/>
      <c r="G7" s="266" t="s">
        <v>153</v>
      </c>
      <c r="H7" s="266" t="s">
        <v>154</v>
      </c>
      <c r="I7" s="266" t="s">
        <v>155</v>
      </c>
      <c r="J7" s="266"/>
      <c r="K7" s="265" t="s">
        <v>156</v>
      </c>
      <c r="L7" s="267"/>
    </row>
    <row r="8" spans="1:12" ht="42" customHeight="1">
      <c r="A8" s="264"/>
      <c r="B8" s="269" t="str">
        <f>일반!B8</f>
        <v>운전원</v>
      </c>
      <c r="C8" s="249"/>
      <c r="D8" s="264"/>
      <c r="E8" s="270" t="str">
        <f>일반!E8</f>
        <v>보통인부</v>
      </c>
      <c r="F8" s="268"/>
      <c r="G8" s="271">
        <f>일반!G8</f>
        <v>2059077</v>
      </c>
      <c r="H8" s="271">
        <f>일반!H8</f>
        <v>275577</v>
      </c>
      <c r="I8" s="271">
        <f>일반!K8</f>
        <v>70039</v>
      </c>
      <c r="J8" s="271">
        <f>SUM(G8:I8)</f>
        <v>2404693</v>
      </c>
      <c r="K8" s="272">
        <v>7</v>
      </c>
      <c r="L8" s="271">
        <f>TRUNC(J8*K8%,0)</f>
        <v>168328</v>
      </c>
    </row>
    <row r="9" spans="1:12" ht="42" customHeight="1">
      <c r="A9" s="264"/>
      <c r="B9" s="269" t="str">
        <f>일반!B9</f>
        <v>사무원</v>
      </c>
      <c r="C9" s="249"/>
      <c r="D9" s="264"/>
      <c r="E9" s="270" t="str">
        <f>일반!E9</f>
        <v>보통인부</v>
      </c>
      <c r="F9" s="268"/>
      <c r="G9" s="271">
        <f>일반!G9</f>
        <v>1873017</v>
      </c>
      <c r="H9" s="271">
        <f>일반!H9</f>
        <v>350775</v>
      </c>
      <c r="I9" s="271">
        <f>일반!K9</f>
        <v>66713</v>
      </c>
      <c r="J9" s="271">
        <f>SUM(G9:I9)</f>
        <v>2290505</v>
      </c>
      <c r="K9" s="273">
        <f>K8</f>
        <v>7</v>
      </c>
      <c r="L9" s="271">
        <f>TRUNC(J9*K9%,0)</f>
        <v>160335</v>
      </c>
    </row>
    <row r="10" spans="1:12" ht="42" customHeight="1">
      <c r="A10" s="260"/>
      <c r="B10" s="274"/>
      <c r="C10" s="275"/>
      <c r="D10" s="260"/>
      <c r="E10" s="275"/>
      <c r="F10" s="276"/>
      <c r="G10" s="277"/>
      <c r="H10" s="277"/>
      <c r="I10" s="277"/>
      <c r="J10" s="277"/>
      <c r="K10" s="261"/>
      <c r="L10" s="278"/>
    </row>
    <row r="11" spans="1:12" ht="24.95" customHeight="1">
      <c r="A11" s="246" t="str">
        <f>"주 1) 인건비 : "&amp;인집!A1&amp;인집!A2&amp;" 참조"</f>
        <v>주 1) 인건비 : &lt; 표 : 3 &gt; 단위당인건비집계표 참조</v>
      </c>
      <c r="B11" s="246"/>
      <c r="K11" s="249"/>
    </row>
    <row r="12" spans="1:12" ht="24.95" customHeight="1">
      <c r="A12" s="247" t="str">
        <f>"   2) 경비 : "&amp;경비집계표!A1&amp;" "&amp;경비집계표!A2&amp;" 참조"</f>
        <v xml:space="preserve">   2) 경비 : &lt; 표 : 11 &gt;  경비집계표 참조</v>
      </c>
      <c r="B12" s="246"/>
      <c r="K12" s="249"/>
    </row>
    <row r="13" spans="1:12" ht="24.95" customHeight="1">
      <c r="A13" s="246" t="str">
        <f>"   3) 일반관리비 : "&amp;일반!A1&amp;일반!A2&amp;" 참조"</f>
        <v xml:space="preserve">   3) 일반관리비 : &lt; 표 : 20 &gt; 일반관리비산출표 참조</v>
      </c>
      <c r="B13" s="246"/>
      <c r="K13" s="249"/>
    </row>
    <row r="14" spans="1:12" ht="24.95" customHeight="1">
      <c r="A14" s="246" t="str">
        <f>"   4) 비율(%) : "&amp;이윤율!A1&amp;이윤율!A2&amp;" 참조"</f>
        <v xml:space="preserve">   4) 비율(%) : &lt; 표 : 23 &gt; 이윤비율표 참조</v>
      </c>
      <c r="B14" s="247"/>
      <c r="K14" s="249"/>
    </row>
    <row r="15" spans="1:12" ht="27" customHeight="1">
      <c r="A15" s="247"/>
      <c r="B15" s="246"/>
      <c r="K15" s="249"/>
    </row>
    <row r="16" spans="1:12" ht="27" customHeight="1">
      <c r="B16" s="246"/>
    </row>
  </sheetData>
  <mergeCells count="5">
    <mergeCell ref="L5:L6"/>
    <mergeCell ref="B5:B6"/>
    <mergeCell ref="D5:D6"/>
    <mergeCell ref="E5:E6"/>
    <mergeCell ref="K5:K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3" orientation="portrait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8"/>
  <dimension ref="A1:G13"/>
  <sheetViews>
    <sheetView showGridLines="0" showZeros="0" view="pageBreakPreview" topLeftCell="A7" zoomScaleNormal="100" workbookViewId="0">
      <selection activeCell="J15" sqref="J15"/>
    </sheetView>
  </sheetViews>
  <sheetFormatPr defaultColWidth="11.42578125" defaultRowHeight="12"/>
  <cols>
    <col min="1" max="1" width="5.7109375" style="223" customWidth="1"/>
    <col min="2" max="2" width="25.7109375" style="223" customWidth="1"/>
    <col min="3" max="3" width="5.7109375" style="223" customWidth="1"/>
    <col min="4" max="5" width="17.7109375" style="223" customWidth="1"/>
    <col min="6" max="6" width="22.7109375" style="223" customWidth="1"/>
    <col min="7" max="16384" width="11.42578125" style="223"/>
  </cols>
  <sheetData>
    <row r="1" spans="1:7" ht="20.100000000000001" customHeight="1">
      <c r="A1" s="222" t="s">
        <v>691</v>
      </c>
    </row>
    <row r="2" spans="1:7" s="227" customFormat="1" ht="39.950000000000003" customHeight="1">
      <c r="A2" s="224" t="s">
        <v>129</v>
      </c>
      <c r="B2" s="225"/>
      <c r="C2" s="225"/>
      <c r="D2" s="225"/>
      <c r="E2" s="225"/>
      <c r="F2" s="225"/>
      <c r="G2" s="226"/>
    </row>
    <row r="3" spans="1:7" s="227" customFormat="1" ht="20.100000000000001" customHeight="1">
      <c r="A3" s="224"/>
      <c r="B3" s="225"/>
      <c r="C3" s="225"/>
      <c r="D3" s="225"/>
      <c r="E3" s="225"/>
      <c r="F3" s="225"/>
    </row>
    <row r="4" spans="1:7" ht="20.100000000000001" customHeight="1"/>
    <row r="5" spans="1:7" ht="50.1" customHeight="1">
      <c r="A5" s="228"/>
      <c r="B5" s="229" t="s">
        <v>130</v>
      </c>
      <c r="C5" s="230"/>
      <c r="D5" s="231" t="s">
        <v>131</v>
      </c>
      <c r="E5" s="231" t="s">
        <v>132</v>
      </c>
      <c r="F5" s="232" t="s">
        <v>133</v>
      </c>
    </row>
    <row r="6" spans="1:7" ht="20.100000000000001" customHeight="1">
      <c r="A6" s="233"/>
      <c r="B6" s="234"/>
      <c r="C6" s="235"/>
      <c r="D6" s="236"/>
      <c r="E6" s="236"/>
      <c r="F6" s="236"/>
    </row>
    <row r="7" spans="1:7" ht="60" customHeight="1">
      <c r="A7" s="237"/>
      <c r="B7" s="238" t="s">
        <v>134</v>
      </c>
      <c r="C7" s="236"/>
      <c r="D7" s="239">
        <v>15</v>
      </c>
      <c r="E7" s="239"/>
      <c r="F7" s="236"/>
    </row>
    <row r="8" spans="1:7" ht="60" customHeight="1">
      <c r="A8" s="237"/>
      <c r="B8" s="238" t="s">
        <v>135</v>
      </c>
      <c r="C8" s="236"/>
      <c r="D8" s="239">
        <v>25</v>
      </c>
      <c r="E8" s="239"/>
      <c r="F8" s="240"/>
    </row>
    <row r="9" spans="1:7" ht="60" customHeight="1">
      <c r="A9" s="237"/>
      <c r="B9" s="238" t="s">
        <v>136</v>
      </c>
      <c r="C9" s="236"/>
      <c r="D9" s="239">
        <v>10</v>
      </c>
      <c r="E9" s="239">
        <v>10</v>
      </c>
      <c r="F9" s="240"/>
    </row>
    <row r="10" spans="1:7" ht="60" customHeight="1">
      <c r="A10" s="237"/>
      <c r="B10" s="238" t="s">
        <v>137</v>
      </c>
      <c r="C10" s="236"/>
      <c r="D10" s="239">
        <v>10</v>
      </c>
      <c r="E10" s="239"/>
      <c r="F10" s="240"/>
    </row>
    <row r="11" spans="1:7" ht="20.100000000000001" customHeight="1">
      <c r="A11" s="241"/>
      <c r="B11" s="242"/>
      <c r="C11" s="243"/>
      <c r="D11" s="244"/>
      <c r="E11" s="244"/>
      <c r="F11" s="244"/>
    </row>
    <row r="12" spans="1:7" ht="24.95" customHeight="1">
      <c r="A12" s="245" t="s">
        <v>897</v>
      </c>
    </row>
    <row r="13" spans="1:7" ht="24.95" customHeight="1">
      <c r="A13" s="223" t="s">
        <v>138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showGridLines="0" showZeros="0" view="pageBreakPreview" zoomScale="55" zoomScaleNormal="60" zoomScaleSheetLayoutView="55" workbookViewId="0">
      <selection activeCell="J15" sqref="J15"/>
    </sheetView>
  </sheetViews>
  <sheetFormatPr defaultColWidth="8.140625" defaultRowHeight="30" customHeight="1"/>
  <cols>
    <col min="1" max="1" width="11.5703125" style="100" customWidth="1"/>
    <col min="2" max="2" width="24.5703125" style="100" customWidth="1"/>
    <col min="3" max="3" width="15.85546875" style="100" bestFit="1" customWidth="1"/>
    <col min="4" max="4" width="42.570312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7"/>
      <c r="C4" s="107"/>
      <c r="D4" s="107"/>
    </row>
    <row r="5" spans="1:4" ht="39.950000000000003" customHeight="1">
      <c r="A5" s="108"/>
      <c r="B5" s="109"/>
      <c r="C5" s="733" t="s">
        <v>952</v>
      </c>
      <c r="D5" s="733"/>
    </row>
    <row r="6" spans="1:4" ht="48" customHeight="1">
      <c r="A6" s="108"/>
      <c r="B6" s="109"/>
      <c r="C6" s="110"/>
      <c r="D6" s="113"/>
    </row>
    <row r="7" spans="1:4" ht="48" customHeight="1">
      <c r="A7" s="108"/>
      <c r="B7" s="109"/>
      <c r="C7" s="114" t="s">
        <v>896</v>
      </c>
      <c r="D7" s="115" t="str">
        <f>기업!A2</f>
        <v>기업경영분석자료</v>
      </c>
    </row>
    <row r="8" spans="1:4" ht="48" customHeight="1">
      <c r="A8" s="108"/>
      <c r="B8" s="109"/>
      <c r="C8" s="114"/>
      <c r="D8" s="115"/>
    </row>
    <row r="9" spans="1:4" ht="48" customHeight="1">
      <c r="A9" s="108"/>
      <c r="B9" s="109"/>
      <c r="C9" s="114"/>
      <c r="D9" s="115"/>
    </row>
    <row r="10" spans="1:4" ht="48" customHeight="1">
      <c r="A10" s="108"/>
      <c r="B10" s="109"/>
      <c r="C10" s="114"/>
      <c r="D10" s="115"/>
    </row>
    <row r="11" spans="1:4" ht="48" customHeight="1">
      <c r="A11" s="108"/>
      <c r="B11" s="109"/>
      <c r="C11" s="114"/>
      <c r="D11" s="115"/>
    </row>
    <row r="12" spans="1:4" ht="48" customHeight="1">
      <c r="A12" s="108"/>
      <c r="B12" s="109"/>
      <c r="C12" s="114"/>
      <c r="D12" s="115"/>
    </row>
    <row r="13" spans="1:4" ht="48" customHeight="1">
      <c r="A13" s="108"/>
      <c r="B13" s="109"/>
      <c r="C13" s="114"/>
      <c r="D13" s="115"/>
    </row>
    <row r="14" spans="1:4" ht="48" customHeight="1">
      <c r="A14" s="108"/>
      <c r="B14" s="109"/>
      <c r="C14" s="114"/>
      <c r="D14" s="115"/>
    </row>
    <row r="15" spans="1:4" ht="48" customHeight="1">
      <c r="A15" s="108"/>
      <c r="B15" s="109"/>
      <c r="C15" s="114"/>
      <c r="D15" s="115"/>
    </row>
    <row r="16" spans="1:4" ht="39.950000000000003" customHeight="1">
      <c r="A16" s="112"/>
      <c r="B16" s="112"/>
      <c r="C16" s="112"/>
      <c r="D16" s="112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44" orientation="portrait" useFirstPageNumber="1" r:id="rId1"/>
  <headerFooter alignWithMargins="0">
    <oddFooter>&amp;C- &amp;P -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/>
  <dimension ref="A1:M54"/>
  <sheetViews>
    <sheetView showGridLines="0" showZeros="0" view="pageBreakPreview" zoomScaleNormal="100" workbookViewId="0">
      <selection activeCell="J15" sqref="J15"/>
    </sheetView>
  </sheetViews>
  <sheetFormatPr defaultRowHeight="17.25" customHeight="1"/>
  <cols>
    <col min="1" max="1" width="3.140625" style="157" customWidth="1"/>
    <col min="2" max="2" width="10.5703125" style="157" customWidth="1"/>
    <col min="3" max="3" width="1.85546875" style="157" customWidth="1"/>
    <col min="4" max="4" width="27.5703125" style="157" customWidth="1"/>
    <col min="5" max="5" width="1.85546875" style="157" customWidth="1"/>
    <col min="6" max="6" width="16.5703125" style="157" customWidth="1"/>
    <col min="7" max="7" width="14.85546875" style="157" customWidth="1"/>
    <col min="8" max="8" width="18.7109375" style="157" customWidth="1"/>
    <col min="9" max="9" width="9.140625" style="157"/>
    <col min="10" max="10" width="14.42578125" style="157" bestFit="1" customWidth="1"/>
    <col min="11" max="16384" width="9.140625" style="157"/>
  </cols>
  <sheetData>
    <row r="1" spans="1:13" ht="17.25" customHeight="1">
      <c r="A1" s="156" t="s">
        <v>867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163" customFormat="1" ht="38.25" customHeight="1">
      <c r="A2" s="158" t="s">
        <v>692</v>
      </c>
      <c r="B2" s="159"/>
      <c r="C2" s="160"/>
      <c r="D2" s="160"/>
      <c r="E2" s="160"/>
      <c r="F2" s="161"/>
      <c r="G2" s="161"/>
      <c r="H2" s="162"/>
    </row>
    <row r="3" spans="1:13" ht="7.5" customHeight="1"/>
    <row r="4" spans="1:13" s="165" customFormat="1" ht="17.25" customHeight="1">
      <c r="A4" s="164" t="s">
        <v>693</v>
      </c>
      <c r="C4" s="166"/>
      <c r="D4" s="167"/>
      <c r="F4" s="168"/>
      <c r="G4" s="169"/>
      <c r="H4" s="170" t="s">
        <v>694</v>
      </c>
    </row>
    <row r="5" spans="1:13" s="179" customFormat="1" ht="21.75" customHeight="1">
      <c r="A5" s="171" t="s">
        <v>139</v>
      </c>
      <c r="B5" s="172"/>
      <c r="C5" s="173"/>
      <c r="D5" s="174" t="s">
        <v>695</v>
      </c>
      <c r="E5" s="175"/>
      <c r="F5" s="176" t="s">
        <v>140</v>
      </c>
      <c r="G5" s="177" t="s">
        <v>696</v>
      </c>
      <c r="H5" s="178" t="s">
        <v>120</v>
      </c>
    </row>
    <row r="6" spans="1:13" s="187" customFormat="1" ht="12" customHeight="1">
      <c r="A6" s="180"/>
      <c r="B6" s="181">
        <v>21</v>
      </c>
      <c r="C6" s="180"/>
      <c r="D6" s="182" t="s">
        <v>697</v>
      </c>
      <c r="E6" s="183"/>
      <c r="F6" s="184">
        <v>19353405</v>
      </c>
      <c r="G6" s="185">
        <f>SUM(F6/$F$6%)</f>
        <v>100</v>
      </c>
      <c r="H6" s="186"/>
    </row>
    <row r="7" spans="1:13" s="187" customFormat="1" ht="12" customHeight="1">
      <c r="A7" s="180"/>
      <c r="B7" s="181">
        <v>22</v>
      </c>
      <c r="C7" s="180"/>
      <c r="D7" s="182" t="s">
        <v>698</v>
      </c>
      <c r="E7" s="183"/>
      <c r="F7" s="184">
        <v>5197245</v>
      </c>
      <c r="G7" s="185">
        <f t="shared" ref="G7:G52" si="0">SUM(F7/$F$6%)</f>
        <v>26.854421741290487</v>
      </c>
      <c r="H7" s="186"/>
    </row>
    <row r="8" spans="1:13" s="187" customFormat="1" ht="12" customHeight="1">
      <c r="A8" s="180"/>
      <c r="B8" s="181">
        <v>23</v>
      </c>
      <c r="C8" s="180"/>
      <c r="D8" s="182" t="s">
        <v>699</v>
      </c>
      <c r="E8" s="183"/>
      <c r="F8" s="184">
        <v>14156160</v>
      </c>
      <c r="G8" s="185">
        <f t="shared" si="0"/>
        <v>73.14557825870952</v>
      </c>
      <c r="H8" s="186"/>
    </row>
    <row r="9" spans="1:13" s="187" customFormat="1" ht="12" customHeight="1">
      <c r="A9" s="180"/>
      <c r="B9" s="181">
        <v>241</v>
      </c>
      <c r="C9" s="180"/>
      <c r="D9" s="182" t="s">
        <v>700</v>
      </c>
      <c r="E9" s="183"/>
      <c r="F9" s="184">
        <v>13228114</v>
      </c>
      <c r="G9" s="185">
        <f t="shared" si="0"/>
        <v>68.350318716525592</v>
      </c>
      <c r="H9" s="186"/>
    </row>
    <row r="10" spans="1:13" s="187" customFormat="1" ht="12" customHeight="1">
      <c r="A10" s="188"/>
      <c r="B10" s="189">
        <v>24101</v>
      </c>
      <c r="C10" s="188"/>
      <c r="D10" s="190" t="s">
        <v>701</v>
      </c>
      <c r="E10" s="191"/>
      <c r="F10" s="192">
        <v>7700965</v>
      </c>
      <c r="G10" s="193">
        <f t="shared" si="0"/>
        <v>39.791266704747827</v>
      </c>
      <c r="H10" s="194"/>
    </row>
    <row r="11" spans="1:13" s="187" customFormat="1" ht="12" customHeight="1">
      <c r="A11" s="195"/>
      <c r="B11" s="196">
        <v>24102</v>
      </c>
      <c r="C11" s="195"/>
      <c r="D11" s="197" t="s">
        <v>702</v>
      </c>
      <c r="E11" s="198"/>
      <c r="F11" s="199">
        <v>377061</v>
      </c>
      <c r="G11" s="200">
        <f t="shared" si="0"/>
        <v>1.9482928197906262</v>
      </c>
      <c r="H11" s="201"/>
    </row>
    <row r="12" spans="1:13" s="187" customFormat="1" ht="12" customHeight="1">
      <c r="A12" s="195"/>
      <c r="B12" s="196">
        <v>24103</v>
      </c>
      <c r="C12" s="195"/>
      <c r="D12" s="197" t="s">
        <v>703</v>
      </c>
      <c r="E12" s="198"/>
      <c r="F12" s="199">
        <v>584675</v>
      </c>
      <c r="G12" s="200">
        <f t="shared" si="0"/>
        <v>3.0210446172133536</v>
      </c>
      <c r="H12" s="201"/>
    </row>
    <row r="13" spans="1:13" s="187" customFormat="1" ht="12" customHeight="1">
      <c r="A13" s="195"/>
      <c r="B13" s="196">
        <v>24104</v>
      </c>
      <c r="C13" s="195"/>
      <c r="D13" s="197" t="s">
        <v>704</v>
      </c>
      <c r="E13" s="198"/>
      <c r="F13" s="199">
        <v>79470</v>
      </c>
      <c r="G13" s="200">
        <f t="shared" si="0"/>
        <v>0.41062541707777006</v>
      </c>
      <c r="H13" s="201"/>
    </row>
    <row r="14" spans="1:13" s="187" customFormat="1" ht="12" customHeight="1">
      <c r="A14" s="195"/>
      <c r="B14" s="196">
        <v>24105</v>
      </c>
      <c r="C14" s="195"/>
      <c r="D14" s="197" t="s">
        <v>705</v>
      </c>
      <c r="E14" s="198"/>
      <c r="F14" s="199">
        <v>192594</v>
      </c>
      <c r="G14" s="200">
        <f t="shared" si="0"/>
        <v>0.99514271519662822</v>
      </c>
      <c r="H14" s="201"/>
    </row>
    <row r="15" spans="1:13" s="187" customFormat="1" ht="12" customHeight="1">
      <c r="A15" s="195"/>
      <c r="B15" s="196">
        <v>24106</v>
      </c>
      <c r="C15" s="195"/>
      <c r="D15" s="197" t="s">
        <v>706</v>
      </c>
      <c r="E15" s="198"/>
      <c r="F15" s="199">
        <v>214640</v>
      </c>
      <c r="G15" s="200">
        <f t="shared" si="0"/>
        <v>1.1090554866185047</v>
      </c>
      <c r="H15" s="201"/>
    </row>
    <row r="16" spans="1:13" s="187" customFormat="1" ht="12" customHeight="1">
      <c r="A16" s="195"/>
      <c r="B16" s="196">
        <v>24107</v>
      </c>
      <c r="C16" s="195"/>
      <c r="D16" s="197" t="s">
        <v>707</v>
      </c>
      <c r="E16" s="198"/>
      <c r="F16" s="199">
        <v>127177</v>
      </c>
      <c r="G16" s="200">
        <f t="shared" si="0"/>
        <v>0.6571298435598284</v>
      </c>
      <c r="H16" s="201"/>
    </row>
    <row r="17" spans="1:8" s="187" customFormat="1" ht="12" customHeight="1">
      <c r="A17" s="195"/>
      <c r="B17" s="196">
        <v>24108</v>
      </c>
      <c r="C17" s="195"/>
      <c r="D17" s="197" t="s">
        <v>708</v>
      </c>
      <c r="E17" s="198"/>
      <c r="F17" s="202">
        <v>134225</v>
      </c>
      <c r="G17" s="200">
        <f t="shared" si="0"/>
        <v>0.69354720784275437</v>
      </c>
      <c r="H17" s="203" t="s">
        <v>709</v>
      </c>
    </row>
    <row r="18" spans="1:8" s="187" customFormat="1" ht="12" customHeight="1">
      <c r="A18" s="195"/>
      <c r="B18" s="196">
        <v>24109</v>
      </c>
      <c r="C18" s="195"/>
      <c r="D18" s="197" t="s">
        <v>710</v>
      </c>
      <c r="E18" s="198"/>
      <c r="F18" s="202">
        <v>161745</v>
      </c>
      <c r="G18" s="200">
        <f t="shared" si="0"/>
        <v>0.83574440776700543</v>
      </c>
      <c r="H18" s="203" t="s">
        <v>141</v>
      </c>
    </row>
    <row r="19" spans="1:8" s="187" customFormat="1" ht="12" customHeight="1">
      <c r="A19" s="195"/>
      <c r="B19" s="196">
        <v>24110</v>
      </c>
      <c r="C19" s="195"/>
      <c r="D19" s="197" t="s">
        <v>711</v>
      </c>
      <c r="E19" s="198"/>
      <c r="F19" s="202">
        <v>1167</v>
      </c>
      <c r="G19" s="200">
        <f t="shared" si="0"/>
        <v>6.0299466682994544E-3</v>
      </c>
      <c r="H19" s="203"/>
    </row>
    <row r="20" spans="1:8" s="187" customFormat="1" ht="12" customHeight="1">
      <c r="A20" s="195"/>
      <c r="B20" s="196">
        <v>24111</v>
      </c>
      <c r="C20" s="195"/>
      <c r="D20" s="197" t="s">
        <v>712</v>
      </c>
      <c r="E20" s="198"/>
      <c r="F20" s="202">
        <v>173143</v>
      </c>
      <c r="G20" s="200">
        <f t="shared" si="0"/>
        <v>0.89463843700888812</v>
      </c>
      <c r="H20" s="203"/>
    </row>
    <row r="21" spans="1:8" s="187" customFormat="1" ht="12" customHeight="1">
      <c r="A21" s="195"/>
      <c r="B21" s="196">
        <v>24112</v>
      </c>
      <c r="C21" s="195"/>
      <c r="D21" s="197" t="s">
        <v>713</v>
      </c>
      <c r="E21" s="198"/>
      <c r="F21" s="202">
        <v>72006</v>
      </c>
      <c r="G21" s="200">
        <f t="shared" si="0"/>
        <v>0.37205856023784967</v>
      </c>
      <c r="H21" s="203" t="s">
        <v>709</v>
      </c>
    </row>
    <row r="22" spans="1:8" s="187" customFormat="1" ht="12" customHeight="1">
      <c r="A22" s="195"/>
      <c r="B22" s="196">
        <v>24113</v>
      </c>
      <c r="C22" s="195"/>
      <c r="D22" s="197" t="s">
        <v>714</v>
      </c>
      <c r="E22" s="198"/>
      <c r="F22" s="202">
        <v>58681</v>
      </c>
      <c r="G22" s="200">
        <f t="shared" si="0"/>
        <v>0.30320762677161978</v>
      </c>
      <c r="H22" s="203" t="s">
        <v>715</v>
      </c>
    </row>
    <row r="23" spans="1:8" s="187" customFormat="1" ht="12" customHeight="1">
      <c r="A23" s="195"/>
      <c r="B23" s="196">
        <v>24114</v>
      </c>
      <c r="C23" s="195"/>
      <c r="D23" s="197" t="s">
        <v>716</v>
      </c>
      <c r="E23" s="198"/>
      <c r="F23" s="202">
        <v>17916</v>
      </c>
      <c r="G23" s="200">
        <f t="shared" si="0"/>
        <v>9.2572857334407052E-2</v>
      </c>
      <c r="H23" s="203" t="s">
        <v>715</v>
      </c>
    </row>
    <row r="24" spans="1:8" s="187" customFormat="1" ht="12" customHeight="1">
      <c r="A24" s="195"/>
      <c r="B24" s="196">
        <v>241141</v>
      </c>
      <c r="C24" s="195"/>
      <c r="D24" s="197" t="s">
        <v>717</v>
      </c>
      <c r="E24" s="198"/>
      <c r="F24" s="202">
        <v>186</v>
      </c>
      <c r="G24" s="200">
        <f t="shared" si="0"/>
        <v>9.6107119134849919E-4</v>
      </c>
      <c r="H24" s="203"/>
    </row>
    <row r="25" spans="1:8" s="187" customFormat="1" ht="12" customHeight="1">
      <c r="A25" s="195"/>
      <c r="B25" s="196">
        <v>24115</v>
      </c>
      <c r="C25" s="195"/>
      <c r="D25" s="197" t="s">
        <v>718</v>
      </c>
      <c r="E25" s="198"/>
      <c r="F25" s="202">
        <v>1038601</v>
      </c>
      <c r="G25" s="200">
        <f t="shared" si="0"/>
        <v>5.366502690353455</v>
      </c>
      <c r="H25" s="203"/>
    </row>
    <row r="26" spans="1:8" s="187" customFormat="1" ht="12" customHeight="1">
      <c r="A26" s="204"/>
      <c r="B26" s="205">
        <v>24116</v>
      </c>
      <c r="C26" s="204"/>
      <c r="D26" s="206" t="s">
        <v>719</v>
      </c>
      <c r="E26" s="207"/>
      <c r="F26" s="208">
        <v>2294050</v>
      </c>
      <c r="G26" s="209">
        <f t="shared" si="0"/>
        <v>11.853469712435617</v>
      </c>
      <c r="H26" s="203" t="s">
        <v>709</v>
      </c>
    </row>
    <row r="27" spans="1:8" s="187" customFormat="1" ht="12" customHeight="1">
      <c r="A27" s="180"/>
      <c r="B27" s="181">
        <v>24</v>
      </c>
      <c r="C27" s="180"/>
      <c r="D27" s="182" t="s">
        <v>720</v>
      </c>
      <c r="E27" s="183"/>
      <c r="F27" s="210">
        <v>928047</v>
      </c>
      <c r="G27" s="185">
        <f t="shared" si="0"/>
        <v>4.7952647092333365</v>
      </c>
      <c r="H27" s="186"/>
    </row>
    <row r="28" spans="1:8" s="187" customFormat="1" ht="12" customHeight="1">
      <c r="A28" s="180"/>
      <c r="B28" s="181">
        <v>251</v>
      </c>
      <c r="C28" s="180"/>
      <c r="D28" s="182" t="s">
        <v>721</v>
      </c>
      <c r="E28" s="183"/>
      <c r="F28" s="210">
        <v>664103</v>
      </c>
      <c r="G28" s="185">
        <f t="shared" si="0"/>
        <v>3.4314530182156577</v>
      </c>
      <c r="H28" s="186"/>
    </row>
    <row r="29" spans="1:8" s="187" customFormat="1" ht="12" customHeight="1">
      <c r="A29" s="188"/>
      <c r="B29" s="189">
        <v>25101</v>
      </c>
      <c r="C29" s="188"/>
      <c r="D29" s="190" t="s">
        <v>722</v>
      </c>
      <c r="E29" s="191"/>
      <c r="F29" s="211">
        <v>157891</v>
      </c>
      <c r="G29" s="193">
        <f t="shared" si="0"/>
        <v>0.81583059931831126</v>
      </c>
      <c r="H29" s="194"/>
    </row>
    <row r="30" spans="1:8" s="187" customFormat="1" ht="12" customHeight="1">
      <c r="A30" s="195"/>
      <c r="B30" s="196">
        <v>25102</v>
      </c>
      <c r="C30" s="195"/>
      <c r="D30" s="197" t="s">
        <v>723</v>
      </c>
      <c r="E30" s="198"/>
      <c r="F30" s="202">
        <v>1406</v>
      </c>
      <c r="G30" s="200">
        <f t="shared" si="0"/>
        <v>7.2648714786881178E-3</v>
      </c>
      <c r="H30" s="201"/>
    </row>
    <row r="31" spans="1:8" s="187" customFormat="1" ht="12" customHeight="1">
      <c r="A31" s="195"/>
      <c r="B31" s="196">
        <v>25103</v>
      </c>
      <c r="C31" s="195"/>
      <c r="D31" s="197" t="s">
        <v>724</v>
      </c>
      <c r="E31" s="198"/>
      <c r="F31" s="199">
        <v>16075</v>
      </c>
      <c r="G31" s="200">
        <f t="shared" si="0"/>
        <v>8.3060319359823248E-2</v>
      </c>
      <c r="H31" s="201"/>
    </row>
    <row r="32" spans="1:8" s="187" customFormat="1" ht="12" customHeight="1">
      <c r="A32" s="195"/>
      <c r="B32" s="196">
        <v>25104</v>
      </c>
      <c r="C32" s="195"/>
      <c r="D32" s="197" t="s">
        <v>725</v>
      </c>
      <c r="E32" s="198"/>
      <c r="F32" s="199">
        <v>179656</v>
      </c>
      <c r="G32" s="200">
        <f t="shared" si="0"/>
        <v>0.92829142985433322</v>
      </c>
      <c r="H32" s="201"/>
    </row>
    <row r="33" spans="1:8" s="187" customFormat="1" ht="12" customHeight="1">
      <c r="A33" s="195"/>
      <c r="B33" s="196">
        <v>25105</v>
      </c>
      <c r="C33" s="195"/>
      <c r="D33" s="197" t="s">
        <v>726</v>
      </c>
      <c r="E33" s="198"/>
      <c r="F33" s="199">
        <v>0</v>
      </c>
      <c r="G33" s="200">
        <f t="shared" si="0"/>
        <v>0</v>
      </c>
      <c r="H33" s="201"/>
    </row>
    <row r="34" spans="1:8" s="187" customFormat="1" ht="12" customHeight="1">
      <c r="A34" s="195"/>
      <c r="B34" s="196">
        <v>25106</v>
      </c>
      <c r="C34" s="195"/>
      <c r="D34" s="197" t="s">
        <v>727</v>
      </c>
      <c r="E34" s="198"/>
      <c r="F34" s="199">
        <v>0</v>
      </c>
      <c r="G34" s="200">
        <f t="shared" si="0"/>
        <v>0</v>
      </c>
      <c r="H34" s="201"/>
    </row>
    <row r="35" spans="1:8" s="212" customFormat="1" ht="12" customHeight="1">
      <c r="A35" s="195"/>
      <c r="B35" s="196">
        <v>25107</v>
      </c>
      <c r="C35" s="195"/>
      <c r="D35" s="197" t="s">
        <v>728</v>
      </c>
      <c r="E35" s="198"/>
      <c r="F35" s="199">
        <v>68425</v>
      </c>
      <c r="G35" s="200">
        <f t="shared" si="0"/>
        <v>0.3535553562796831</v>
      </c>
      <c r="H35" s="201"/>
    </row>
    <row r="36" spans="1:8" s="212" customFormat="1" ht="12" customHeight="1">
      <c r="A36" s="195"/>
      <c r="B36" s="196">
        <v>25108</v>
      </c>
      <c r="C36" s="195"/>
      <c r="D36" s="197" t="s">
        <v>729</v>
      </c>
      <c r="E36" s="198"/>
      <c r="F36" s="199">
        <v>15347</v>
      </c>
      <c r="G36" s="200">
        <f t="shared" si="0"/>
        <v>7.9298707385082892E-2</v>
      </c>
      <c r="H36" s="201"/>
    </row>
    <row r="37" spans="1:8" s="212" customFormat="1" ht="12" customHeight="1">
      <c r="A37" s="204"/>
      <c r="B37" s="196">
        <v>25109</v>
      </c>
      <c r="C37" s="204"/>
      <c r="D37" s="206" t="s">
        <v>730</v>
      </c>
      <c r="E37" s="207"/>
      <c r="F37" s="199">
        <v>225304</v>
      </c>
      <c r="G37" s="209">
        <f t="shared" si="0"/>
        <v>1.164156901589152</v>
      </c>
      <c r="H37" s="213"/>
    </row>
    <row r="38" spans="1:8" s="187" customFormat="1" ht="12" customHeight="1">
      <c r="A38" s="180"/>
      <c r="B38" s="181">
        <v>252</v>
      </c>
      <c r="C38" s="180"/>
      <c r="D38" s="182" t="s">
        <v>731</v>
      </c>
      <c r="E38" s="183"/>
      <c r="F38" s="184">
        <v>648011</v>
      </c>
      <c r="G38" s="185">
        <f t="shared" si="0"/>
        <v>3.3483048590157649</v>
      </c>
      <c r="H38" s="186"/>
    </row>
    <row r="39" spans="1:8" s="187" customFormat="1" ht="12" customHeight="1">
      <c r="A39" s="188"/>
      <c r="B39" s="189">
        <v>25201</v>
      </c>
      <c r="C39" s="188"/>
      <c r="D39" s="190" t="s">
        <v>732</v>
      </c>
      <c r="E39" s="191"/>
      <c r="F39" s="192">
        <v>143759</v>
      </c>
      <c r="G39" s="193">
        <f t="shared" si="0"/>
        <v>0.74280985697348867</v>
      </c>
      <c r="H39" s="194"/>
    </row>
    <row r="40" spans="1:8" s="187" customFormat="1" ht="12" customHeight="1">
      <c r="A40" s="195"/>
      <c r="B40" s="196">
        <v>25202</v>
      </c>
      <c r="C40" s="195"/>
      <c r="D40" s="197" t="s">
        <v>733</v>
      </c>
      <c r="E40" s="198"/>
      <c r="F40" s="199">
        <v>194289</v>
      </c>
      <c r="G40" s="200">
        <f t="shared" si="0"/>
        <v>1.0039008639564977</v>
      </c>
      <c r="H40" s="201"/>
    </row>
    <row r="41" spans="1:8" s="187" customFormat="1" ht="12" customHeight="1">
      <c r="A41" s="195"/>
      <c r="B41" s="196">
        <v>25203</v>
      </c>
      <c r="C41" s="195"/>
      <c r="D41" s="197" t="s">
        <v>734</v>
      </c>
      <c r="E41" s="198"/>
      <c r="F41" s="199">
        <v>1275</v>
      </c>
      <c r="G41" s="200">
        <f t="shared" si="0"/>
        <v>6.5879880052114861E-3</v>
      </c>
      <c r="H41" s="201"/>
    </row>
    <row r="42" spans="1:8" s="187" customFormat="1" ht="12" customHeight="1">
      <c r="A42" s="195"/>
      <c r="B42" s="196">
        <v>25204</v>
      </c>
      <c r="C42" s="195"/>
      <c r="D42" s="197" t="s">
        <v>735</v>
      </c>
      <c r="E42" s="198"/>
      <c r="F42" s="199">
        <v>0</v>
      </c>
      <c r="G42" s="200">
        <f t="shared" si="0"/>
        <v>0</v>
      </c>
      <c r="H42" s="201"/>
    </row>
    <row r="43" spans="1:8" s="187" customFormat="1" ht="12" customHeight="1">
      <c r="A43" s="195"/>
      <c r="B43" s="196">
        <v>25205</v>
      </c>
      <c r="C43" s="195"/>
      <c r="D43" s="197" t="s">
        <v>736</v>
      </c>
      <c r="E43" s="198"/>
      <c r="F43" s="199">
        <v>0</v>
      </c>
      <c r="G43" s="200">
        <f t="shared" si="0"/>
        <v>0</v>
      </c>
      <c r="H43" s="201"/>
    </row>
    <row r="44" spans="1:8" s="212" customFormat="1" ht="12" customHeight="1">
      <c r="A44" s="195"/>
      <c r="B44" s="196">
        <v>25206</v>
      </c>
      <c r="C44" s="195"/>
      <c r="D44" s="197" t="s">
        <v>737</v>
      </c>
      <c r="E44" s="198"/>
      <c r="F44" s="199">
        <v>13974</v>
      </c>
      <c r="G44" s="200">
        <f t="shared" si="0"/>
        <v>7.2204348537117893E-2</v>
      </c>
      <c r="H44" s="201"/>
    </row>
    <row r="45" spans="1:8" s="212" customFormat="1" ht="12" customHeight="1">
      <c r="A45" s="195"/>
      <c r="B45" s="196">
        <v>25207</v>
      </c>
      <c r="C45" s="195"/>
      <c r="D45" s="197" t="s">
        <v>738</v>
      </c>
      <c r="E45" s="198"/>
      <c r="F45" s="199">
        <v>80120</v>
      </c>
      <c r="G45" s="200">
        <f t="shared" si="0"/>
        <v>0.41398399919807394</v>
      </c>
      <c r="H45" s="201"/>
    </row>
    <row r="46" spans="1:8" s="212" customFormat="1" ht="12" customHeight="1">
      <c r="A46" s="195"/>
      <c r="B46" s="196">
        <v>25208</v>
      </c>
      <c r="C46" s="195"/>
      <c r="D46" s="197" t="s">
        <v>739</v>
      </c>
      <c r="E46" s="198"/>
      <c r="F46" s="199">
        <v>0</v>
      </c>
      <c r="G46" s="200">
        <f t="shared" si="0"/>
        <v>0</v>
      </c>
      <c r="H46" s="201"/>
    </row>
    <row r="47" spans="1:8" s="187" customFormat="1" ht="12" customHeight="1">
      <c r="A47" s="204"/>
      <c r="B47" s="196">
        <v>25209</v>
      </c>
      <c r="C47" s="204"/>
      <c r="D47" s="206" t="s">
        <v>740</v>
      </c>
      <c r="E47" s="207"/>
      <c r="F47" s="214">
        <v>214594</v>
      </c>
      <c r="G47" s="209">
        <f t="shared" si="0"/>
        <v>1.1088178023453754</v>
      </c>
      <c r="H47" s="213"/>
    </row>
    <row r="48" spans="1:8" s="187" customFormat="1" ht="12" customHeight="1">
      <c r="A48" s="180"/>
      <c r="B48" s="181">
        <v>25</v>
      </c>
      <c r="C48" s="180"/>
      <c r="D48" s="182" t="s">
        <v>741</v>
      </c>
      <c r="E48" s="183"/>
      <c r="F48" s="215">
        <v>944139</v>
      </c>
      <c r="G48" s="185">
        <f t="shared" si="0"/>
        <v>4.8784128684332293</v>
      </c>
      <c r="H48" s="186"/>
    </row>
    <row r="49" spans="1:8" s="187" customFormat="1" ht="12" customHeight="1">
      <c r="A49" s="180"/>
      <c r="B49" s="181">
        <v>261</v>
      </c>
      <c r="C49" s="180"/>
      <c r="D49" s="182" t="s">
        <v>742</v>
      </c>
      <c r="E49" s="183"/>
      <c r="F49" s="184">
        <v>170947</v>
      </c>
      <c r="G49" s="185">
        <f t="shared" si="0"/>
        <v>0.88329159649167688</v>
      </c>
      <c r="H49" s="186"/>
    </row>
    <row r="50" spans="1:8" s="187" customFormat="1" ht="12" customHeight="1">
      <c r="A50" s="180"/>
      <c r="B50" s="181">
        <v>26</v>
      </c>
      <c r="C50" s="180"/>
      <c r="D50" s="182" t="s">
        <v>743</v>
      </c>
      <c r="E50" s="183"/>
      <c r="F50" s="215">
        <v>773192</v>
      </c>
      <c r="G50" s="185">
        <f t="shared" si="0"/>
        <v>3.9951212719415525</v>
      </c>
      <c r="H50" s="186"/>
    </row>
    <row r="51" spans="1:8" s="187" customFormat="1" ht="12" customHeight="1">
      <c r="A51" s="180"/>
      <c r="B51" s="181">
        <v>27</v>
      </c>
      <c r="C51" s="180"/>
      <c r="D51" s="182" t="s">
        <v>744</v>
      </c>
      <c r="E51" s="183"/>
      <c r="F51" s="215">
        <v>0</v>
      </c>
      <c r="G51" s="185">
        <f t="shared" si="0"/>
        <v>0</v>
      </c>
      <c r="H51" s="186"/>
    </row>
    <row r="52" spans="1:8" s="187" customFormat="1" ht="12" customHeight="1">
      <c r="A52" s="180"/>
      <c r="B52" s="181">
        <v>28</v>
      </c>
      <c r="C52" s="180"/>
      <c r="D52" s="182" t="s">
        <v>745</v>
      </c>
      <c r="E52" s="183"/>
      <c r="F52" s="215">
        <v>773192</v>
      </c>
      <c r="G52" s="185">
        <f t="shared" si="0"/>
        <v>3.9951212719415525</v>
      </c>
      <c r="H52" s="186"/>
    </row>
    <row r="53" spans="1:8" s="179" customFormat="1" ht="12.2" customHeight="1">
      <c r="A53" s="216" t="s">
        <v>864</v>
      </c>
      <c r="C53" s="217"/>
      <c r="D53" s="218"/>
      <c r="E53" s="219"/>
      <c r="F53" s="220"/>
      <c r="G53" s="221"/>
      <c r="H53" s="219"/>
    </row>
    <row r="54" spans="1:8" s="179" customFormat="1" ht="12.2" customHeight="1">
      <c r="A54" s="216" t="s">
        <v>746</v>
      </c>
      <c r="C54" s="217"/>
      <c r="D54" s="218"/>
      <c r="E54" s="219"/>
      <c r="F54" s="220"/>
      <c r="G54" s="221"/>
      <c r="H54" s="219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96" orientation="portrait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D22"/>
  <sheetViews>
    <sheetView showGridLines="0" showZeros="0" view="pageBreakPreview" zoomScale="55" zoomScaleNormal="100" zoomScaleSheetLayoutView="55" workbookViewId="0">
      <selection activeCell="AA3" sqref="AA3"/>
    </sheetView>
  </sheetViews>
  <sheetFormatPr defaultColWidth="8.140625" defaultRowHeight="30" customHeight="1"/>
  <cols>
    <col min="1" max="1" width="11.5703125" style="100" customWidth="1"/>
    <col min="2" max="2" width="24.42578125" style="100" customWidth="1"/>
    <col min="3" max="3" width="9.85546875" style="100" customWidth="1"/>
    <col min="4" max="4" width="48.710937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4"/>
      <c r="C4" s="104"/>
      <c r="D4" s="104"/>
    </row>
    <row r="5" spans="1:4" s="106" customFormat="1" ht="30" customHeight="1">
      <c r="A5" s="104"/>
      <c r="B5" s="104"/>
      <c r="C5" s="104"/>
      <c r="D5" s="104"/>
    </row>
    <row r="6" spans="1:4" ht="30" customHeight="1">
      <c r="A6" s="104"/>
      <c r="B6" s="104"/>
      <c r="C6" s="104"/>
      <c r="D6" s="104"/>
    </row>
    <row r="7" spans="1:4" ht="30" customHeight="1">
      <c r="A7" s="104"/>
      <c r="B7" s="107"/>
      <c r="C7" s="107"/>
      <c r="D7" s="107"/>
    </row>
    <row r="8" spans="1:4" ht="39.950000000000003" customHeight="1">
      <c r="A8" s="108"/>
      <c r="B8" s="109"/>
      <c r="C8" s="733" t="s">
        <v>873</v>
      </c>
      <c r="D8" s="733"/>
    </row>
    <row r="9" spans="1:4" ht="30" customHeight="1">
      <c r="A9" s="108"/>
      <c r="B9" s="109"/>
      <c r="C9" s="110"/>
      <c r="D9" s="111"/>
    </row>
    <row r="10" spans="1:4" ht="30" customHeight="1">
      <c r="A10" s="108"/>
      <c r="B10" s="109"/>
      <c r="C10" s="110"/>
      <c r="D10" s="111"/>
    </row>
    <row r="11" spans="1:4" ht="30" customHeight="1">
      <c r="A11" s="108"/>
      <c r="B11" s="109"/>
      <c r="C11" s="110"/>
      <c r="D11" s="111"/>
    </row>
    <row r="12" spans="1:4" ht="30" customHeight="1">
      <c r="A12" s="108"/>
      <c r="B12" s="109"/>
      <c r="C12" s="110"/>
      <c r="D12" s="111"/>
    </row>
    <row r="13" spans="1:4" ht="30" customHeight="1">
      <c r="A13" s="108"/>
      <c r="B13" s="109"/>
      <c r="C13" s="110"/>
      <c r="D13" s="111"/>
    </row>
    <row r="14" spans="1:4" ht="30" customHeight="1">
      <c r="A14" s="108"/>
      <c r="B14" s="109"/>
      <c r="C14" s="110"/>
      <c r="D14" s="111"/>
    </row>
    <row r="15" spans="1:4" ht="30" customHeight="1">
      <c r="A15" s="108"/>
      <c r="B15" s="109"/>
      <c r="C15" s="110"/>
      <c r="D15" s="111"/>
    </row>
    <row r="16" spans="1:4" ht="30" customHeight="1">
      <c r="A16" s="108"/>
      <c r="B16" s="109"/>
      <c r="C16" s="110"/>
      <c r="D16" s="111"/>
    </row>
    <row r="17" spans="1:4" ht="30" customHeight="1">
      <c r="A17" s="108"/>
      <c r="B17" s="109"/>
      <c r="C17" s="110"/>
      <c r="D17" s="111"/>
    </row>
    <row r="18" spans="1:4" ht="30" customHeight="1">
      <c r="A18" s="108"/>
      <c r="B18" s="109"/>
      <c r="C18" s="110"/>
      <c r="D18" s="111"/>
    </row>
    <row r="19" spans="1:4" ht="30" customHeight="1">
      <c r="A19" s="108"/>
      <c r="B19" s="109"/>
      <c r="C19" s="110"/>
      <c r="D19" s="111"/>
    </row>
    <row r="20" spans="1:4" ht="30" customHeight="1">
      <c r="A20" s="108"/>
      <c r="B20" s="109"/>
      <c r="C20" s="110"/>
      <c r="D20" s="111"/>
    </row>
    <row r="21" spans="1:4" ht="30" customHeight="1">
      <c r="A21" s="108"/>
      <c r="B21" s="109"/>
      <c r="C21" s="110"/>
      <c r="D21" s="111"/>
    </row>
    <row r="22" spans="1:4" ht="39.950000000000003" customHeight="1">
      <c r="A22" s="112"/>
      <c r="B22" s="112"/>
      <c r="C22" s="112"/>
      <c r="D22" s="112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3" orientation="portrait" useFirstPageNumber="1" r:id="rId1"/>
  <headerFooter alignWithMargins="0">
    <oddFooter>&amp;C&amp;"바탕체,보통"&amp;10-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/>
  <dimension ref="A1:H26"/>
  <sheetViews>
    <sheetView showGridLines="0" showZeros="0" view="pageBreakPreview" zoomScaleNormal="100" workbookViewId="0">
      <selection activeCell="E15" sqref="E15"/>
    </sheetView>
  </sheetViews>
  <sheetFormatPr defaultRowHeight="12"/>
  <cols>
    <col min="1" max="2" width="5.7109375" style="44" customWidth="1"/>
    <col min="3" max="3" width="0.85546875" style="44" customWidth="1"/>
    <col min="4" max="4" width="26.7109375" style="45" customWidth="1"/>
    <col min="5" max="5" width="20.7109375" style="44" customWidth="1"/>
    <col min="6" max="6" width="6.7109375" style="45" customWidth="1"/>
    <col min="7" max="7" width="0.85546875" style="44" customWidth="1"/>
    <col min="8" max="8" width="28.140625" style="45" customWidth="1"/>
    <col min="9" max="16384" width="9.140625" style="44"/>
  </cols>
  <sheetData>
    <row r="1" spans="1:8" ht="20.100000000000001" customHeight="1">
      <c r="A1" s="44" t="s">
        <v>752</v>
      </c>
    </row>
    <row r="2" spans="1:8" ht="39.950000000000003" customHeight="1">
      <c r="A2" s="57" t="s">
        <v>645</v>
      </c>
      <c r="B2" s="55"/>
      <c r="C2" s="55"/>
      <c r="D2" s="56"/>
      <c r="E2" s="55"/>
      <c r="F2" s="56"/>
      <c r="G2" s="55"/>
      <c r="H2" s="56"/>
    </row>
    <row r="3" spans="1:8" ht="20.100000000000001" customHeight="1"/>
    <row r="4" spans="1:8" ht="20.100000000000001" customHeight="1">
      <c r="H4" s="75" t="s">
        <v>658</v>
      </c>
    </row>
    <row r="5" spans="1:8" ht="39.950000000000003" customHeight="1">
      <c r="A5" s="46" t="s">
        <v>290</v>
      </c>
      <c r="B5" s="47"/>
      <c r="C5" s="47" t="s">
        <v>291</v>
      </c>
      <c r="D5" s="48"/>
      <c r="E5" s="47" t="s">
        <v>293</v>
      </c>
      <c r="F5" s="73"/>
      <c r="G5" s="47" t="s">
        <v>565</v>
      </c>
      <c r="H5" s="48"/>
    </row>
    <row r="6" spans="1:8" ht="24.95" customHeight="1">
      <c r="A6" s="50">
        <v>1</v>
      </c>
      <c r="B6" s="51"/>
      <c r="C6" s="52"/>
      <c r="D6" s="53" t="s">
        <v>640</v>
      </c>
      <c r="E6" s="58"/>
      <c r="F6" s="74"/>
      <c r="G6" s="58"/>
      <c r="H6" s="59"/>
    </row>
    <row r="7" spans="1:8" ht="24.95" customHeight="1">
      <c r="A7" s="50"/>
      <c r="B7" s="51" t="s">
        <v>328</v>
      </c>
      <c r="C7" s="52"/>
      <c r="D7" s="60" t="str">
        <f>소모품!D7</f>
        <v>청소용품</v>
      </c>
      <c r="E7" s="58">
        <f>소모품!H49</f>
        <v>2165122</v>
      </c>
      <c r="F7" s="74"/>
      <c r="G7" s="58"/>
      <c r="H7" s="59"/>
    </row>
    <row r="8" spans="1:8" ht="24.95" customHeight="1">
      <c r="A8" s="50"/>
      <c r="B8" s="51" t="s">
        <v>566</v>
      </c>
      <c r="C8" s="52"/>
      <c r="D8" s="60" t="str">
        <f>소모품!D50</f>
        <v>설비용품</v>
      </c>
      <c r="E8" s="58">
        <f>소모품!H72</f>
        <v>949100</v>
      </c>
      <c r="F8" s="74"/>
      <c r="G8" s="58"/>
      <c r="H8" s="59"/>
    </row>
    <row r="9" spans="1:8" ht="24.95" customHeight="1">
      <c r="A9" s="50"/>
      <c r="B9" s="51" t="s">
        <v>567</v>
      </c>
      <c r="C9" s="52"/>
      <c r="D9" s="60" t="str">
        <f>소모품!D73</f>
        <v>사무용품</v>
      </c>
      <c r="E9" s="58">
        <f>소모품!H118</f>
        <v>15601</v>
      </c>
      <c r="F9" s="74"/>
      <c r="G9" s="58"/>
      <c r="H9" s="59"/>
    </row>
    <row r="10" spans="1:8" ht="24.95" customHeight="1">
      <c r="A10" s="50"/>
      <c r="B10" s="51" t="s">
        <v>568</v>
      </c>
      <c r="C10" s="52"/>
      <c r="D10" s="60" t="str">
        <f>소모품!D119</f>
        <v>인쇄물</v>
      </c>
      <c r="E10" s="58">
        <f>소모품!H149</f>
        <v>80636</v>
      </c>
      <c r="F10" s="74"/>
      <c r="G10" s="58"/>
      <c r="H10" s="59"/>
    </row>
    <row r="11" spans="1:8" ht="24.95" customHeight="1">
      <c r="A11" s="50"/>
      <c r="B11" s="51" t="s">
        <v>569</v>
      </c>
      <c r="C11" s="52"/>
      <c r="D11" s="60" t="str">
        <f>소모품!D150</f>
        <v>각종 도장 및 직인현판</v>
      </c>
      <c r="E11" s="58">
        <f>소모품!H162</f>
        <v>1557</v>
      </c>
      <c r="F11" s="74"/>
      <c r="G11" s="58"/>
      <c r="H11" s="59"/>
    </row>
    <row r="12" spans="1:8" ht="24.95" customHeight="1">
      <c r="A12" s="50"/>
      <c r="B12" s="51"/>
      <c r="C12" s="52"/>
      <c r="D12" s="60"/>
      <c r="E12" s="58"/>
      <c r="F12" s="74"/>
      <c r="G12" s="58"/>
      <c r="H12" s="59"/>
    </row>
    <row r="13" spans="1:8" ht="24.95" customHeight="1">
      <c r="A13" s="50"/>
      <c r="B13" s="51"/>
      <c r="C13" s="52"/>
      <c r="D13" s="60"/>
      <c r="E13" s="58"/>
      <c r="F13" s="74"/>
      <c r="G13" s="58"/>
      <c r="H13" s="59"/>
    </row>
    <row r="14" spans="1:8" ht="24.95" customHeight="1">
      <c r="A14" s="50"/>
      <c r="B14" s="51"/>
      <c r="C14" s="47" t="s">
        <v>2</v>
      </c>
      <c r="D14" s="62"/>
      <c r="E14" s="58">
        <f>SUM(E7:E13)</f>
        <v>3212016</v>
      </c>
      <c r="F14" s="74"/>
      <c r="G14" s="58"/>
      <c r="H14" s="59"/>
    </row>
    <row r="15" spans="1:8" ht="24.95" customHeight="1">
      <c r="A15" s="50">
        <v>2</v>
      </c>
      <c r="B15" s="51"/>
      <c r="C15" s="52"/>
      <c r="D15" s="60" t="s">
        <v>641</v>
      </c>
      <c r="E15" s="58"/>
      <c r="F15" s="74"/>
      <c r="G15" s="58"/>
      <c r="H15" s="59"/>
    </row>
    <row r="16" spans="1:8" ht="24.95" customHeight="1">
      <c r="A16" s="50"/>
      <c r="B16" s="51" t="s">
        <v>328</v>
      </c>
      <c r="C16" s="52"/>
      <c r="D16" s="60" t="str">
        <f>감가상각!D7</f>
        <v>집기 비품</v>
      </c>
      <c r="E16" s="58">
        <f>감가상각!H25</f>
        <v>54808</v>
      </c>
      <c r="F16" s="74"/>
      <c r="G16" s="58"/>
      <c r="H16" s="59"/>
    </row>
    <row r="17" spans="1:8" ht="24.95" customHeight="1">
      <c r="A17" s="50"/>
      <c r="B17" s="51" t="s">
        <v>329</v>
      </c>
      <c r="C17" s="52"/>
      <c r="D17" s="60" t="str">
        <f>감가상각!D30</f>
        <v>공기구 비품</v>
      </c>
      <c r="E17" s="58">
        <f>감가상각!H95</f>
        <v>59753</v>
      </c>
      <c r="F17" s="74"/>
      <c r="G17" s="58"/>
      <c r="H17" s="59"/>
    </row>
    <row r="18" spans="1:8" ht="24.95" customHeight="1">
      <c r="A18" s="50"/>
      <c r="B18" s="51" t="s">
        <v>330</v>
      </c>
      <c r="C18" s="52"/>
      <c r="D18" s="60" t="str">
        <f>감가상각!D96</f>
        <v>경비 장비</v>
      </c>
      <c r="E18" s="58">
        <f>감가상각!H117</f>
        <v>126521</v>
      </c>
      <c r="F18" s="74"/>
      <c r="G18" s="58"/>
      <c r="H18" s="59"/>
    </row>
    <row r="19" spans="1:8" ht="24.95" customHeight="1">
      <c r="A19" s="50"/>
      <c r="B19" s="51" t="s">
        <v>331</v>
      </c>
      <c r="C19" s="52"/>
      <c r="D19" s="60" t="str">
        <f>감가상각!D118</f>
        <v>청소 장비</v>
      </c>
      <c r="E19" s="58">
        <f>감가상각!H139</f>
        <v>193052</v>
      </c>
      <c r="F19" s="74"/>
      <c r="G19" s="58"/>
      <c r="H19" s="59"/>
    </row>
    <row r="20" spans="1:8" ht="24.95" customHeight="1">
      <c r="A20" s="50"/>
      <c r="B20" s="51"/>
      <c r="C20" s="52"/>
      <c r="D20" s="60"/>
      <c r="E20" s="58"/>
      <c r="F20" s="74"/>
      <c r="G20" s="58"/>
      <c r="H20" s="59"/>
    </row>
    <row r="21" spans="1:8" ht="24.95" customHeight="1">
      <c r="A21" s="50"/>
      <c r="B21" s="51"/>
      <c r="C21" s="52"/>
      <c r="D21" s="60"/>
      <c r="E21" s="58"/>
      <c r="F21" s="74"/>
      <c r="G21" s="58"/>
      <c r="H21" s="59"/>
    </row>
    <row r="22" spans="1:8" ht="24.95" customHeight="1">
      <c r="A22" s="50"/>
      <c r="B22" s="51"/>
      <c r="C22" s="47" t="s">
        <v>2</v>
      </c>
      <c r="D22" s="62"/>
      <c r="E22" s="58">
        <f>SUM(E16:E21)</f>
        <v>434134</v>
      </c>
      <c r="F22" s="74"/>
      <c r="G22" s="58"/>
      <c r="H22" s="59"/>
    </row>
    <row r="23" spans="1:8" ht="24.95" customHeight="1">
      <c r="A23" s="50"/>
      <c r="B23" s="51"/>
      <c r="C23" s="47" t="s">
        <v>184</v>
      </c>
      <c r="D23" s="62"/>
      <c r="E23" s="58">
        <f>SUM(E14,E22)</f>
        <v>3646150</v>
      </c>
      <c r="F23" s="74"/>
      <c r="G23" s="58"/>
      <c r="H23" s="59"/>
    </row>
    <row r="24" spans="1:8" ht="24.95" customHeight="1">
      <c r="A24" s="50">
        <v>3</v>
      </c>
      <c r="B24" s="51"/>
      <c r="C24" s="47" t="s">
        <v>642</v>
      </c>
      <c r="D24" s="62"/>
      <c r="E24" s="58">
        <f>TRUNC(E23*5%)</f>
        <v>182307</v>
      </c>
      <c r="F24" s="74"/>
      <c r="G24" s="58"/>
      <c r="H24" s="59"/>
    </row>
    <row r="25" spans="1:8" ht="24.95" customHeight="1">
      <c r="A25" s="50">
        <v>4</v>
      </c>
      <c r="B25" s="51"/>
      <c r="C25" s="47" t="s">
        <v>643</v>
      </c>
      <c r="D25" s="62"/>
      <c r="E25" s="58">
        <f>TRUNC(SUM(E23,E24)*10%)</f>
        <v>382845</v>
      </c>
      <c r="F25" s="74"/>
      <c r="G25" s="58"/>
      <c r="H25" s="59"/>
    </row>
    <row r="26" spans="1:8" ht="24.95" customHeight="1">
      <c r="A26" s="50">
        <v>5</v>
      </c>
      <c r="B26" s="51"/>
      <c r="C26" s="47" t="s">
        <v>644</v>
      </c>
      <c r="D26" s="62"/>
      <c r="E26" s="58">
        <f>SUM(E23:E25)</f>
        <v>4211302</v>
      </c>
      <c r="F26" s="74"/>
      <c r="G26" s="58"/>
      <c r="H26" s="59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/>
  <dimension ref="A1:K162"/>
  <sheetViews>
    <sheetView showGridLines="0" showZeros="0" view="pageBreakPreview" zoomScaleNormal="100" workbookViewId="0">
      <selection activeCell="S18" sqref="S18"/>
    </sheetView>
  </sheetViews>
  <sheetFormatPr defaultRowHeight="12"/>
  <cols>
    <col min="1" max="2" width="4.7109375" style="44" customWidth="1"/>
    <col min="3" max="3" width="0.85546875" style="44" customWidth="1"/>
    <col min="4" max="4" width="21.7109375" style="45" customWidth="1"/>
    <col min="5" max="5" width="9.7109375" style="44" customWidth="1"/>
    <col min="6" max="6" width="11.7109375" style="44" customWidth="1"/>
    <col min="7" max="7" width="10.7109375" style="44" customWidth="1"/>
    <col min="8" max="8" width="13.7109375" style="44" customWidth="1"/>
    <col min="9" max="9" width="0.85546875" style="44" customWidth="1"/>
    <col min="10" max="10" width="16.7109375" style="45" customWidth="1"/>
    <col min="11" max="16384" width="9.140625" style="44"/>
  </cols>
  <sheetData>
    <row r="1" spans="1:11" ht="20.100000000000001" customHeight="1">
      <c r="A1" s="44" t="s">
        <v>750</v>
      </c>
    </row>
    <row r="2" spans="1:11" ht="39.950000000000003" customHeight="1">
      <c r="A2" s="57" t="s">
        <v>634</v>
      </c>
      <c r="B2" s="55"/>
      <c r="C2" s="55"/>
      <c r="D2" s="56"/>
      <c r="E2" s="55"/>
      <c r="F2" s="55"/>
      <c r="G2" s="55"/>
      <c r="H2" s="55"/>
      <c r="I2" s="55"/>
      <c r="J2" s="56"/>
    </row>
    <row r="3" spans="1:11" ht="20.100000000000001" customHeight="1"/>
    <row r="4" spans="1:11" ht="20.100000000000001" customHeight="1">
      <c r="J4" s="75" t="s">
        <v>658</v>
      </c>
    </row>
    <row r="5" spans="1:11" ht="39.950000000000003" customHeight="1">
      <c r="A5" s="46" t="s">
        <v>290</v>
      </c>
      <c r="B5" s="47"/>
      <c r="C5" s="47" t="s">
        <v>291</v>
      </c>
      <c r="D5" s="48"/>
      <c r="E5" s="46" t="s">
        <v>292</v>
      </c>
      <c r="F5" s="46" t="s">
        <v>294</v>
      </c>
      <c r="G5" s="49" t="s">
        <v>638</v>
      </c>
      <c r="H5" s="46" t="s">
        <v>293</v>
      </c>
      <c r="I5" s="47" t="s">
        <v>563</v>
      </c>
      <c r="J5" s="48"/>
    </row>
    <row r="6" spans="1:11" ht="24.95" customHeight="1">
      <c r="A6" s="46"/>
      <c r="B6" s="47"/>
      <c r="C6" s="47"/>
      <c r="D6" s="48"/>
      <c r="E6" s="50" t="s">
        <v>260</v>
      </c>
      <c r="F6" s="50" t="s">
        <v>1</v>
      </c>
      <c r="G6" s="63" t="s">
        <v>230</v>
      </c>
      <c r="H6" s="50" t="s">
        <v>633</v>
      </c>
      <c r="I6" s="51"/>
      <c r="J6" s="64"/>
    </row>
    <row r="7" spans="1:11" ht="24.95" customHeight="1">
      <c r="A7" s="50">
        <v>1</v>
      </c>
      <c r="B7" s="51"/>
      <c r="C7" s="52"/>
      <c r="D7" s="53" t="s">
        <v>646</v>
      </c>
      <c r="E7" s="54"/>
      <c r="F7" s="54"/>
      <c r="G7" s="61"/>
      <c r="H7" s="54"/>
      <c r="I7" s="58"/>
      <c r="J7" s="59"/>
    </row>
    <row r="8" spans="1:11" ht="24.95" customHeight="1">
      <c r="A8" s="50"/>
      <c r="B8" s="51" t="s">
        <v>328</v>
      </c>
      <c r="C8" s="52"/>
      <c r="D8" s="60" t="s">
        <v>295</v>
      </c>
      <c r="E8" s="54">
        <v>100</v>
      </c>
      <c r="F8" s="54">
        <v>200</v>
      </c>
      <c r="G8" s="61" t="str">
        <f t="shared" ref="G8:G23" si="0">""&amp;K8&amp;"개월"</f>
        <v>3개월</v>
      </c>
      <c r="H8" s="54">
        <f>TRUNC(E8*F8/K8)</f>
        <v>6666</v>
      </c>
      <c r="I8" s="58"/>
      <c r="J8" s="59"/>
      <c r="K8" s="44">
        <v>3</v>
      </c>
    </row>
    <row r="9" spans="1:11" ht="24.95" customHeight="1">
      <c r="A9" s="50"/>
      <c r="B9" s="51" t="s">
        <v>518</v>
      </c>
      <c r="C9" s="52"/>
      <c r="D9" s="60" t="s">
        <v>296</v>
      </c>
      <c r="E9" s="54">
        <v>4</v>
      </c>
      <c r="F9" s="54">
        <v>10000</v>
      </c>
      <c r="G9" s="61" t="str">
        <f t="shared" si="0"/>
        <v>1개월</v>
      </c>
      <c r="H9" s="54">
        <f t="shared" ref="H9:H46" si="1">TRUNC(E9*F9/K9)</f>
        <v>40000</v>
      </c>
      <c r="I9" s="58"/>
      <c r="J9" s="59"/>
      <c r="K9" s="44">
        <v>1</v>
      </c>
    </row>
    <row r="10" spans="1:11" ht="24.95" customHeight="1">
      <c r="A10" s="50"/>
      <c r="B10" s="51" t="s">
        <v>519</v>
      </c>
      <c r="C10" s="52"/>
      <c r="D10" s="60" t="s">
        <v>297</v>
      </c>
      <c r="E10" s="54">
        <v>2</v>
      </c>
      <c r="F10" s="54">
        <v>10000</v>
      </c>
      <c r="G10" s="61" t="str">
        <f t="shared" si="0"/>
        <v>1개월</v>
      </c>
      <c r="H10" s="54">
        <f t="shared" si="1"/>
        <v>20000</v>
      </c>
      <c r="I10" s="58"/>
      <c r="J10" s="59"/>
      <c r="K10" s="44">
        <v>1</v>
      </c>
    </row>
    <row r="11" spans="1:11" ht="24.95" customHeight="1">
      <c r="A11" s="50"/>
      <c r="B11" s="51" t="s">
        <v>520</v>
      </c>
      <c r="C11" s="52"/>
      <c r="D11" s="60" t="s">
        <v>298</v>
      </c>
      <c r="E11" s="54">
        <v>1500</v>
      </c>
      <c r="F11" s="54">
        <v>590</v>
      </c>
      <c r="G11" s="61" t="str">
        <f t="shared" si="0"/>
        <v>1개월</v>
      </c>
      <c r="H11" s="54">
        <f t="shared" si="1"/>
        <v>885000</v>
      </c>
      <c r="I11" s="58"/>
      <c r="J11" s="59"/>
      <c r="K11" s="44">
        <v>1</v>
      </c>
    </row>
    <row r="12" spans="1:11" ht="24.95" customHeight="1">
      <c r="A12" s="50"/>
      <c r="B12" s="51" t="s">
        <v>521</v>
      </c>
      <c r="C12" s="52"/>
      <c r="D12" s="60" t="s">
        <v>561</v>
      </c>
      <c r="E12" s="54">
        <v>300</v>
      </c>
      <c r="F12" s="54">
        <v>730</v>
      </c>
      <c r="G12" s="61" t="str">
        <f t="shared" si="0"/>
        <v>1개월</v>
      </c>
      <c r="H12" s="54">
        <f t="shared" si="1"/>
        <v>219000</v>
      </c>
      <c r="I12" s="58"/>
      <c r="J12" s="59"/>
      <c r="K12" s="44">
        <v>1</v>
      </c>
    </row>
    <row r="13" spans="1:11" ht="24.95" customHeight="1">
      <c r="A13" s="50"/>
      <c r="B13" s="51" t="s">
        <v>522</v>
      </c>
      <c r="C13" s="52"/>
      <c r="D13" s="60" t="s">
        <v>562</v>
      </c>
      <c r="E13" s="54">
        <v>150</v>
      </c>
      <c r="F13" s="54">
        <v>1450</v>
      </c>
      <c r="G13" s="61" t="str">
        <f t="shared" si="0"/>
        <v>1개월</v>
      </c>
      <c r="H13" s="54">
        <f t="shared" si="1"/>
        <v>217500</v>
      </c>
      <c r="I13" s="58"/>
      <c r="J13" s="59"/>
      <c r="K13" s="44">
        <v>1</v>
      </c>
    </row>
    <row r="14" spans="1:11" ht="24.95" customHeight="1">
      <c r="A14" s="50"/>
      <c r="B14" s="51" t="s">
        <v>523</v>
      </c>
      <c r="C14" s="52"/>
      <c r="D14" s="60" t="s">
        <v>299</v>
      </c>
      <c r="E14" s="54">
        <v>24</v>
      </c>
      <c r="F14" s="54">
        <v>633</v>
      </c>
      <c r="G14" s="61" t="str">
        <f t="shared" si="0"/>
        <v>1개월</v>
      </c>
      <c r="H14" s="54">
        <f t="shared" si="1"/>
        <v>15192</v>
      </c>
      <c r="I14" s="58"/>
      <c r="J14" s="59"/>
      <c r="K14" s="44">
        <v>1</v>
      </c>
    </row>
    <row r="15" spans="1:11" ht="24.95" customHeight="1">
      <c r="A15" s="50"/>
      <c r="B15" s="51" t="s">
        <v>524</v>
      </c>
      <c r="C15" s="52"/>
      <c r="D15" s="60" t="s">
        <v>300</v>
      </c>
      <c r="E15" s="54">
        <v>24</v>
      </c>
      <c r="F15" s="54">
        <v>886</v>
      </c>
      <c r="G15" s="61" t="str">
        <f t="shared" si="0"/>
        <v>1개월</v>
      </c>
      <c r="H15" s="54">
        <f t="shared" si="1"/>
        <v>21264</v>
      </c>
      <c r="I15" s="58"/>
      <c r="J15" s="59"/>
      <c r="K15" s="44">
        <v>1</v>
      </c>
    </row>
    <row r="16" spans="1:11" ht="24.95" customHeight="1">
      <c r="A16" s="50"/>
      <c r="B16" s="51" t="s">
        <v>525</v>
      </c>
      <c r="C16" s="52"/>
      <c r="D16" s="60" t="s">
        <v>301</v>
      </c>
      <c r="E16" s="54">
        <v>10</v>
      </c>
      <c r="F16" s="54">
        <v>1200</v>
      </c>
      <c r="G16" s="61" t="str">
        <f t="shared" si="0"/>
        <v>1개월</v>
      </c>
      <c r="H16" s="54">
        <f t="shared" si="1"/>
        <v>12000</v>
      </c>
      <c r="I16" s="58"/>
      <c r="J16" s="59"/>
      <c r="K16" s="44">
        <v>1</v>
      </c>
    </row>
    <row r="17" spans="1:11" ht="24.95" customHeight="1">
      <c r="A17" s="50"/>
      <c r="B17" s="51" t="s">
        <v>526</v>
      </c>
      <c r="C17" s="52"/>
      <c r="D17" s="60" t="s">
        <v>302</v>
      </c>
      <c r="E17" s="54">
        <v>10</v>
      </c>
      <c r="F17" s="54">
        <v>2400</v>
      </c>
      <c r="G17" s="61" t="str">
        <f t="shared" si="0"/>
        <v>1개월</v>
      </c>
      <c r="H17" s="54">
        <f t="shared" si="1"/>
        <v>24000</v>
      </c>
      <c r="I17" s="58"/>
      <c r="J17" s="59"/>
      <c r="K17" s="44">
        <v>1</v>
      </c>
    </row>
    <row r="18" spans="1:11" ht="24.95" customHeight="1">
      <c r="A18" s="50"/>
      <c r="B18" s="51" t="s">
        <v>527</v>
      </c>
      <c r="C18" s="52"/>
      <c r="D18" s="60" t="s">
        <v>303</v>
      </c>
      <c r="E18" s="54">
        <v>10</v>
      </c>
      <c r="F18" s="54">
        <v>4400</v>
      </c>
      <c r="G18" s="61" t="str">
        <f t="shared" si="0"/>
        <v>1개월</v>
      </c>
      <c r="H18" s="54">
        <f t="shared" si="1"/>
        <v>44000</v>
      </c>
      <c r="I18" s="58"/>
      <c r="J18" s="59"/>
      <c r="K18" s="44">
        <v>1</v>
      </c>
    </row>
    <row r="19" spans="1:11" ht="24.95" customHeight="1">
      <c r="A19" s="50"/>
      <c r="B19" s="51" t="s">
        <v>528</v>
      </c>
      <c r="C19" s="52"/>
      <c r="D19" s="60" t="s">
        <v>304</v>
      </c>
      <c r="E19" s="54">
        <v>10</v>
      </c>
      <c r="F19" s="54">
        <v>1400</v>
      </c>
      <c r="G19" s="61" t="str">
        <f t="shared" si="0"/>
        <v>1개월</v>
      </c>
      <c r="H19" s="54">
        <f t="shared" si="1"/>
        <v>14000</v>
      </c>
      <c r="I19" s="58"/>
      <c r="J19" s="59"/>
      <c r="K19" s="44">
        <v>1</v>
      </c>
    </row>
    <row r="20" spans="1:11" ht="24.95" customHeight="1">
      <c r="A20" s="50"/>
      <c r="B20" s="51" t="s">
        <v>529</v>
      </c>
      <c r="C20" s="52"/>
      <c r="D20" s="60" t="s">
        <v>305</v>
      </c>
      <c r="E20" s="54">
        <v>60</v>
      </c>
      <c r="F20" s="54">
        <v>205</v>
      </c>
      <c r="G20" s="61" t="str">
        <f t="shared" si="0"/>
        <v>1개월</v>
      </c>
      <c r="H20" s="54">
        <f t="shared" si="1"/>
        <v>12300</v>
      </c>
      <c r="I20" s="58"/>
      <c r="J20" s="59"/>
      <c r="K20" s="44">
        <v>1</v>
      </c>
    </row>
    <row r="21" spans="1:11" ht="24.95" customHeight="1">
      <c r="A21" s="50"/>
      <c r="B21" s="51" t="s">
        <v>530</v>
      </c>
      <c r="C21" s="52"/>
      <c r="D21" s="60" t="s">
        <v>306</v>
      </c>
      <c r="E21" s="54">
        <v>5</v>
      </c>
      <c r="F21" s="54">
        <v>1000</v>
      </c>
      <c r="G21" s="61" t="str">
        <f t="shared" si="0"/>
        <v>1개월</v>
      </c>
      <c r="H21" s="54">
        <f t="shared" si="1"/>
        <v>5000</v>
      </c>
      <c r="I21" s="58"/>
      <c r="J21" s="59"/>
      <c r="K21" s="44">
        <v>1</v>
      </c>
    </row>
    <row r="22" spans="1:11" ht="24.95" customHeight="1">
      <c r="A22" s="50"/>
      <c r="B22" s="51" t="s">
        <v>531</v>
      </c>
      <c r="C22" s="52"/>
      <c r="D22" s="60" t="s">
        <v>307</v>
      </c>
      <c r="E22" s="54">
        <v>10</v>
      </c>
      <c r="F22" s="54">
        <v>29000</v>
      </c>
      <c r="G22" s="61" t="str">
        <f t="shared" si="0"/>
        <v>1개월</v>
      </c>
      <c r="H22" s="54">
        <f t="shared" si="1"/>
        <v>290000</v>
      </c>
      <c r="I22" s="58"/>
      <c r="J22" s="59"/>
      <c r="K22" s="44">
        <v>1</v>
      </c>
    </row>
    <row r="23" spans="1:11" ht="24.95" customHeight="1">
      <c r="A23" s="50"/>
      <c r="B23" s="51" t="s">
        <v>532</v>
      </c>
      <c r="C23" s="52"/>
      <c r="D23" s="60" t="s">
        <v>308</v>
      </c>
      <c r="E23" s="54">
        <v>10</v>
      </c>
      <c r="F23" s="54">
        <v>1000</v>
      </c>
      <c r="G23" s="61" t="str">
        <f t="shared" si="0"/>
        <v>1개월</v>
      </c>
      <c r="H23" s="54">
        <f t="shared" si="1"/>
        <v>10000</v>
      </c>
      <c r="I23" s="58"/>
      <c r="J23" s="59"/>
      <c r="K23" s="44">
        <v>1</v>
      </c>
    </row>
    <row r="24" spans="1:11" s="70" customFormat="1" ht="24.95" customHeight="1">
      <c r="A24" s="70" t="s">
        <v>635</v>
      </c>
      <c r="D24" s="66"/>
      <c r="E24" s="71"/>
      <c r="F24" s="71"/>
      <c r="G24" s="72"/>
      <c r="H24" s="71"/>
      <c r="I24" s="71"/>
    </row>
    <row r="25" spans="1:11" s="70" customFormat="1" ht="24.95" customHeight="1">
      <c r="A25" s="70" t="s">
        <v>636</v>
      </c>
      <c r="D25" s="66"/>
      <c r="E25" s="71"/>
      <c r="F25" s="71"/>
      <c r="G25" s="72"/>
      <c r="H25" s="71"/>
      <c r="I25" s="71"/>
    </row>
    <row r="26" spans="1:11" s="70" customFormat="1" ht="24.95" customHeight="1">
      <c r="A26" s="70" t="s">
        <v>637</v>
      </c>
      <c r="D26" s="66"/>
      <c r="E26" s="71"/>
      <c r="F26" s="71"/>
      <c r="G26" s="72"/>
      <c r="H26" s="71"/>
      <c r="I26" s="71"/>
    </row>
    <row r="27" spans="1:11" s="70" customFormat="1" ht="24.95" customHeight="1">
      <c r="A27" s="70" t="s">
        <v>639</v>
      </c>
      <c r="D27" s="66"/>
      <c r="E27" s="71"/>
      <c r="F27" s="71"/>
      <c r="G27" s="72"/>
      <c r="H27" s="71"/>
      <c r="I27" s="71"/>
    </row>
    <row r="28" spans="1:11" ht="24.95" customHeight="1">
      <c r="A28" s="50"/>
      <c r="B28" s="51" t="s">
        <v>533</v>
      </c>
      <c r="C28" s="52"/>
      <c r="D28" s="60" t="s">
        <v>309</v>
      </c>
      <c r="E28" s="54">
        <v>10</v>
      </c>
      <c r="F28" s="54">
        <v>200</v>
      </c>
      <c r="G28" s="61" t="str">
        <f t="shared" ref="G28:G46" si="2">""&amp;K28&amp;"개월"</f>
        <v>12개월</v>
      </c>
      <c r="H28" s="54">
        <f t="shared" si="1"/>
        <v>166</v>
      </c>
      <c r="I28" s="58"/>
      <c r="J28" s="59"/>
      <c r="K28" s="44">
        <v>12</v>
      </c>
    </row>
    <row r="29" spans="1:11" ht="24.95" customHeight="1">
      <c r="A29" s="50"/>
      <c r="B29" s="51" t="s">
        <v>534</v>
      </c>
      <c r="C29" s="52"/>
      <c r="D29" s="60" t="s">
        <v>310</v>
      </c>
      <c r="E29" s="54">
        <v>5</v>
      </c>
      <c r="F29" s="54">
        <v>900</v>
      </c>
      <c r="G29" s="61" t="str">
        <f t="shared" si="2"/>
        <v>1개월</v>
      </c>
      <c r="H29" s="54">
        <f t="shared" si="1"/>
        <v>4500</v>
      </c>
      <c r="I29" s="58"/>
      <c r="J29" s="59"/>
      <c r="K29" s="44">
        <v>1</v>
      </c>
    </row>
    <row r="30" spans="1:11" ht="24.95" customHeight="1">
      <c r="A30" s="50"/>
      <c r="B30" s="51" t="s">
        <v>535</v>
      </c>
      <c r="C30" s="52"/>
      <c r="D30" s="60" t="s">
        <v>311</v>
      </c>
      <c r="E30" s="54">
        <v>20</v>
      </c>
      <c r="F30" s="54">
        <v>900</v>
      </c>
      <c r="G30" s="61" t="str">
        <f t="shared" si="2"/>
        <v>1개월</v>
      </c>
      <c r="H30" s="54">
        <f t="shared" si="1"/>
        <v>18000</v>
      </c>
      <c r="I30" s="58"/>
      <c r="J30" s="59"/>
      <c r="K30" s="44">
        <v>1</v>
      </c>
    </row>
    <row r="31" spans="1:11" ht="24.95" customHeight="1">
      <c r="A31" s="50"/>
      <c r="B31" s="51" t="s">
        <v>536</v>
      </c>
      <c r="C31" s="52"/>
      <c r="D31" s="60" t="s">
        <v>312</v>
      </c>
      <c r="E31" s="54">
        <v>20</v>
      </c>
      <c r="F31" s="54">
        <v>1800</v>
      </c>
      <c r="G31" s="61" t="str">
        <f t="shared" si="2"/>
        <v>1개월</v>
      </c>
      <c r="H31" s="54">
        <f t="shared" si="1"/>
        <v>36000</v>
      </c>
      <c r="I31" s="58"/>
      <c r="J31" s="59"/>
      <c r="K31" s="44">
        <v>1</v>
      </c>
    </row>
    <row r="32" spans="1:11" ht="24.95" customHeight="1">
      <c r="A32" s="50"/>
      <c r="B32" s="51" t="s">
        <v>537</v>
      </c>
      <c r="C32" s="52"/>
      <c r="D32" s="60" t="s">
        <v>313</v>
      </c>
      <c r="E32" s="54">
        <v>5</v>
      </c>
      <c r="F32" s="54">
        <v>2333</v>
      </c>
      <c r="G32" s="61" t="str">
        <f t="shared" si="2"/>
        <v>1개월</v>
      </c>
      <c r="H32" s="54">
        <f t="shared" si="1"/>
        <v>11665</v>
      </c>
      <c r="I32" s="58"/>
      <c r="J32" s="59"/>
      <c r="K32" s="44">
        <v>1</v>
      </c>
    </row>
    <row r="33" spans="1:11" ht="24.95" customHeight="1">
      <c r="A33" s="50"/>
      <c r="B33" s="51" t="s">
        <v>538</v>
      </c>
      <c r="C33" s="52"/>
      <c r="D33" s="60" t="s">
        <v>314</v>
      </c>
      <c r="E33" s="54">
        <v>40</v>
      </c>
      <c r="F33" s="54">
        <v>200</v>
      </c>
      <c r="G33" s="61" t="str">
        <f t="shared" si="2"/>
        <v>1개월</v>
      </c>
      <c r="H33" s="54">
        <f t="shared" si="1"/>
        <v>8000</v>
      </c>
      <c r="I33" s="58"/>
      <c r="J33" s="59"/>
      <c r="K33" s="44">
        <v>1</v>
      </c>
    </row>
    <row r="34" spans="1:11" ht="24.95" customHeight="1">
      <c r="A34" s="50"/>
      <c r="B34" s="51" t="s">
        <v>539</v>
      </c>
      <c r="C34" s="52"/>
      <c r="D34" s="60" t="s">
        <v>315</v>
      </c>
      <c r="E34" s="54">
        <v>24</v>
      </c>
      <c r="F34" s="54">
        <v>860</v>
      </c>
      <c r="G34" s="61" t="str">
        <f t="shared" si="2"/>
        <v>1개월</v>
      </c>
      <c r="H34" s="54">
        <f t="shared" si="1"/>
        <v>20640</v>
      </c>
      <c r="I34" s="58"/>
      <c r="J34" s="59"/>
      <c r="K34" s="44">
        <v>1</v>
      </c>
    </row>
    <row r="35" spans="1:11" ht="24.95" customHeight="1">
      <c r="A35" s="50"/>
      <c r="B35" s="51" t="s">
        <v>540</v>
      </c>
      <c r="C35" s="52"/>
      <c r="D35" s="60" t="s">
        <v>316</v>
      </c>
      <c r="E35" s="54">
        <v>24</v>
      </c>
      <c r="F35" s="54">
        <v>1620</v>
      </c>
      <c r="G35" s="61" t="str">
        <f t="shared" si="2"/>
        <v>1개월</v>
      </c>
      <c r="H35" s="54">
        <f t="shared" si="1"/>
        <v>38880</v>
      </c>
      <c r="I35" s="58"/>
      <c r="J35" s="59"/>
      <c r="K35" s="44">
        <v>1</v>
      </c>
    </row>
    <row r="36" spans="1:11" ht="24.95" customHeight="1">
      <c r="A36" s="50"/>
      <c r="B36" s="51" t="s">
        <v>541</v>
      </c>
      <c r="C36" s="52"/>
      <c r="D36" s="60" t="s">
        <v>317</v>
      </c>
      <c r="E36" s="54">
        <v>10</v>
      </c>
      <c r="F36" s="54">
        <v>11000</v>
      </c>
      <c r="G36" s="61" t="str">
        <f t="shared" si="2"/>
        <v>1개월</v>
      </c>
      <c r="H36" s="54">
        <f t="shared" si="1"/>
        <v>110000</v>
      </c>
      <c r="I36" s="58"/>
      <c r="J36" s="59"/>
      <c r="K36" s="44">
        <v>1</v>
      </c>
    </row>
    <row r="37" spans="1:11" ht="24.95" customHeight="1">
      <c r="A37" s="50"/>
      <c r="B37" s="51" t="s">
        <v>542</v>
      </c>
      <c r="C37" s="52"/>
      <c r="D37" s="60" t="s">
        <v>318</v>
      </c>
      <c r="E37" s="54">
        <v>3</v>
      </c>
      <c r="F37" s="54">
        <v>3300</v>
      </c>
      <c r="G37" s="61" t="str">
        <f t="shared" si="2"/>
        <v>1개월</v>
      </c>
      <c r="H37" s="54">
        <f t="shared" si="1"/>
        <v>9900</v>
      </c>
      <c r="I37" s="58"/>
      <c r="J37" s="59"/>
      <c r="K37" s="44">
        <v>1</v>
      </c>
    </row>
    <row r="38" spans="1:11" ht="24.95" customHeight="1">
      <c r="A38" s="50"/>
      <c r="B38" s="51" t="s">
        <v>543</v>
      </c>
      <c r="C38" s="52"/>
      <c r="D38" s="60" t="s">
        <v>319</v>
      </c>
      <c r="E38" s="54">
        <v>10</v>
      </c>
      <c r="F38" s="54">
        <v>1840</v>
      </c>
      <c r="G38" s="61" t="str">
        <f t="shared" si="2"/>
        <v>12개월</v>
      </c>
      <c r="H38" s="54">
        <f t="shared" si="1"/>
        <v>1533</v>
      </c>
      <c r="I38" s="58"/>
      <c r="J38" s="59"/>
      <c r="K38" s="44">
        <v>12</v>
      </c>
    </row>
    <row r="39" spans="1:11" ht="24.95" customHeight="1">
      <c r="A39" s="50"/>
      <c r="B39" s="51" t="s">
        <v>544</v>
      </c>
      <c r="C39" s="52"/>
      <c r="D39" s="60" t="s">
        <v>320</v>
      </c>
      <c r="E39" s="54">
        <v>5</v>
      </c>
      <c r="F39" s="54">
        <v>1500</v>
      </c>
      <c r="G39" s="61" t="str">
        <f t="shared" si="2"/>
        <v>1개월</v>
      </c>
      <c r="H39" s="54">
        <f t="shared" si="1"/>
        <v>7500</v>
      </c>
      <c r="I39" s="58"/>
      <c r="J39" s="59"/>
      <c r="K39" s="44">
        <v>1</v>
      </c>
    </row>
    <row r="40" spans="1:11" ht="24.95" customHeight="1">
      <c r="A40" s="50"/>
      <c r="B40" s="51" t="s">
        <v>545</v>
      </c>
      <c r="C40" s="52"/>
      <c r="D40" s="60" t="s">
        <v>321</v>
      </c>
      <c r="E40" s="54">
        <v>10</v>
      </c>
      <c r="F40" s="54">
        <v>2000</v>
      </c>
      <c r="G40" s="61" t="str">
        <f t="shared" si="2"/>
        <v>1개월</v>
      </c>
      <c r="H40" s="54">
        <f t="shared" si="1"/>
        <v>20000</v>
      </c>
      <c r="I40" s="58"/>
      <c r="J40" s="59"/>
      <c r="K40" s="44">
        <v>1</v>
      </c>
    </row>
    <row r="41" spans="1:11" ht="24.95" customHeight="1">
      <c r="A41" s="50"/>
      <c r="B41" s="51" t="s">
        <v>546</v>
      </c>
      <c r="C41" s="52"/>
      <c r="D41" s="60" t="s">
        <v>322</v>
      </c>
      <c r="E41" s="54">
        <v>10</v>
      </c>
      <c r="F41" s="54">
        <v>810</v>
      </c>
      <c r="G41" s="61" t="str">
        <f t="shared" si="2"/>
        <v>1개월</v>
      </c>
      <c r="H41" s="54">
        <f t="shared" si="1"/>
        <v>8100</v>
      </c>
      <c r="I41" s="58"/>
      <c r="J41" s="59"/>
      <c r="K41" s="44">
        <v>1</v>
      </c>
    </row>
    <row r="42" spans="1:11" ht="24.95" customHeight="1">
      <c r="A42" s="50"/>
      <c r="B42" s="51" t="s">
        <v>547</v>
      </c>
      <c r="C42" s="52"/>
      <c r="D42" s="60" t="s">
        <v>323</v>
      </c>
      <c r="E42" s="54">
        <v>10</v>
      </c>
      <c r="F42" s="54">
        <v>2100</v>
      </c>
      <c r="G42" s="61" t="str">
        <f t="shared" si="2"/>
        <v>1개월</v>
      </c>
      <c r="H42" s="54">
        <f t="shared" si="1"/>
        <v>21000</v>
      </c>
      <c r="I42" s="58"/>
      <c r="J42" s="59"/>
      <c r="K42" s="44">
        <v>1</v>
      </c>
    </row>
    <row r="43" spans="1:11" ht="24.95" customHeight="1">
      <c r="A43" s="50"/>
      <c r="B43" s="51" t="s">
        <v>548</v>
      </c>
      <c r="C43" s="52"/>
      <c r="D43" s="60" t="s">
        <v>324</v>
      </c>
      <c r="E43" s="54">
        <v>13</v>
      </c>
      <c r="F43" s="54">
        <v>500</v>
      </c>
      <c r="G43" s="61" t="str">
        <f t="shared" si="2"/>
        <v>12개월</v>
      </c>
      <c r="H43" s="54">
        <f t="shared" si="1"/>
        <v>541</v>
      </c>
      <c r="I43" s="58"/>
      <c r="J43" s="59"/>
      <c r="K43" s="44">
        <v>12</v>
      </c>
    </row>
    <row r="44" spans="1:11" ht="24.95" customHeight="1">
      <c r="A44" s="50"/>
      <c r="B44" s="51" t="s">
        <v>549</v>
      </c>
      <c r="C44" s="52"/>
      <c r="D44" s="60" t="s">
        <v>325</v>
      </c>
      <c r="E44" s="54">
        <v>13</v>
      </c>
      <c r="F44" s="54">
        <v>2100</v>
      </c>
      <c r="G44" s="61" t="str">
        <f t="shared" si="2"/>
        <v>12개월</v>
      </c>
      <c r="H44" s="54">
        <f t="shared" si="1"/>
        <v>2275</v>
      </c>
      <c r="I44" s="58"/>
      <c r="J44" s="59"/>
      <c r="K44" s="44">
        <v>12</v>
      </c>
    </row>
    <row r="45" spans="1:11" ht="24.95" customHeight="1">
      <c r="A45" s="50"/>
      <c r="B45" s="51" t="s">
        <v>550</v>
      </c>
      <c r="C45" s="52"/>
      <c r="D45" s="60" t="s">
        <v>326</v>
      </c>
      <c r="E45" s="54">
        <v>1</v>
      </c>
      <c r="F45" s="54">
        <v>22000</v>
      </c>
      <c r="G45" s="61" t="str">
        <f t="shared" si="2"/>
        <v>4개월</v>
      </c>
      <c r="H45" s="54">
        <f t="shared" si="1"/>
        <v>5500</v>
      </c>
      <c r="I45" s="58"/>
      <c r="J45" s="59"/>
      <c r="K45" s="44">
        <v>4</v>
      </c>
    </row>
    <row r="46" spans="1:11" ht="24.95" customHeight="1">
      <c r="A46" s="50"/>
      <c r="B46" s="51" t="s">
        <v>551</v>
      </c>
      <c r="C46" s="52"/>
      <c r="D46" s="60" t="s">
        <v>327</v>
      </c>
      <c r="E46" s="54">
        <v>1</v>
      </c>
      <c r="F46" s="54">
        <v>20000</v>
      </c>
      <c r="G46" s="61" t="str">
        <f t="shared" si="2"/>
        <v>4개월</v>
      </c>
      <c r="H46" s="54">
        <f t="shared" si="1"/>
        <v>5000</v>
      </c>
      <c r="I46" s="58"/>
      <c r="J46" s="59"/>
      <c r="K46" s="44">
        <v>4</v>
      </c>
    </row>
    <row r="47" spans="1:11" ht="24.95" customHeight="1">
      <c r="A47" s="50"/>
      <c r="B47" s="51"/>
      <c r="C47" s="52"/>
      <c r="D47" s="60"/>
      <c r="E47" s="54"/>
      <c r="F47" s="54"/>
      <c r="G47" s="61"/>
      <c r="H47" s="54"/>
      <c r="I47" s="58"/>
      <c r="J47" s="59"/>
    </row>
    <row r="48" spans="1:11" ht="24.95" customHeight="1">
      <c r="A48" s="50"/>
      <c r="B48" s="51"/>
      <c r="C48" s="52"/>
      <c r="D48" s="60"/>
      <c r="E48" s="54"/>
      <c r="F48" s="54"/>
      <c r="G48" s="61"/>
      <c r="H48" s="54"/>
      <c r="I48" s="58"/>
      <c r="J48" s="59"/>
    </row>
    <row r="49" spans="1:11" ht="24.95" customHeight="1">
      <c r="A49" s="46" t="s">
        <v>184</v>
      </c>
      <c r="B49" s="47"/>
      <c r="C49" s="47"/>
      <c r="D49" s="62"/>
      <c r="E49" s="54"/>
      <c r="F49" s="54"/>
      <c r="G49" s="61"/>
      <c r="H49" s="54">
        <f>SUM(H8:H48)</f>
        <v>2165122</v>
      </c>
      <c r="I49" s="58"/>
      <c r="J49" s="59"/>
    </row>
    <row r="50" spans="1:11" ht="24.95" customHeight="1">
      <c r="A50" s="50">
        <v>2</v>
      </c>
      <c r="B50" s="51"/>
      <c r="C50" s="52"/>
      <c r="D50" s="60" t="s">
        <v>647</v>
      </c>
      <c r="E50" s="54"/>
      <c r="F50" s="54"/>
      <c r="G50" s="61"/>
      <c r="H50" s="54"/>
      <c r="I50" s="58"/>
      <c r="J50" s="59"/>
    </row>
    <row r="51" spans="1:11" ht="24.95" customHeight="1">
      <c r="A51" s="50"/>
      <c r="B51" s="51" t="s">
        <v>328</v>
      </c>
      <c r="C51" s="52"/>
      <c r="D51" s="60" t="s">
        <v>346</v>
      </c>
      <c r="E51" s="54">
        <v>1500</v>
      </c>
      <c r="F51" s="54">
        <v>1230</v>
      </c>
      <c r="G51" s="61" t="str">
        <f t="shared" ref="G51:G62" si="3">""&amp;K51&amp;"개월"</f>
        <v>6개월</v>
      </c>
      <c r="H51" s="54">
        <f t="shared" ref="H51:H62" si="4">TRUNC(E51*F51/K51)</f>
        <v>307500</v>
      </c>
      <c r="I51" s="58"/>
      <c r="J51" s="59"/>
      <c r="K51" s="44">
        <v>6</v>
      </c>
    </row>
    <row r="52" spans="1:11" ht="24.95" customHeight="1">
      <c r="A52" s="50"/>
      <c r="B52" s="51" t="s">
        <v>518</v>
      </c>
      <c r="C52" s="52"/>
      <c r="D52" s="60" t="s">
        <v>552</v>
      </c>
      <c r="E52" s="54">
        <v>150</v>
      </c>
      <c r="F52" s="54">
        <v>990</v>
      </c>
      <c r="G52" s="61" t="str">
        <f t="shared" si="3"/>
        <v>6개월</v>
      </c>
      <c r="H52" s="54">
        <f t="shared" si="4"/>
        <v>24750</v>
      </c>
      <c r="I52" s="58"/>
      <c r="J52" s="59"/>
      <c r="K52" s="44">
        <v>6</v>
      </c>
    </row>
    <row r="53" spans="1:11" ht="24.95" customHeight="1">
      <c r="A53" s="50"/>
      <c r="B53" s="51" t="s">
        <v>519</v>
      </c>
      <c r="C53" s="52"/>
      <c r="D53" s="60" t="s">
        <v>347</v>
      </c>
      <c r="E53" s="54">
        <v>150</v>
      </c>
      <c r="F53" s="54">
        <v>820</v>
      </c>
      <c r="G53" s="61" t="str">
        <f t="shared" si="3"/>
        <v>6개월</v>
      </c>
      <c r="H53" s="54">
        <f t="shared" si="4"/>
        <v>20500</v>
      </c>
      <c r="I53" s="58"/>
      <c r="J53" s="59"/>
      <c r="K53" s="44">
        <v>6</v>
      </c>
    </row>
    <row r="54" spans="1:11" ht="24.95" customHeight="1">
      <c r="A54" s="50"/>
      <c r="B54" s="51" t="s">
        <v>520</v>
      </c>
      <c r="C54" s="52"/>
      <c r="D54" s="60" t="s">
        <v>348</v>
      </c>
      <c r="E54" s="54">
        <v>15</v>
      </c>
      <c r="F54" s="54">
        <v>13500</v>
      </c>
      <c r="G54" s="61" t="str">
        <f t="shared" si="3"/>
        <v>1개월</v>
      </c>
      <c r="H54" s="54">
        <f t="shared" si="4"/>
        <v>202500</v>
      </c>
      <c r="I54" s="58"/>
      <c r="J54" s="59"/>
      <c r="K54" s="44">
        <v>1</v>
      </c>
    </row>
    <row r="55" spans="1:11" ht="24.95" customHeight="1">
      <c r="A55" s="50"/>
      <c r="B55" s="51" t="s">
        <v>521</v>
      </c>
      <c r="C55" s="52"/>
      <c r="D55" s="60" t="s">
        <v>349</v>
      </c>
      <c r="E55" s="54">
        <v>30</v>
      </c>
      <c r="F55" s="54">
        <v>290</v>
      </c>
      <c r="G55" s="61" t="str">
        <f t="shared" si="3"/>
        <v>1개월</v>
      </c>
      <c r="H55" s="54">
        <f t="shared" si="4"/>
        <v>8700</v>
      </c>
      <c r="I55" s="58"/>
      <c r="J55" s="59"/>
      <c r="K55" s="44">
        <v>1</v>
      </c>
    </row>
    <row r="56" spans="1:11" ht="24.95" customHeight="1">
      <c r="A56" s="50"/>
      <c r="B56" s="51" t="s">
        <v>522</v>
      </c>
      <c r="C56" s="52"/>
      <c r="D56" s="60" t="s">
        <v>350</v>
      </c>
      <c r="E56" s="54">
        <v>10</v>
      </c>
      <c r="F56" s="54">
        <v>5000</v>
      </c>
      <c r="G56" s="61" t="str">
        <f t="shared" si="3"/>
        <v>1개월</v>
      </c>
      <c r="H56" s="54">
        <f t="shared" si="4"/>
        <v>50000</v>
      </c>
      <c r="I56" s="58"/>
      <c r="J56" s="59"/>
      <c r="K56" s="44">
        <v>1</v>
      </c>
    </row>
    <row r="57" spans="1:11" ht="24.95" customHeight="1">
      <c r="A57" s="50"/>
      <c r="B57" s="51" t="s">
        <v>523</v>
      </c>
      <c r="C57" s="52"/>
      <c r="D57" s="60" t="s">
        <v>351</v>
      </c>
      <c r="E57" s="54">
        <v>10</v>
      </c>
      <c r="F57" s="54">
        <v>1515</v>
      </c>
      <c r="G57" s="61" t="str">
        <f t="shared" si="3"/>
        <v>1개월</v>
      </c>
      <c r="H57" s="54">
        <f t="shared" si="4"/>
        <v>15150</v>
      </c>
      <c r="I57" s="58"/>
      <c r="J57" s="59"/>
      <c r="K57" s="44">
        <v>1</v>
      </c>
    </row>
    <row r="58" spans="1:11" ht="24.95" customHeight="1">
      <c r="A58" s="50"/>
      <c r="B58" s="51" t="s">
        <v>524</v>
      </c>
      <c r="C58" s="52"/>
      <c r="D58" s="60" t="s">
        <v>352</v>
      </c>
      <c r="E58" s="54">
        <v>10</v>
      </c>
      <c r="F58" s="54">
        <v>1000</v>
      </c>
      <c r="G58" s="61" t="str">
        <f t="shared" si="3"/>
        <v>1개월</v>
      </c>
      <c r="H58" s="54">
        <f t="shared" si="4"/>
        <v>10000</v>
      </c>
      <c r="I58" s="58"/>
      <c r="J58" s="59"/>
      <c r="K58" s="44">
        <v>1</v>
      </c>
    </row>
    <row r="59" spans="1:11" ht="24.95" customHeight="1">
      <c r="A59" s="50"/>
      <c r="B59" s="51" t="s">
        <v>525</v>
      </c>
      <c r="C59" s="52"/>
      <c r="D59" s="60" t="s">
        <v>353</v>
      </c>
      <c r="E59" s="54">
        <v>10</v>
      </c>
      <c r="F59" s="54">
        <v>5000</v>
      </c>
      <c r="G59" s="61" t="str">
        <f t="shared" si="3"/>
        <v>1개월</v>
      </c>
      <c r="H59" s="54">
        <f t="shared" si="4"/>
        <v>50000</v>
      </c>
      <c r="I59" s="58"/>
      <c r="J59" s="59"/>
      <c r="K59" s="44">
        <v>1</v>
      </c>
    </row>
    <row r="60" spans="1:11" ht="24.95" customHeight="1">
      <c r="A60" s="50"/>
      <c r="B60" s="51" t="s">
        <v>526</v>
      </c>
      <c r="C60" s="52"/>
      <c r="D60" s="60" t="s">
        <v>354</v>
      </c>
      <c r="E60" s="54">
        <v>40</v>
      </c>
      <c r="F60" s="54">
        <v>1000</v>
      </c>
      <c r="G60" s="61" t="str">
        <f t="shared" si="3"/>
        <v>1개월</v>
      </c>
      <c r="H60" s="54">
        <f t="shared" si="4"/>
        <v>40000</v>
      </c>
      <c r="I60" s="58"/>
      <c r="J60" s="59"/>
      <c r="K60" s="44">
        <v>1</v>
      </c>
    </row>
    <row r="61" spans="1:11" ht="24.95" customHeight="1">
      <c r="A61" s="50"/>
      <c r="B61" s="51" t="s">
        <v>527</v>
      </c>
      <c r="C61" s="52"/>
      <c r="D61" s="60" t="s">
        <v>355</v>
      </c>
      <c r="E61" s="54">
        <v>40</v>
      </c>
      <c r="F61" s="54">
        <v>5000</v>
      </c>
      <c r="G61" s="61" t="str">
        <f t="shared" si="3"/>
        <v>1개월</v>
      </c>
      <c r="H61" s="54">
        <f t="shared" si="4"/>
        <v>200000</v>
      </c>
      <c r="I61" s="58"/>
      <c r="J61" s="59"/>
      <c r="K61" s="44">
        <v>1</v>
      </c>
    </row>
    <row r="62" spans="1:11" ht="24.95" customHeight="1">
      <c r="A62" s="50"/>
      <c r="B62" s="51" t="s">
        <v>528</v>
      </c>
      <c r="C62" s="52"/>
      <c r="D62" s="60" t="s">
        <v>356</v>
      </c>
      <c r="E62" s="54">
        <v>1</v>
      </c>
      <c r="F62" s="54">
        <v>20000</v>
      </c>
      <c r="G62" s="61" t="str">
        <f t="shared" si="3"/>
        <v>1개월</v>
      </c>
      <c r="H62" s="54">
        <f t="shared" si="4"/>
        <v>20000</v>
      </c>
      <c r="I62" s="58"/>
      <c r="J62" s="59"/>
      <c r="K62" s="44">
        <v>1</v>
      </c>
    </row>
    <row r="63" spans="1:11" ht="24" customHeight="1">
      <c r="A63" s="50"/>
      <c r="B63" s="51"/>
      <c r="C63" s="52"/>
      <c r="D63" s="60"/>
      <c r="E63" s="54"/>
      <c r="F63" s="54"/>
      <c r="G63" s="61"/>
      <c r="H63" s="54"/>
      <c r="I63" s="58"/>
      <c r="J63" s="59"/>
    </row>
    <row r="64" spans="1:11" ht="24" customHeight="1">
      <c r="A64" s="50"/>
      <c r="B64" s="51"/>
      <c r="C64" s="52"/>
      <c r="D64" s="60"/>
      <c r="E64" s="54"/>
      <c r="F64" s="54"/>
      <c r="G64" s="61"/>
      <c r="H64" s="54"/>
      <c r="I64" s="58"/>
      <c r="J64" s="59"/>
    </row>
    <row r="65" spans="1:11" ht="24" customHeight="1">
      <c r="A65" s="50"/>
      <c r="B65" s="51"/>
      <c r="C65" s="52"/>
      <c r="D65" s="60"/>
      <c r="E65" s="54"/>
      <c r="F65" s="54"/>
      <c r="G65" s="61"/>
      <c r="H65" s="54"/>
      <c r="I65" s="58"/>
      <c r="J65" s="59"/>
    </row>
    <row r="66" spans="1:11" ht="24" customHeight="1">
      <c r="A66" s="50"/>
      <c r="B66" s="51"/>
      <c r="C66" s="52"/>
      <c r="D66" s="60"/>
      <c r="E66" s="54"/>
      <c r="F66" s="54"/>
      <c r="G66" s="61"/>
      <c r="H66" s="54"/>
      <c r="I66" s="58"/>
      <c r="J66" s="59"/>
    </row>
    <row r="67" spans="1:11" ht="24" customHeight="1">
      <c r="A67" s="50"/>
      <c r="B67" s="51"/>
      <c r="C67" s="52"/>
      <c r="D67" s="60"/>
      <c r="E67" s="54"/>
      <c r="F67" s="54"/>
      <c r="G67" s="61"/>
      <c r="H67" s="54"/>
      <c r="I67" s="58"/>
      <c r="J67" s="59"/>
    </row>
    <row r="68" spans="1:11" ht="24" customHeight="1">
      <c r="A68" s="50"/>
      <c r="B68" s="51"/>
      <c r="C68" s="52"/>
      <c r="D68" s="60"/>
      <c r="E68" s="54"/>
      <c r="F68" s="54"/>
      <c r="G68" s="61"/>
      <c r="H68" s="54"/>
      <c r="I68" s="58"/>
      <c r="J68" s="59"/>
    </row>
    <row r="69" spans="1:11" ht="24" customHeight="1">
      <c r="A69" s="50"/>
      <c r="B69" s="51"/>
      <c r="C69" s="52"/>
      <c r="D69" s="60"/>
      <c r="E69" s="54"/>
      <c r="F69" s="54"/>
      <c r="G69" s="61"/>
      <c r="H69" s="54"/>
      <c r="I69" s="58"/>
      <c r="J69" s="59"/>
    </row>
    <row r="70" spans="1:11" ht="24" customHeight="1">
      <c r="A70" s="50"/>
      <c r="B70" s="51"/>
      <c r="C70" s="52"/>
      <c r="D70" s="60"/>
      <c r="E70" s="54"/>
      <c r="F70" s="54"/>
      <c r="G70" s="61"/>
      <c r="H70" s="54"/>
      <c r="I70" s="58"/>
      <c r="J70" s="59"/>
    </row>
    <row r="71" spans="1:11" ht="24" customHeight="1">
      <c r="A71" s="50"/>
      <c r="B71" s="51"/>
      <c r="C71" s="52"/>
      <c r="D71" s="60"/>
      <c r="E71" s="54"/>
      <c r="F71" s="54"/>
      <c r="G71" s="61"/>
      <c r="H71" s="54"/>
      <c r="I71" s="58"/>
      <c r="J71" s="59"/>
    </row>
    <row r="72" spans="1:11" ht="24.95" customHeight="1">
      <c r="A72" s="46" t="s">
        <v>184</v>
      </c>
      <c r="B72" s="47"/>
      <c r="C72" s="47"/>
      <c r="D72" s="62"/>
      <c r="E72" s="54"/>
      <c r="F72" s="54"/>
      <c r="G72" s="61"/>
      <c r="H72" s="54">
        <f>SUM(H51:H71)</f>
        <v>949100</v>
      </c>
      <c r="I72" s="58"/>
      <c r="J72" s="59"/>
    </row>
    <row r="73" spans="1:11" ht="24" customHeight="1">
      <c r="A73" s="50">
        <v>3</v>
      </c>
      <c r="B73" s="51"/>
      <c r="C73" s="52"/>
      <c r="D73" s="60" t="s">
        <v>357</v>
      </c>
      <c r="E73" s="54"/>
      <c r="F73" s="54"/>
      <c r="G73" s="61"/>
      <c r="H73" s="54"/>
      <c r="I73" s="58"/>
      <c r="J73" s="59"/>
    </row>
    <row r="74" spans="1:11" ht="24" customHeight="1">
      <c r="A74" s="50"/>
      <c r="B74" s="51" t="s">
        <v>328</v>
      </c>
      <c r="C74" s="52"/>
      <c r="D74" s="60" t="s">
        <v>358</v>
      </c>
      <c r="E74" s="54">
        <v>3</v>
      </c>
      <c r="F74" s="54">
        <v>1500</v>
      </c>
      <c r="G74" s="61" t="str">
        <f t="shared" ref="G74:G116" si="5">""&amp;K74&amp;"개월"</f>
        <v>12개월</v>
      </c>
      <c r="H74" s="54">
        <f t="shared" ref="H74:H116" si="6">TRUNC(E74*F74/K74)</f>
        <v>375</v>
      </c>
      <c r="I74" s="58"/>
      <c r="J74" s="59"/>
      <c r="K74" s="44">
        <v>12</v>
      </c>
    </row>
    <row r="75" spans="1:11" ht="24" customHeight="1">
      <c r="A75" s="50"/>
      <c r="B75" s="51" t="s">
        <v>518</v>
      </c>
      <c r="C75" s="52"/>
      <c r="D75" s="60" t="s">
        <v>359</v>
      </c>
      <c r="E75" s="54">
        <v>30</v>
      </c>
      <c r="F75" s="54">
        <v>250</v>
      </c>
      <c r="G75" s="61" t="str">
        <f t="shared" si="5"/>
        <v>12개월</v>
      </c>
      <c r="H75" s="54">
        <f t="shared" si="6"/>
        <v>625</v>
      </c>
      <c r="I75" s="58"/>
      <c r="J75" s="59"/>
      <c r="K75" s="44">
        <v>12</v>
      </c>
    </row>
    <row r="76" spans="1:11" ht="24" customHeight="1">
      <c r="A76" s="50"/>
      <c r="B76" s="51" t="s">
        <v>519</v>
      </c>
      <c r="C76" s="52"/>
      <c r="D76" s="60" t="s">
        <v>360</v>
      </c>
      <c r="E76" s="54">
        <v>3</v>
      </c>
      <c r="F76" s="54">
        <v>1418</v>
      </c>
      <c r="G76" s="61" t="str">
        <f t="shared" si="5"/>
        <v>12개월</v>
      </c>
      <c r="H76" s="54">
        <f t="shared" si="6"/>
        <v>354</v>
      </c>
      <c r="I76" s="58"/>
      <c r="J76" s="59"/>
      <c r="K76" s="44">
        <v>12</v>
      </c>
    </row>
    <row r="77" spans="1:11" ht="24" customHeight="1">
      <c r="A77" s="50"/>
      <c r="B77" s="51" t="s">
        <v>520</v>
      </c>
      <c r="C77" s="52"/>
      <c r="D77" s="60" t="s">
        <v>361</v>
      </c>
      <c r="E77" s="54">
        <v>6</v>
      </c>
      <c r="F77" s="54">
        <v>272</v>
      </c>
      <c r="G77" s="61" t="str">
        <f t="shared" si="5"/>
        <v>12개월</v>
      </c>
      <c r="H77" s="54">
        <f t="shared" si="6"/>
        <v>136</v>
      </c>
      <c r="I77" s="58"/>
      <c r="J77" s="59"/>
      <c r="K77" s="44">
        <v>12</v>
      </c>
    </row>
    <row r="78" spans="1:11" ht="24" customHeight="1">
      <c r="A78" s="50"/>
      <c r="B78" s="51" t="s">
        <v>521</v>
      </c>
      <c r="C78" s="52"/>
      <c r="D78" s="60" t="s">
        <v>362</v>
      </c>
      <c r="E78" s="54">
        <v>5</v>
      </c>
      <c r="F78" s="54">
        <v>318</v>
      </c>
      <c r="G78" s="61" t="str">
        <f t="shared" si="5"/>
        <v>12개월</v>
      </c>
      <c r="H78" s="54">
        <f t="shared" si="6"/>
        <v>132</v>
      </c>
      <c r="I78" s="58"/>
      <c r="J78" s="59"/>
      <c r="K78" s="44">
        <v>12</v>
      </c>
    </row>
    <row r="79" spans="1:11" ht="24" customHeight="1">
      <c r="A79" s="50"/>
      <c r="B79" s="51" t="s">
        <v>522</v>
      </c>
      <c r="C79" s="52"/>
      <c r="D79" s="60" t="s">
        <v>363</v>
      </c>
      <c r="E79" s="54">
        <v>10</v>
      </c>
      <c r="F79" s="54">
        <v>350</v>
      </c>
      <c r="G79" s="61" t="str">
        <f t="shared" si="5"/>
        <v>12개월</v>
      </c>
      <c r="H79" s="54">
        <f t="shared" si="6"/>
        <v>291</v>
      </c>
      <c r="I79" s="58"/>
      <c r="J79" s="59"/>
      <c r="K79" s="44">
        <v>12</v>
      </c>
    </row>
    <row r="80" spans="1:11" ht="24" customHeight="1">
      <c r="A80" s="50"/>
      <c r="B80" s="51" t="s">
        <v>523</v>
      </c>
      <c r="C80" s="52"/>
      <c r="D80" s="60" t="s">
        <v>364</v>
      </c>
      <c r="E80" s="54">
        <v>10</v>
      </c>
      <c r="F80" s="54">
        <v>730</v>
      </c>
      <c r="G80" s="61" t="str">
        <f t="shared" si="5"/>
        <v>12개월</v>
      </c>
      <c r="H80" s="54">
        <f t="shared" si="6"/>
        <v>608</v>
      </c>
      <c r="I80" s="58"/>
      <c r="J80" s="59"/>
      <c r="K80" s="44">
        <v>12</v>
      </c>
    </row>
    <row r="81" spans="1:11" ht="24" customHeight="1">
      <c r="A81" s="50"/>
      <c r="B81" s="51" t="s">
        <v>524</v>
      </c>
      <c r="C81" s="52"/>
      <c r="D81" s="60" t="s">
        <v>365</v>
      </c>
      <c r="E81" s="54">
        <v>5</v>
      </c>
      <c r="F81" s="54">
        <v>1270</v>
      </c>
      <c r="G81" s="61" t="str">
        <f t="shared" si="5"/>
        <v>12개월</v>
      </c>
      <c r="H81" s="54">
        <f t="shared" si="6"/>
        <v>529</v>
      </c>
      <c r="I81" s="58"/>
      <c r="J81" s="59"/>
      <c r="K81" s="44">
        <v>12</v>
      </c>
    </row>
    <row r="82" spans="1:11" ht="24" customHeight="1">
      <c r="A82" s="50"/>
      <c r="B82" s="51" t="s">
        <v>525</v>
      </c>
      <c r="C82" s="52"/>
      <c r="D82" s="60" t="s">
        <v>366</v>
      </c>
      <c r="E82" s="54">
        <v>2</v>
      </c>
      <c r="F82" s="54">
        <v>245</v>
      </c>
      <c r="G82" s="61" t="str">
        <f t="shared" si="5"/>
        <v>12개월</v>
      </c>
      <c r="H82" s="54">
        <f t="shared" si="6"/>
        <v>40</v>
      </c>
      <c r="I82" s="58"/>
      <c r="J82" s="59"/>
      <c r="K82" s="44">
        <v>12</v>
      </c>
    </row>
    <row r="83" spans="1:11" ht="24" customHeight="1">
      <c r="A83" s="50"/>
      <c r="B83" s="51" t="s">
        <v>526</v>
      </c>
      <c r="C83" s="52"/>
      <c r="D83" s="60" t="s">
        <v>367</v>
      </c>
      <c r="E83" s="54">
        <v>2</v>
      </c>
      <c r="F83" s="54">
        <v>727</v>
      </c>
      <c r="G83" s="61" t="str">
        <f t="shared" si="5"/>
        <v>12개월</v>
      </c>
      <c r="H83" s="54">
        <f t="shared" si="6"/>
        <v>121</v>
      </c>
      <c r="I83" s="58"/>
      <c r="J83" s="59"/>
      <c r="K83" s="44">
        <v>12</v>
      </c>
    </row>
    <row r="84" spans="1:11" ht="24" customHeight="1">
      <c r="A84" s="50"/>
      <c r="B84" s="51" t="s">
        <v>527</v>
      </c>
      <c r="C84" s="52"/>
      <c r="D84" s="60" t="s">
        <v>368</v>
      </c>
      <c r="E84" s="54">
        <v>3</v>
      </c>
      <c r="F84" s="54">
        <v>300</v>
      </c>
      <c r="G84" s="61" t="str">
        <f t="shared" si="5"/>
        <v>12개월</v>
      </c>
      <c r="H84" s="54">
        <f t="shared" si="6"/>
        <v>75</v>
      </c>
      <c r="I84" s="58"/>
      <c r="J84" s="59"/>
      <c r="K84" s="44">
        <v>12</v>
      </c>
    </row>
    <row r="85" spans="1:11" ht="24" customHeight="1">
      <c r="A85" s="50"/>
      <c r="B85" s="51" t="s">
        <v>528</v>
      </c>
      <c r="C85" s="52"/>
      <c r="D85" s="60" t="s">
        <v>369</v>
      </c>
      <c r="E85" s="54">
        <v>3</v>
      </c>
      <c r="F85" s="54">
        <v>318</v>
      </c>
      <c r="G85" s="61" t="str">
        <f t="shared" si="5"/>
        <v>12개월</v>
      </c>
      <c r="H85" s="54">
        <f t="shared" si="6"/>
        <v>79</v>
      </c>
      <c r="I85" s="58"/>
      <c r="J85" s="59"/>
      <c r="K85" s="44">
        <v>12</v>
      </c>
    </row>
    <row r="86" spans="1:11" ht="24" customHeight="1">
      <c r="A86" s="50"/>
      <c r="B86" s="51" t="s">
        <v>529</v>
      </c>
      <c r="C86" s="52"/>
      <c r="D86" s="60" t="s">
        <v>370</v>
      </c>
      <c r="E86" s="54">
        <v>3</v>
      </c>
      <c r="F86" s="54">
        <v>2045</v>
      </c>
      <c r="G86" s="61" t="str">
        <f t="shared" si="5"/>
        <v>12개월</v>
      </c>
      <c r="H86" s="54">
        <f t="shared" si="6"/>
        <v>511</v>
      </c>
      <c r="I86" s="58"/>
      <c r="J86" s="59"/>
      <c r="K86" s="44">
        <v>12</v>
      </c>
    </row>
    <row r="87" spans="1:11" ht="24" customHeight="1">
      <c r="A87" s="50"/>
      <c r="B87" s="51" t="s">
        <v>530</v>
      </c>
      <c r="C87" s="52"/>
      <c r="D87" s="60" t="s">
        <v>371</v>
      </c>
      <c r="E87" s="54">
        <v>4</v>
      </c>
      <c r="F87" s="54">
        <v>727</v>
      </c>
      <c r="G87" s="61" t="str">
        <f t="shared" si="5"/>
        <v>12개월</v>
      </c>
      <c r="H87" s="54">
        <f t="shared" si="6"/>
        <v>242</v>
      </c>
      <c r="I87" s="58"/>
      <c r="J87" s="59"/>
      <c r="K87" s="44">
        <v>12</v>
      </c>
    </row>
    <row r="88" spans="1:11" ht="24" customHeight="1">
      <c r="A88" s="50"/>
      <c r="B88" s="51" t="s">
        <v>531</v>
      </c>
      <c r="C88" s="52"/>
      <c r="D88" s="60" t="s">
        <v>372</v>
      </c>
      <c r="E88" s="54">
        <v>4</v>
      </c>
      <c r="F88" s="54">
        <v>245</v>
      </c>
      <c r="G88" s="61" t="str">
        <f t="shared" si="5"/>
        <v>12개월</v>
      </c>
      <c r="H88" s="54">
        <f t="shared" si="6"/>
        <v>81</v>
      </c>
      <c r="I88" s="58"/>
      <c r="J88" s="59"/>
      <c r="K88" s="44">
        <v>12</v>
      </c>
    </row>
    <row r="89" spans="1:11" ht="24" customHeight="1">
      <c r="A89" s="50"/>
      <c r="B89" s="51" t="s">
        <v>532</v>
      </c>
      <c r="C89" s="52"/>
      <c r="D89" s="60" t="s">
        <v>373</v>
      </c>
      <c r="E89" s="54">
        <v>30</v>
      </c>
      <c r="F89" s="54">
        <v>227</v>
      </c>
      <c r="G89" s="61" t="str">
        <f t="shared" si="5"/>
        <v>12개월</v>
      </c>
      <c r="H89" s="54">
        <f t="shared" si="6"/>
        <v>567</v>
      </c>
      <c r="I89" s="58"/>
      <c r="J89" s="59"/>
      <c r="K89" s="44">
        <v>12</v>
      </c>
    </row>
    <row r="90" spans="1:11" ht="24" customHeight="1">
      <c r="A90" s="50"/>
      <c r="B90" s="51" t="s">
        <v>533</v>
      </c>
      <c r="C90" s="52"/>
      <c r="D90" s="60" t="s">
        <v>374</v>
      </c>
      <c r="E90" s="54">
        <v>5</v>
      </c>
      <c r="F90" s="54">
        <v>454</v>
      </c>
      <c r="G90" s="61" t="str">
        <f t="shared" si="5"/>
        <v>12개월</v>
      </c>
      <c r="H90" s="54">
        <f t="shared" si="6"/>
        <v>189</v>
      </c>
      <c r="I90" s="58"/>
      <c r="J90" s="59"/>
      <c r="K90" s="44">
        <v>12</v>
      </c>
    </row>
    <row r="91" spans="1:11" ht="24" customHeight="1">
      <c r="A91" s="50"/>
      <c r="B91" s="51" t="s">
        <v>534</v>
      </c>
      <c r="C91" s="52"/>
      <c r="D91" s="60" t="s">
        <v>375</v>
      </c>
      <c r="E91" s="54">
        <v>10</v>
      </c>
      <c r="F91" s="54">
        <v>200</v>
      </c>
      <c r="G91" s="61" t="str">
        <f t="shared" si="5"/>
        <v>12개월</v>
      </c>
      <c r="H91" s="54">
        <f t="shared" si="6"/>
        <v>166</v>
      </c>
      <c r="I91" s="58"/>
      <c r="J91" s="59"/>
      <c r="K91" s="44">
        <v>12</v>
      </c>
    </row>
    <row r="92" spans="1:11" ht="24" customHeight="1">
      <c r="A92" s="50"/>
      <c r="B92" s="51" t="s">
        <v>535</v>
      </c>
      <c r="C92" s="52"/>
      <c r="D92" s="60" t="s">
        <v>376</v>
      </c>
      <c r="E92" s="54">
        <v>2</v>
      </c>
      <c r="F92" s="54">
        <v>1363</v>
      </c>
      <c r="G92" s="61" t="str">
        <f t="shared" si="5"/>
        <v>12개월</v>
      </c>
      <c r="H92" s="54">
        <f t="shared" si="6"/>
        <v>227</v>
      </c>
      <c r="I92" s="58"/>
      <c r="J92" s="59"/>
      <c r="K92" s="44">
        <v>12</v>
      </c>
    </row>
    <row r="93" spans="1:11" ht="24" customHeight="1">
      <c r="A93" s="50"/>
      <c r="B93" s="51" t="s">
        <v>536</v>
      </c>
      <c r="C93" s="52"/>
      <c r="D93" s="60" t="s">
        <v>377</v>
      </c>
      <c r="E93" s="54">
        <v>2</v>
      </c>
      <c r="F93" s="54">
        <v>1636</v>
      </c>
      <c r="G93" s="61" t="str">
        <f t="shared" si="5"/>
        <v>12개월</v>
      </c>
      <c r="H93" s="54">
        <f t="shared" si="6"/>
        <v>272</v>
      </c>
      <c r="I93" s="58"/>
      <c r="J93" s="59"/>
      <c r="K93" s="44">
        <v>12</v>
      </c>
    </row>
    <row r="94" spans="1:11" ht="24" customHeight="1">
      <c r="A94" s="50"/>
      <c r="B94" s="51" t="s">
        <v>537</v>
      </c>
      <c r="C94" s="52"/>
      <c r="D94" s="60" t="s">
        <v>378</v>
      </c>
      <c r="E94" s="54">
        <v>2</v>
      </c>
      <c r="F94" s="54">
        <v>572</v>
      </c>
      <c r="G94" s="61" t="str">
        <f t="shared" si="5"/>
        <v>12개월</v>
      </c>
      <c r="H94" s="54">
        <f t="shared" si="6"/>
        <v>95</v>
      </c>
      <c r="I94" s="58"/>
      <c r="J94" s="59"/>
      <c r="K94" s="44">
        <v>12</v>
      </c>
    </row>
    <row r="95" spans="1:11" ht="24" customHeight="1">
      <c r="A95" s="50"/>
      <c r="B95" s="51" t="s">
        <v>538</v>
      </c>
      <c r="C95" s="52"/>
      <c r="D95" s="60" t="s">
        <v>379</v>
      </c>
      <c r="E95" s="54">
        <v>5</v>
      </c>
      <c r="F95" s="54">
        <v>1000</v>
      </c>
      <c r="G95" s="61" t="str">
        <f t="shared" si="5"/>
        <v>12개월</v>
      </c>
      <c r="H95" s="54">
        <f t="shared" si="6"/>
        <v>416</v>
      </c>
      <c r="I95" s="58"/>
      <c r="J95" s="59"/>
      <c r="K95" s="44">
        <v>12</v>
      </c>
    </row>
    <row r="96" spans="1:11" ht="24" customHeight="1">
      <c r="A96" s="50"/>
      <c r="B96" s="51" t="s">
        <v>539</v>
      </c>
      <c r="C96" s="52"/>
      <c r="D96" s="60" t="s">
        <v>380</v>
      </c>
      <c r="E96" s="54">
        <v>3</v>
      </c>
      <c r="F96" s="54">
        <v>5800</v>
      </c>
      <c r="G96" s="61" t="str">
        <f t="shared" si="5"/>
        <v>12개월</v>
      </c>
      <c r="H96" s="54">
        <f t="shared" si="6"/>
        <v>1450</v>
      </c>
      <c r="I96" s="58"/>
      <c r="J96" s="59"/>
      <c r="K96" s="44">
        <v>12</v>
      </c>
    </row>
    <row r="97" spans="1:11" ht="24" customHeight="1">
      <c r="A97" s="50"/>
      <c r="B97" s="51" t="s">
        <v>540</v>
      </c>
      <c r="C97" s="52"/>
      <c r="D97" s="60" t="s">
        <v>381</v>
      </c>
      <c r="E97" s="54">
        <v>3</v>
      </c>
      <c r="F97" s="54">
        <v>420</v>
      </c>
      <c r="G97" s="61" t="str">
        <f t="shared" si="5"/>
        <v>12개월</v>
      </c>
      <c r="H97" s="54">
        <f t="shared" si="6"/>
        <v>105</v>
      </c>
      <c r="I97" s="58"/>
      <c r="J97" s="59"/>
      <c r="K97" s="44">
        <v>12</v>
      </c>
    </row>
    <row r="98" spans="1:11" ht="24" customHeight="1">
      <c r="A98" s="50"/>
      <c r="B98" s="51" t="s">
        <v>541</v>
      </c>
      <c r="C98" s="52"/>
      <c r="D98" s="60" t="s">
        <v>382</v>
      </c>
      <c r="E98" s="54">
        <v>3</v>
      </c>
      <c r="F98" s="54">
        <v>240</v>
      </c>
      <c r="G98" s="61" t="str">
        <f t="shared" si="5"/>
        <v>12개월</v>
      </c>
      <c r="H98" s="54">
        <f t="shared" si="6"/>
        <v>60</v>
      </c>
      <c r="I98" s="58"/>
      <c r="J98" s="59"/>
      <c r="K98" s="44">
        <v>12</v>
      </c>
    </row>
    <row r="99" spans="1:11" ht="24" customHeight="1">
      <c r="A99" s="50"/>
      <c r="B99" s="51" t="s">
        <v>542</v>
      </c>
      <c r="C99" s="52"/>
      <c r="D99" s="60" t="s">
        <v>383</v>
      </c>
      <c r="E99" s="54">
        <v>3</v>
      </c>
      <c r="F99" s="54">
        <v>1890</v>
      </c>
      <c r="G99" s="61" t="str">
        <f t="shared" si="5"/>
        <v>12개월</v>
      </c>
      <c r="H99" s="54">
        <f t="shared" si="6"/>
        <v>472</v>
      </c>
      <c r="I99" s="58"/>
      <c r="J99" s="59"/>
      <c r="K99" s="44">
        <v>12</v>
      </c>
    </row>
    <row r="100" spans="1:11" ht="24" customHeight="1">
      <c r="A100" s="50"/>
      <c r="B100" s="51" t="s">
        <v>543</v>
      </c>
      <c r="C100" s="52"/>
      <c r="D100" s="60" t="s">
        <v>384</v>
      </c>
      <c r="E100" s="54">
        <v>2</v>
      </c>
      <c r="F100" s="54">
        <v>4090</v>
      </c>
      <c r="G100" s="61" t="str">
        <f t="shared" si="5"/>
        <v>12개월</v>
      </c>
      <c r="H100" s="54">
        <f t="shared" si="6"/>
        <v>681</v>
      </c>
      <c r="I100" s="58"/>
      <c r="J100" s="59"/>
      <c r="K100" s="44">
        <v>12</v>
      </c>
    </row>
    <row r="101" spans="1:11" ht="24" customHeight="1">
      <c r="A101" s="50"/>
      <c r="B101" s="51" t="s">
        <v>544</v>
      </c>
      <c r="C101" s="52"/>
      <c r="D101" s="60" t="s">
        <v>385</v>
      </c>
      <c r="E101" s="54">
        <v>1</v>
      </c>
      <c r="F101" s="54">
        <v>6000</v>
      </c>
      <c r="G101" s="61" t="str">
        <f t="shared" si="5"/>
        <v>12개월</v>
      </c>
      <c r="H101" s="54">
        <f t="shared" si="6"/>
        <v>500</v>
      </c>
      <c r="I101" s="58"/>
      <c r="J101" s="59"/>
      <c r="K101" s="44">
        <v>12</v>
      </c>
    </row>
    <row r="102" spans="1:11" ht="24" customHeight="1">
      <c r="A102" s="50"/>
      <c r="B102" s="51" t="s">
        <v>545</v>
      </c>
      <c r="C102" s="52"/>
      <c r="D102" s="60" t="s">
        <v>386</v>
      </c>
      <c r="E102" s="54">
        <v>5</v>
      </c>
      <c r="F102" s="54">
        <v>6000</v>
      </c>
      <c r="G102" s="61" t="str">
        <f t="shared" si="5"/>
        <v>12개월</v>
      </c>
      <c r="H102" s="54">
        <f t="shared" si="6"/>
        <v>2500</v>
      </c>
      <c r="I102" s="58"/>
      <c r="J102" s="59"/>
      <c r="K102" s="44">
        <v>12</v>
      </c>
    </row>
    <row r="103" spans="1:11" ht="24" customHeight="1">
      <c r="A103" s="50"/>
      <c r="B103" s="51" t="s">
        <v>546</v>
      </c>
      <c r="C103" s="52"/>
      <c r="D103" s="60" t="s">
        <v>387</v>
      </c>
      <c r="E103" s="54">
        <v>3</v>
      </c>
      <c r="F103" s="54">
        <v>3000</v>
      </c>
      <c r="G103" s="61" t="str">
        <f t="shared" si="5"/>
        <v>12개월</v>
      </c>
      <c r="H103" s="54">
        <f t="shared" si="6"/>
        <v>750</v>
      </c>
      <c r="I103" s="58"/>
      <c r="J103" s="59"/>
      <c r="K103" s="44">
        <v>12</v>
      </c>
    </row>
    <row r="104" spans="1:11" ht="24" customHeight="1">
      <c r="A104" s="50"/>
      <c r="B104" s="51" t="s">
        <v>547</v>
      </c>
      <c r="C104" s="52"/>
      <c r="D104" s="60" t="s">
        <v>388</v>
      </c>
      <c r="E104" s="54">
        <v>3</v>
      </c>
      <c r="F104" s="54">
        <v>3000</v>
      </c>
      <c r="G104" s="61" t="str">
        <f t="shared" si="5"/>
        <v>12개월</v>
      </c>
      <c r="H104" s="54">
        <f t="shared" si="6"/>
        <v>750</v>
      </c>
      <c r="I104" s="58"/>
      <c r="J104" s="59"/>
      <c r="K104" s="44">
        <v>12</v>
      </c>
    </row>
    <row r="105" spans="1:11" ht="24" customHeight="1">
      <c r="A105" s="50"/>
      <c r="B105" s="51" t="s">
        <v>548</v>
      </c>
      <c r="C105" s="52"/>
      <c r="D105" s="60" t="s">
        <v>389</v>
      </c>
      <c r="E105" s="54">
        <v>1</v>
      </c>
      <c r="F105" s="54">
        <v>5818</v>
      </c>
      <c r="G105" s="61" t="str">
        <f t="shared" si="5"/>
        <v>12개월</v>
      </c>
      <c r="H105" s="54">
        <f t="shared" si="6"/>
        <v>484</v>
      </c>
      <c r="I105" s="58"/>
      <c r="J105" s="59"/>
      <c r="K105" s="44">
        <v>12</v>
      </c>
    </row>
    <row r="106" spans="1:11" ht="24" customHeight="1">
      <c r="A106" s="50"/>
      <c r="B106" s="51" t="s">
        <v>549</v>
      </c>
      <c r="C106" s="52"/>
      <c r="D106" s="60" t="s">
        <v>390</v>
      </c>
      <c r="E106" s="54">
        <v>50</v>
      </c>
      <c r="F106" s="54">
        <v>50</v>
      </c>
      <c r="G106" s="61" t="str">
        <f t="shared" si="5"/>
        <v>12개월</v>
      </c>
      <c r="H106" s="54">
        <f t="shared" si="6"/>
        <v>208</v>
      </c>
      <c r="I106" s="58"/>
      <c r="J106" s="59"/>
      <c r="K106" s="44">
        <v>12</v>
      </c>
    </row>
    <row r="107" spans="1:11" ht="24" customHeight="1">
      <c r="A107" s="50"/>
      <c r="B107" s="51" t="s">
        <v>550</v>
      </c>
      <c r="C107" s="52"/>
      <c r="D107" s="60" t="s">
        <v>391</v>
      </c>
      <c r="E107" s="54">
        <v>1</v>
      </c>
      <c r="F107" s="54">
        <v>1500</v>
      </c>
      <c r="G107" s="61" t="str">
        <f t="shared" si="5"/>
        <v>12개월</v>
      </c>
      <c r="H107" s="54">
        <f t="shared" si="6"/>
        <v>125</v>
      </c>
      <c r="I107" s="58"/>
      <c r="J107" s="59"/>
      <c r="K107" s="44">
        <v>12</v>
      </c>
    </row>
    <row r="108" spans="1:11" ht="24" customHeight="1">
      <c r="A108" s="50"/>
      <c r="B108" s="51" t="s">
        <v>551</v>
      </c>
      <c r="C108" s="52"/>
      <c r="D108" s="60" t="s">
        <v>392</v>
      </c>
      <c r="E108" s="54">
        <v>50</v>
      </c>
      <c r="F108" s="54">
        <v>40</v>
      </c>
      <c r="G108" s="61" t="str">
        <f t="shared" si="5"/>
        <v>12개월</v>
      </c>
      <c r="H108" s="54">
        <f t="shared" si="6"/>
        <v>166</v>
      </c>
      <c r="I108" s="58"/>
      <c r="J108" s="59"/>
      <c r="K108" s="44">
        <v>12</v>
      </c>
    </row>
    <row r="109" spans="1:11" ht="24" customHeight="1">
      <c r="A109" s="50"/>
      <c r="B109" s="51" t="s">
        <v>553</v>
      </c>
      <c r="C109" s="52"/>
      <c r="D109" s="60" t="s">
        <v>393</v>
      </c>
      <c r="E109" s="54">
        <v>5</v>
      </c>
      <c r="F109" s="54">
        <v>100</v>
      </c>
      <c r="G109" s="61" t="str">
        <f t="shared" si="5"/>
        <v>12개월</v>
      </c>
      <c r="H109" s="54">
        <f t="shared" si="6"/>
        <v>41</v>
      </c>
      <c r="I109" s="58"/>
      <c r="J109" s="59"/>
      <c r="K109" s="44">
        <v>12</v>
      </c>
    </row>
    <row r="110" spans="1:11" ht="24" customHeight="1">
      <c r="A110" s="50"/>
      <c r="B110" s="51" t="s">
        <v>554</v>
      </c>
      <c r="C110" s="52"/>
      <c r="D110" s="60" t="s">
        <v>394</v>
      </c>
      <c r="E110" s="54">
        <v>1</v>
      </c>
      <c r="F110" s="54">
        <v>500</v>
      </c>
      <c r="G110" s="61" t="str">
        <f t="shared" si="5"/>
        <v>12개월</v>
      </c>
      <c r="H110" s="54">
        <f t="shared" si="6"/>
        <v>41</v>
      </c>
      <c r="I110" s="58"/>
      <c r="J110" s="59"/>
      <c r="K110" s="44">
        <v>12</v>
      </c>
    </row>
    <row r="111" spans="1:11" ht="24" customHeight="1">
      <c r="A111" s="50"/>
      <c r="B111" s="51" t="s">
        <v>555</v>
      </c>
      <c r="C111" s="52"/>
      <c r="D111" s="60" t="s">
        <v>395</v>
      </c>
      <c r="E111" s="54">
        <v>2</v>
      </c>
      <c r="F111" s="54">
        <v>727</v>
      </c>
      <c r="G111" s="61" t="str">
        <f t="shared" si="5"/>
        <v>12개월</v>
      </c>
      <c r="H111" s="54">
        <f t="shared" si="6"/>
        <v>121</v>
      </c>
      <c r="I111" s="58"/>
      <c r="J111" s="59"/>
      <c r="K111" s="44">
        <v>12</v>
      </c>
    </row>
    <row r="112" spans="1:11" ht="24" customHeight="1">
      <c r="A112" s="50"/>
      <c r="B112" s="51" t="s">
        <v>556</v>
      </c>
      <c r="C112" s="52"/>
      <c r="D112" s="60" t="s">
        <v>396</v>
      </c>
      <c r="E112" s="54">
        <v>2</v>
      </c>
      <c r="F112" s="54">
        <v>1000</v>
      </c>
      <c r="G112" s="61" t="str">
        <f t="shared" si="5"/>
        <v>12개월</v>
      </c>
      <c r="H112" s="54">
        <f t="shared" si="6"/>
        <v>166</v>
      </c>
      <c r="I112" s="58"/>
      <c r="J112" s="59"/>
      <c r="K112" s="44">
        <v>12</v>
      </c>
    </row>
    <row r="113" spans="1:11" ht="24" customHeight="1">
      <c r="A113" s="50"/>
      <c r="B113" s="51" t="s">
        <v>557</v>
      </c>
      <c r="C113" s="52"/>
      <c r="D113" s="60" t="s">
        <v>397</v>
      </c>
      <c r="E113" s="54">
        <v>2</v>
      </c>
      <c r="F113" s="54">
        <v>900</v>
      </c>
      <c r="G113" s="61" t="str">
        <f t="shared" si="5"/>
        <v>12개월</v>
      </c>
      <c r="H113" s="54">
        <f t="shared" si="6"/>
        <v>150</v>
      </c>
      <c r="I113" s="58"/>
      <c r="J113" s="59"/>
      <c r="K113" s="44">
        <v>12</v>
      </c>
    </row>
    <row r="114" spans="1:11" ht="24" customHeight="1">
      <c r="A114" s="50"/>
      <c r="B114" s="51" t="s">
        <v>558</v>
      </c>
      <c r="C114" s="52"/>
      <c r="D114" s="60" t="s">
        <v>398</v>
      </c>
      <c r="E114" s="54">
        <v>2</v>
      </c>
      <c r="F114" s="54">
        <v>409</v>
      </c>
      <c r="G114" s="61" t="str">
        <f t="shared" si="5"/>
        <v>12개월</v>
      </c>
      <c r="H114" s="54">
        <f t="shared" si="6"/>
        <v>68</v>
      </c>
      <c r="I114" s="58"/>
      <c r="J114" s="59"/>
      <c r="K114" s="44">
        <v>12</v>
      </c>
    </row>
    <row r="115" spans="1:11" ht="24" customHeight="1">
      <c r="A115" s="50"/>
      <c r="B115" s="51" t="s">
        <v>559</v>
      </c>
      <c r="C115" s="52"/>
      <c r="D115" s="60" t="s">
        <v>399</v>
      </c>
      <c r="E115" s="54">
        <v>2</v>
      </c>
      <c r="F115" s="54">
        <v>454</v>
      </c>
      <c r="G115" s="61" t="str">
        <f t="shared" si="5"/>
        <v>12개월</v>
      </c>
      <c r="H115" s="54">
        <f t="shared" si="6"/>
        <v>75</v>
      </c>
      <c r="I115" s="58"/>
      <c r="J115" s="59"/>
      <c r="K115" s="44">
        <v>12</v>
      </c>
    </row>
    <row r="116" spans="1:11" ht="24" customHeight="1">
      <c r="A116" s="50"/>
      <c r="B116" s="51" t="s">
        <v>560</v>
      </c>
      <c r="C116" s="52"/>
      <c r="D116" s="60" t="s">
        <v>400</v>
      </c>
      <c r="E116" s="54">
        <v>4</v>
      </c>
      <c r="F116" s="54">
        <v>1672</v>
      </c>
      <c r="G116" s="61" t="str">
        <f t="shared" si="5"/>
        <v>12개월</v>
      </c>
      <c r="H116" s="54">
        <f t="shared" si="6"/>
        <v>557</v>
      </c>
      <c r="I116" s="58"/>
      <c r="J116" s="59"/>
      <c r="K116" s="44">
        <v>12</v>
      </c>
    </row>
    <row r="117" spans="1:11" ht="24" customHeight="1">
      <c r="A117" s="50"/>
      <c r="B117" s="51"/>
      <c r="C117" s="52"/>
      <c r="D117" s="60"/>
      <c r="E117" s="54"/>
      <c r="F117" s="54"/>
      <c r="G117" s="61"/>
      <c r="H117" s="54"/>
      <c r="I117" s="58"/>
      <c r="J117" s="59"/>
    </row>
    <row r="118" spans="1:11" ht="24" customHeight="1">
      <c r="A118" s="46" t="s">
        <v>184</v>
      </c>
      <c r="B118" s="47"/>
      <c r="C118" s="47"/>
      <c r="D118" s="62"/>
      <c r="E118" s="54"/>
      <c r="F118" s="54"/>
      <c r="G118" s="61"/>
      <c r="H118" s="54">
        <f>SUM(H74:H117)</f>
        <v>15601</v>
      </c>
      <c r="I118" s="58"/>
      <c r="J118" s="59"/>
    </row>
    <row r="119" spans="1:11" ht="24.95" customHeight="1">
      <c r="A119" s="50">
        <v>4</v>
      </c>
      <c r="B119" s="51"/>
      <c r="C119" s="52"/>
      <c r="D119" s="60" t="s">
        <v>401</v>
      </c>
      <c r="E119" s="54"/>
      <c r="F119" s="54"/>
      <c r="G119" s="61"/>
      <c r="H119" s="54"/>
      <c r="I119" s="58"/>
      <c r="J119" s="59"/>
    </row>
    <row r="120" spans="1:11" ht="24.95" customHeight="1">
      <c r="A120" s="50"/>
      <c r="B120" s="51" t="s">
        <v>328</v>
      </c>
      <c r="C120" s="52"/>
      <c r="D120" s="60" t="s">
        <v>402</v>
      </c>
      <c r="E120" s="54">
        <v>500</v>
      </c>
      <c r="F120" s="54">
        <v>30</v>
      </c>
      <c r="G120" s="61" t="str">
        <f t="shared" ref="G120:G146" si="7">""&amp;K120&amp;"개월"</f>
        <v>12개월</v>
      </c>
      <c r="H120" s="54">
        <f>TRUNC(E120*F120/K120)</f>
        <v>1250</v>
      </c>
      <c r="I120" s="58"/>
      <c r="J120" s="59"/>
      <c r="K120" s="44">
        <v>12</v>
      </c>
    </row>
    <row r="121" spans="1:11" ht="24.95" customHeight="1">
      <c r="A121" s="50"/>
      <c r="B121" s="51" t="s">
        <v>518</v>
      </c>
      <c r="C121" s="52"/>
      <c r="D121" s="60" t="s">
        <v>403</v>
      </c>
      <c r="E121" s="54">
        <v>100</v>
      </c>
      <c r="F121" s="54">
        <v>220</v>
      </c>
      <c r="G121" s="61" t="str">
        <f t="shared" si="7"/>
        <v>12개월</v>
      </c>
      <c r="H121" s="54">
        <f t="shared" ref="H121:H146" si="8">TRUNC(E121*F121/K121)</f>
        <v>1833</v>
      </c>
      <c r="I121" s="58"/>
      <c r="J121" s="59"/>
      <c r="K121" s="44">
        <v>12</v>
      </c>
    </row>
    <row r="122" spans="1:11" ht="24.95" customHeight="1">
      <c r="A122" s="50"/>
      <c r="B122" s="51" t="s">
        <v>519</v>
      </c>
      <c r="C122" s="52"/>
      <c r="D122" s="60" t="s">
        <v>404</v>
      </c>
      <c r="E122" s="54">
        <v>200</v>
      </c>
      <c r="F122" s="54">
        <v>220</v>
      </c>
      <c r="G122" s="61" t="str">
        <f t="shared" si="7"/>
        <v>12개월</v>
      </c>
      <c r="H122" s="54">
        <f t="shared" si="8"/>
        <v>3666</v>
      </c>
      <c r="I122" s="58"/>
      <c r="J122" s="59"/>
      <c r="K122" s="44">
        <v>12</v>
      </c>
    </row>
    <row r="123" spans="1:11" ht="24.95" customHeight="1">
      <c r="A123" s="50"/>
      <c r="B123" s="51" t="s">
        <v>520</v>
      </c>
      <c r="C123" s="52"/>
      <c r="D123" s="60" t="s">
        <v>405</v>
      </c>
      <c r="E123" s="54">
        <v>1000</v>
      </c>
      <c r="F123" s="54">
        <v>20</v>
      </c>
      <c r="G123" s="61" t="str">
        <f t="shared" si="7"/>
        <v>12개월</v>
      </c>
      <c r="H123" s="54">
        <f t="shared" si="8"/>
        <v>1666</v>
      </c>
      <c r="I123" s="58"/>
      <c r="J123" s="59"/>
      <c r="K123" s="44">
        <v>12</v>
      </c>
    </row>
    <row r="124" spans="1:11" ht="24.95" customHeight="1">
      <c r="A124" s="50"/>
      <c r="B124" s="51" t="s">
        <v>521</v>
      </c>
      <c r="C124" s="52"/>
      <c r="D124" s="60" t="s">
        <v>406</v>
      </c>
      <c r="E124" s="54">
        <v>50</v>
      </c>
      <c r="F124" s="54">
        <v>200</v>
      </c>
      <c r="G124" s="61" t="str">
        <f t="shared" si="7"/>
        <v>12개월</v>
      </c>
      <c r="H124" s="54">
        <f t="shared" si="8"/>
        <v>833</v>
      </c>
      <c r="I124" s="58"/>
      <c r="J124" s="59"/>
      <c r="K124" s="44">
        <v>12</v>
      </c>
    </row>
    <row r="125" spans="1:11" ht="24.95" customHeight="1">
      <c r="A125" s="50"/>
      <c r="B125" s="51" t="s">
        <v>522</v>
      </c>
      <c r="C125" s="52"/>
      <c r="D125" s="60" t="s">
        <v>407</v>
      </c>
      <c r="E125" s="54">
        <v>1000</v>
      </c>
      <c r="F125" s="54">
        <v>390</v>
      </c>
      <c r="G125" s="61" t="str">
        <f t="shared" si="7"/>
        <v>12개월</v>
      </c>
      <c r="H125" s="54">
        <f t="shared" si="8"/>
        <v>32500</v>
      </c>
      <c r="I125" s="58"/>
      <c r="J125" s="59"/>
      <c r="K125" s="44">
        <v>12</v>
      </c>
    </row>
    <row r="126" spans="1:11" ht="24.95" customHeight="1">
      <c r="A126" s="50"/>
      <c r="B126" s="51" t="s">
        <v>523</v>
      </c>
      <c r="C126" s="52"/>
      <c r="D126" s="60" t="s">
        <v>408</v>
      </c>
      <c r="E126" s="54">
        <v>100</v>
      </c>
      <c r="F126" s="54">
        <v>350</v>
      </c>
      <c r="G126" s="61" t="str">
        <f t="shared" si="7"/>
        <v>12개월</v>
      </c>
      <c r="H126" s="54">
        <f t="shared" si="8"/>
        <v>2916</v>
      </c>
      <c r="I126" s="58"/>
      <c r="J126" s="59"/>
      <c r="K126" s="44">
        <v>12</v>
      </c>
    </row>
    <row r="127" spans="1:11" ht="24.95" customHeight="1">
      <c r="A127" s="50"/>
      <c r="B127" s="51" t="s">
        <v>524</v>
      </c>
      <c r="C127" s="52"/>
      <c r="D127" s="60" t="s">
        <v>409</v>
      </c>
      <c r="E127" s="54">
        <v>1000</v>
      </c>
      <c r="F127" s="54">
        <v>70</v>
      </c>
      <c r="G127" s="61" t="str">
        <f t="shared" si="7"/>
        <v>12개월</v>
      </c>
      <c r="H127" s="54">
        <f t="shared" si="8"/>
        <v>5833</v>
      </c>
      <c r="I127" s="58"/>
      <c r="J127" s="59"/>
      <c r="K127" s="44">
        <v>12</v>
      </c>
    </row>
    <row r="128" spans="1:11" ht="24.95" customHeight="1">
      <c r="A128" s="50"/>
      <c r="B128" s="51" t="s">
        <v>525</v>
      </c>
      <c r="C128" s="52"/>
      <c r="D128" s="60" t="s">
        <v>410</v>
      </c>
      <c r="E128" s="54">
        <v>12</v>
      </c>
      <c r="F128" s="54">
        <v>1000</v>
      </c>
      <c r="G128" s="61" t="str">
        <f t="shared" si="7"/>
        <v>12개월</v>
      </c>
      <c r="H128" s="54">
        <f t="shared" si="8"/>
        <v>1000</v>
      </c>
      <c r="I128" s="58"/>
      <c r="J128" s="59"/>
      <c r="K128" s="44">
        <v>12</v>
      </c>
    </row>
    <row r="129" spans="1:11" ht="24.95" customHeight="1">
      <c r="A129" s="50"/>
      <c r="B129" s="51" t="s">
        <v>526</v>
      </c>
      <c r="C129" s="52"/>
      <c r="D129" s="60" t="s">
        <v>411</v>
      </c>
      <c r="E129" s="54">
        <v>50</v>
      </c>
      <c r="F129" s="54">
        <v>400</v>
      </c>
      <c r="G129" s="61" t="str">
        <f t="shared" si="7"/>
        <v>12개월</v>
      </c>
      <c r="H129" s="54">
        <f t="shared" si="8"/>
        <v>1666</v>
      </c>
      <c r="I129" s="58"/>
      <c r="J129" s="59"/>
      <c r="K129" s="44">
        <v>12</v>
      </c>
    </row>
    <row r="130" spans="1:11" ht="24.95" customHeight="1">
      <c r="A130" s="50"/>
      <c r="B130" s="51" t="s">
        <v>527</v>
      </c>
      <c r="C130" s="52"/>
      <c r="D130" s="60" t="s">
        <v>412</v>
      </c>
      <c r="E130" s="54">
        <v>50</v>
      </c>
      <c r="F130" s="54">
        <v>200</v>
      </c>
      <c r="G130" s="61" t="str">
        <f t="shared" si="7"/>
        <v>12개월</v>
      </c>
      <c r="H130" s="54">
        <f t="shared" si="8"/>
        <v>833</v>
      </c>
      <c r="I130" s="58"/>
      <c r="J130" s="59"/>
      <c r="K130" s="44">
        <v>12</v>
      </c>
    </row>
    <row r="131" spans="1:11" ht="24.95" customHeight="1">
      <c r="A131" s="50"/>
      <c r="B131" s="51" t="s">
        <v>528</v>
      </c>
      <c r="C131" s="52"/>
      <c r="D131" s="60" t="s">
        <v>413</v>
      </c>
      <c r="E131" s="54">
        <v>50</v>
      </c>
      <c r="F131" s="54">
        <v>940</v>
      </c>
      <c r="G131" s="61" t="str">
        <f t="shared" si="7"/>
        <v>12개월</v>
      </c>
      <c r="H131" s="54">
        <f t="shared" si="8"/>
        <v>3916</v>
      </c>
      <c r="I131" s="58"/>
      <c r="J131" s="59"/>
      <c r="K131" s="44">
        <v>12</v>
      </c>
    </row>
    <row r="132" spans="1:11" ht="24.95" customHeight="1">
      <c r="A132" s="50"/>
      <c r="B132" s="51" t="s">
        <v>529</v>
      </c>
      <c r="C132" s="52"/>
      <c r="D132" s="60" t="s">
        <v>414</v>
      </c>
      <c r="E132" s="54">
        <v>50</v>
      </c>
      <c r="F132" s="54">
        <v>940</v>
      </c>
      <c r="G132" s="61" t="str">
        <f t="shared" si="7"/>
        <v>12개월</v>
      </c>
      <c r="H132" s="54">
        <f t="shared" si="8"/>
        <v>3916</v>
      </c>
      <c r="I132" s="58"/>
      <c r="J132" s="59"/>
      <c r="K132" s="44">
        <v>12</v>
      </c>
    </row>
    <row r="133" spans="1:11" ht="24.95" customHeight="1">
      <c r="A133" s="50"/>
      <c r="B133" s="51" t="s">
        <v>530</v>
      </c>
      <c r="C133" s="52"/>
      <c r="D133" s="60" t="s">
        <v>415</v>
      </c>
      <c r="E133" s="54">
        <v>50</v>
      </c>
      <c r="F133" s="54">
        <v>200</v>
      </c>
      <c r="G133" s="61" t="str">
        <f t="shared" si="7"/>
        <v>12개월</v>
      </c>
      <c r="H133" s="54">
        <f t="shared" si="8"/>
        <v>833</v>
      </c>
      <c r="I133" s="58"/>
      <c r="J133" s="59"/>
      <c r="K133" s="44">
        <v>12</v>
      </c>
    </row>
    <row r="134" spans="1:11" ht="24.95" customHeight="1">
      <c r="A134" s="50"/>
      <c r="B134" s="51" t="s">
        <v>531</v>
      </c>
      <c r="C134" s="52"/>
      <c r="D134" s="60" t="s">
        <v>416</v>
      </c>
      <c r="E134" s="54">
        <v>50</v>
      </c>
      <c r="F134" s="54">
        <v>200</v>
      </c>
      <c r="G134" s="61" t="str">
        <f t="shared" si="7"/>
        <v>12개월</v>
      </c>
      <c r="H134" s="54">
        <f t="shared" si="8"/>
        <v>833</v>
      </c>
      <c r="I134" s="58"/>
      <c r="J134" s="59"/>
      <c r="K134" s="44">
        <v>12</v>
      </c>
    </row>
    <row r="135" spans="1:11" ht="24.95" customHeight="1">
      <c r="A135" s="50"/>
      <c r="B135" s="51" t="s">
        <v>532</v>
      </c>
      <c r="C135" s="52"/>
      <c r="D135" s="60" t="s">
        <v>417</v>
      </c>
      <c r="E135" s="54">
        <v>50</v>
      </c>
      <c r="F135" s="54">
        <v>350</v>
      </c>
      <c r="G135" s="61" t="str">
        <f t="shared" si="7"/>
        <v>12개월</v>
      </c>
      <c r="H135" s="54">
        <f t="shared" si="8"/>
        <v>1458</v>
      </c>
      <c r="I135" s="58"/>
      <c r="J135" s="59"/>
      <c r="K135" s="44">
        <v>12</v>
      </c>
    </row>
    <row r="136" spans="1:11" ht="24.95" customHeight="1">
      <c r="A136" s="50"/>
      <c r="B136" s="51" t="s">
        <v>533</v>
      </c>
      <c r="C136" s="52"/>
      <c r="D136" s="60" t="s">
        <v>418</v>
      </c>
      <c r="E136" s="54">
        <v>20</v>
      </c>
      <c r="F136" s="54">
        <v>1210</v>
      </c>
      <c r="G136" s="61" t="str">
        <f t="shared" si="7"/>
        <v>12개월</v>
      </c>
      <c r="H136" s="54">
        <f t="shared" si="8"/>
        <v>2016</v>
      </c>
      <c r="I136" s="58"/>
      <c r="J136" s="59"/>
      <c r="K136" s="44">
        <v>12</v>
      </c>
    </row>
    <row r="137" spans="1:11" ht="24.95" customHeight="1">
      <c r="A137" s="50"/>
      <c r="B137" s="51" t="s">
        <v>336</v>
      </c>
      <c r="C137" s="52"/>
      <c r="D137" s="60" t="s">
        <v>564</v>
      </c>
      <c r="E137" s="54">
        <v>20</v>
      </c>
      <c r="F137" s="54">
        <v>1210</v>
      </c>
      <c r="G137" s="61" t="str">
        <f t="shared" si="7"/>
        <v>12개월</v>
      </c>
      <c r="H137" s="54">
        <f>TRUNC(E137*F137/K137)</f>
        <v>2016</v>
      </c>
      <c r="I137" s="58"/>
      <c r="J137" s="59"/>
      <c r="K137" s="44">
        <v>12</v>
      </c>
    </row>
    <row r="138" spans="1:11" ht="24.95" customHeight="1">
      <c r="A138" s="50"/>
      <c r="B138" s="51" t="s">
        <v>337</v>
      </c>
      <c r="C138" s="52"/>
      <c r="D138" s="60" t="s">
        <v>419</v>
      </c>
      <c r="E138" s="54">
        <v>5</v>
      </c>
      <c r="F138" s="54">
        <v>1210</v>
      </c>
      <c r="G138" s="61" t="str">
        <f t="shared" si="7"/>
        <v>12개월</v>
      </c>
      <c r="H138" s="54">
        <f t="shared" si="8"/>
        <v>504</v>
      </c>
      <c r="I138" s="58"/>
      <c r="J138" s="59"/>
      <c r="K138" s="44">
        <v>12</v>
      </c>
    </row>
    <row r="139" spans="1:11" ht="24.95" customHeight="1">
      <c r="A139" s="50"/>
      <c r="B139" s="51" t="s">
        <v>338</v>
      </c>
      <c r="C139" s="52"/>
      <c r="D139" s="60" t="s">
        <v>420</v>
      </c>
      <c r="E139" s="54">
        <v>10</v>
      </c>
      <c r="F139" s="54">
        <v>1210</v>
      </c>
      <c r="G139" s="61" t="str">
        <f t="shared" si="7"/>
        <v>12개월</v>
      </c>
      <c r="H139" s="54">
        <f t="shared" si="8"/>
        <v>1008</v>
      </c>
      <c r="I139" s="58"/>
      <c r="J139" s="59"/>
      <c r="K139" s="44">
        <v>12</v>
      </c>
    </row>
    <row r="140" spans="1:11" ht="24.95" customHeight="1">
      <c r="A140" s="50"/>
      <c r="B140" s="51" t="s">
        <v>339</v>
      </c>
      <c r="C140" s="52"/>
      <c r="D140" s="60" t="s">
        <v>421</v>
      </c>
      <c r="E140" s="54">
        <v>5</v>
      </c>
      <c r="F140" s="54">
        <v>1210</v>
      </c>
      <c r="G140" s="61" t="str">
        <f t="shared" si="7"/>
        <v>12개월</v>
      </c>
      <c r="H140" s="54">
        <f t="shared" si="8"/>
        <v>504</v>
      </c>
      <c r="I140" s="58"/>
      <c r="J140" s="59"/>
      <c r="K140" s="44">
        <v>12</v>
      </c>
    </row>
    <row r="141" spans="1:11" ht="24.95" customHeight="1">
      <c r="A141" s="50"/>
      <c r="B141" s="51" t="s">
        <v>340</v>
      </c>
      <c r="C141" s="52"/>
      <c r="D141" s="60" t="s">
        <v>422</v>
      </c>
      <c r="E141" s="54">
        <v>15</v>
      </c>
      <c r="F141" s="54">
        <v>1210</v>
      </c>
      <c r="G141" s="61" t="str">
        <f t="shared" si="7"/>
        <v>12개월</v>
      </c>
      <c r="H141" s="54">
        <f t="shared" si="8"/>
        <v>1512</v>
      </c>
      <c r="I141" s="58"/>
      <c r="J141" s="59"/>
      <c r="K141" s="44">
        <v>12</v>
      </c>
    </row>
    <row r="142" spans="1:11" ht="24.95" customHeight="1">
      <c r="A142" s="50"/>
      <c r="B142" s="51" t="s">
        <v>341</v>
      </c>
      <c r="C142" s="52"/>
      <c r="D142" s="60" t="s">
        <v>423</v>
      </c>
      <c r="E142" s="54">
        <v>50</v>
      </c>
      <c r="F142" s="54">
        <v>350</v>
      </c>
      <c r="G142" s="61" t="str">
        <f t="shared" si="7"/>
        <v>12개월</v>
      </c>
      <c r="H142" s="54">
        <f t="shared" si="8"/>
        <v>1458</v>
      </c>
      <c r="I142" s="58"/>
      <c r="J142" s="59"/>
      <c r="K142" s="44">
        <v>12</v>
      </c>
    </row>
    <row r="143" spans="1:11" ht="24.95" customHeight="1">
      <c r="A143" s="50"/>
      <c r="B143" s="51" t="s">
        <v>342</v>
      </c>
      <c r="C143" s="52"/>
      <c r="D143" s="60" t="s">
        <v>424</v>
      </c>
      <c r="E143" s="54">
        <v>50</v>
      </c>
      <c r="F143" s="54">
        <v>350</v>
      </c>
      <c r="G143" s="61" t="str">
        <f t="shared" si="7"/>
        <v>12개월</v>
      </c>
      <c r="H143" s="54">
        <f t="shared" si="8"/>
        <v>1458</v>
      </c>
      <c r="I143" s="58"/>
      <c r="J143" s="59"/>
      <c r="K143" s="44">
        <v>12</v>
      </c>
    </row>
    <row r="144" spans="1:11" ht="24.95" customHeight="1">
      <c r="A144" s="50"/>
      <c r="B144" s="51" t="s">
        <v>343</v>
      </c>
      <c r="C144" s="52"/>
      <c r="D144" s="60" t="s">
        <v>425</v>
      </c>
      <c r="E144" s="54">
        <v>50</v>
      </c>
      <c r="F144" s="54">
        <v>350</v>
      </c>
      <c r="G144" s="61" t="str">
        <f t="shared" si="7"/>
        <v>12개월</v>
      </c>
      <c r="H144" s="54">
        <f t="shared" si="8"/>
        <v>1458</v>
      </c>
      <c r="I144" s="58"/>
      <c r="J144" s="59"/>
      <c r="K144" s="44">
        <v>12</v>
      </c>
    </row>
    <row r="145" spans="1:11" ht="24.95" customHeight="1">
      <c r="A145" s="50"/>
      <c r="B145" s="51" t="s">
        <v>344</v>
      </c>
      <c r="C145" s="52"/>
      <c r="D145" s="60" t="s">
        <v>426</v>
      </c>
      <c r="E145" s="54">
        <v>50</v>
      </c>
      <c r="F145" s="54">
        <v>450</v>
      </c>
      <c r="G145" s="61" t="str">
        <f t="shared" si="7"/>
        <v>12개월</v>
      </c>
      <c r="H145" s="54">
        <f t="shared" si="8"/>
        <v>1875</v>
      </c>
      <c r="I145" s="58"/>
      <c r="J145" s="59"/>
      <c r="K145" s="44">
        <v>12</v>
      </c>
    </row>
    <row r="146" spans="1:11" ht="24.95" customHeight="1">
      <c r="A146" s="50"/>
      <c r="B146" s="51" t="s">
        <v>345</v>
      </c>
      <c r="C146" s="52"/>
      <c r="D146" s="60" t="s">
        <v>427</v>
      </c>
      <c r="E146" s="54">
        <v>50</v>
      </c>
      <c r="F146" s="54">
        <v>450</v>
      </c>
      <c r="G146" s="61" t="str">
        <f t="shared" si="7"/>
        <v>12개월</v>
      </c>
      <c r="H146" s="54">
        <f t="shared" si="8"/>
        <v>1875</v>
      </c>
      <c r="I146" s="58"/>
      <c r="J146" s="59"/>
      <c r="K146" s="44">
        <v>12</v>
      </c>
    </row>
    <row r="147" spans="1:11" ht="24.95" customHeight="1">
      <c r="A147" s="50"/>
      <c r="B147" s="51"/>
      <c r="C147" s="52"/>
      <c r="D147" s="60"/>
      <c r="E147" s="54"/>
      <c r="F147" s="54"/>
      <c r="G147" s="61"/>
      <c r="H147" s="54"/>
      <c r="I147" s="58"/>
      <c r="J147" s="59"/>
    </row>
    <row r="148" spans="1:11" ht="24.95" customHeight="1">
      <c r="A148" s="50"/>
      <c r="B148" s="51"/>
      <c r="C148" s="52"/>
      <c r="D148" s="60"/>
      <c r="E148" s="54"/>
      <c r="F148" s="54"/>
      <c r="G148" s="61"/>
      <c r="H148" s="54"/>
      <c r="I148" s="58"/>
      <c r="J148" s="59"/>
    </row>
    <row r="149" spans="1:11" ht="24.95" customHeight="1">
      <c r="A149" s="46" t="s">
        <v>184</v>
      </c>
      <c r="B149" s="47"/>
      <c r="C149" s="47"/>
      <c r="D149" s="62"/>
      <c r="E149" s="54"/>
      <c r="F149" s="54"/>
      <c r="G149" s="61"/>
      <c r="H149" s="54">
        <f>SUM(H120:H148)</f>
        <v>80636</v>
      </c>
      <c r="I149" s="58"/>
      <c r="J149" s="59"/>
    </row>
    <row r="150" spans="1:11" ht="24.95" customHeight="1">
      <c r="A150" s="50">
        <v>5</v>
      </c>
      <c r="B150" s="51"/>
      <c r="C150" s="52"/>
      <c r="D150" s="60" t="s">
        <v>428</v>
      </c>
      <c r="E150" s="54"/>
      <c r="F150" s="54"/>
      <c r="G150" s="61"/>
      <c r="H150" s="54"/>
      <c r="I150" s="58"/>
      <c r="J150" s="59"/>
    </row>
    <row r="151" spans="1:11" ht="24.95" customHeight="1">
      <c r="A151" s="50"/>
      <c r="B151" s="51" t="s">
        <v>328</v>
      </c>
      <c r="C151" s="52"/>
      <c r="D151" s="60" t="s">
        <v>429</v>
      </c>
      <c r="E151" s="54">
        <v>1</v>
      </c>
      <c r="F151" s="54">
        <v>30000</v>
      </c>
      <c r="G151" s="61" t="str">
        <f t="shared" ref="G151:G158" si="9">""&amp;K151&amp;"개월"</f>
        <v>60개월</v>
      </c>
      <c r="H151" s="54">
        <f>TRUNC(E151*F151/K151)</f>
        <v>500</v>
      </c>
      <c r="I151" s="58"/>
      <c r="J151" s="59"/>
      <c r="K151" s="44">
        <v>60</v>
      </c>
    </row>
    <row r="152" spans="1:11" ht="24.95" customHeight="1">
      <c r="A152" s="50"/>
      <c r="B152" s="51" t="s">
        <v>518</v>
      </c>
      <c r="C152" s="52"/>
      <c r="D152" s="60" t="s">
        <v>430</v>
      </c>
      <c r="E152" s="54">
        <v>1</v>
      </c>
      <c r="F152" s="54">
        <v>30000</v>
      </c>
      <c r="G152" s="61" t="str">
        <f t="shared" si="9"/>
        <v>60개월</v>
      </c>
      <c r="H152" s="54">
        <f t="shared" ref="H152:H158" si="10">TRUNC(E152*F152/K152)</f>
        <v>500</v>
      </c>
      <c r="I152" s="58"/>
      <c r="J152" s="59"/>
      <c r="K152" s="44">
        <v>60</v>
      </c>
    </row>
    <row r="153" spans="1:11" ht="24.95" customHeight="1">
      <c r="A153" s="50"/>
      <c r="B153" s="51" t="s">
        <v>519</v>
      </c>
      <c r="C153" s="52"/>
      <c r="D153" s="60" t="s">
        <v>431</v>
      </c>
      <c r="E153" s="54">
        <v>1</v>
      </c>
      <c r="F153" s="54">
        <v>15000</v>
      </c>
      <c r="G153" s="61" t="str">
        <f t="shared" si="9"/>
        <v>60개월</v>
      </c>
      <c r="H153" s="54">
        <f t="shared" si="10"/>
        <v>250</v>
      </c>
      <c r="I153" s="58"/>
      <c r="J153" s="59"/>
      <c r="K153" s="44">
        <v>60</v>
      </c>
    </row>
    <row r="154" spans="1:11" ht="24.95" customHeight="1">
      <c r="A154" s="50"/>
      <c r="B154" s="51" t="s">
        <v>520</v>
      </c>
      <c r="C154" s="52"/>
      <c r="D154" s="60" t="s">
        <v>432</v>
      </c>
      <c r="E154" s="54">
        <v>5</v>
      </c>
      <c r="F154" s="54">
        <v>500</v>
      </c>
      <c r="G154" s="61" t="str">
        <f t="shared" si="9"/>
        <v>60개월</v>
      </c>
      <c r="H154" s="54">
        <f t="shared" si="10"/>
        <v>41</v>
      </c>
      <c r="I154" s="58"/>
      <c r="J154" s="59"/>
      <c r="K154" s="44">
        <v>60</v>
      </c>
    </row>
    <row r="155" spans="1:11" ht="24.95" customHeight="1">
      <c r="A155" s="50"/>
      <c r="B155" s="51" t="s">
        <v>521</v>
      </c>
      <c r="C155" s="52"/>
      <c r="D155" s="60" t="s">
        <v>433</v>
      </c>
      <c r="E155" s="54">
        <v>1</v>
      </c>
      <c r="F155" s="54">
        <v>2000</v>
      </c>
      <c r="G155" s="61" t="str">
        <f t="shared" si="9"/>
        <v>60개월</v>
      </c>
      <c r="H155" s="54">
        <f t="shared" si="10"/>
        <v>33</v>
      </c>
      <c r="I155" s="58"/>
      <c r="J155" s="59"/>
      <c r="K155" s="44">
        <v>60</v>
      </c>
    </row>
    <row r="156" spans="1:11" ht="24.95" customHeight="1">
      <c r="A156" s="50"/>
      <c r="B156" s="51" t="s">
        <v>522</v>
      </c>
      <c r="C156" s="52"/>
      <c r="D156" s="60" t="s">
        <v>434</v>
      </c>
      <c r="E156" s="54">
        <v>1</v>
      </c>
      <c r="F156" s="54">
        <v>3000</v>
      </c>
      <c r="G156" s="61" t="str">
        <f t="shared" si="9"/>
        <v>60개월</v>
      </c>
      <c r="H156" s="54">
        <f t="shared" si="10"/>
        <v>50</v>
      </c>
      <c r="I156" s="58"/>
      <c r="J156" s="59"/>
      <c r="K156" s="44">
        <v>60</v>
      </c>
    </row>
    <row r="157" spans="1:11" ht="24.95" customHeight="1">
      <c r="A157" s="50"/>
      <c r="B157" s="51" t="s">
        <v>523</v>
      </c>
      <c r="C157" s="52"/>
      <c r="D157" s="60" t="s">
        <v>435</v>
      </c>
      <c r="E157" s="54">
        <v>1</v>
      </c>
      <c r="F157" s="54">
        <v>2000</v>
      </c>
      <c r="G157" s="61" t="str">
        <f t="shared" si="9"/>
        <v>60개월</v>
      </c>
      <c r="H157" s="54">
        <f t="shared" si="10"/>
        <v>33</v>
      </c>
      <c r="I157" s="58"/>
      <c r="J157" s="59"/>
      <c r="K157" s="44">
        <v>60</v>
      </c>
    </row>
    <row r="158" spans="1:11" ht="24.95" customHeight="1">
      <c r="A158" s="50"/>
      <c r="B158" s="51" t="s">
        <v>524</v>
      </c>
      <c r="C158" s="52"/>
      <c r="D158" s="60" t="s">
        <v>436</v>
      </c>
      <c r="E158" s="54">
        <v>1</v>
      </c>
      <c r="F158" s="54">
        <v>9000</v>
      </c>
      <c r="G158" s="61" t="str">
        <f t="shared" si="9"/>
        <v>60개월</v>
      </c>
      <c r="H158" s="54">
        <f t="shared" si="10"/>
        <v>150</v>
      </c>
      <c r="I158" s="58"/>
      <c r="J158" s="59"/>
      <c r="K158" s="44">
        <v>60</v>
      </c>
    </row>
    <row r="159" spans="1:11" ht="24.95" customHeight="1">
      <c r="A159" s="50"/>
      <c r="B159" s="51"/>
      <c r="C159" s="52"/>
      <c r="D159" s="60"/>
      <c r="E159" s="54"/>
      <c r="F159" s="54"/>
      <c r="G159" s="61"/>
      <c r="H159" s="54"/>
      <c r="I159" s="58"/>
      <c r="J159" s="59"/>
    </row>
    <row r="160" spans="1:11" ht="24.95" customHeight="1">
      <c r="A160" s="50"/>
      <c r="B160" s="51"/>
      <c r="C160" s="52"/>
      <c r="D160" s="60"/>
      <c r="E160" s="54"/>
      <c r="F160" s="54"/>
      <c r="G160" s="61"/>
      <c r="H160" s="54"/>
      <c r="I160" s="58"/>
      <c r="J160" s="59"/>
    </row>
    <row r="161" spans="1:10" ht="24.95" customHeight="1">
      <c r="A161" s="50"/>
      <c r="B161" s="51"/>
      <c r="C161" s="52"/>
      <c r="D161" s="60"/>
      <c r="E161" s="54"/>
      <c r="F161" s="54"/>
      <c r="G161" s="61"/>
      <c r="H161" s="54"/>
      <c r="I161" s="58"/>
      <c r="J161" s="59"/>
    </row>
    <row r="162" spans="1:10" ht="24.95" customHeight="1">
      <c r="A162" s="46" t="s">
        <v>184</v>
      </c>
      <c r="B162" s="47"/>
      <c r="C162" s="47"/>
      <c r="D162" s="62"/>
      <c r="E162" s="54"/>
      <c r="F162" s="54"/>
      <c r="G162" s="61"/>
      <c r="H162" s="54">
        <f>SUM(H151:H161)</f>
        <v>1557</v>
      </c>
      <c r="I162" s="58"/>
      <c r="J162" s="59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/>
  <dimension ref="A1:K139"/>
  <sheetViews>
    <sheetView showGridLines="0" showZeros="0" view="pageBreakPreview" zoomScaleNormal="100" workbookViewId="0">
      <selection activeCell="D8" sqref="D8"/>
    </sheetView>
  </sheetViews>
  <sheetFormatPr defaultRowHeight="12"/>
  <cols>
    <col min="1" max="2" width="4.7109375" style="44" customWidth="1"/>
    <col min="3" max="3" width="0.85546875" style="44" customWidth="1"/>
    <col min="4" max="4" width="20.7109375" style="45" customWidth="1"/>
    <col min="5" max="5" width="9.7109375" style="44" customWidth="1"/>
    <col min="6" max="6" width="11.7109375" style="44" customWidth="1"/>
    <col min="7" max="7" width="10.7109375" style="44" customWidth="1"/>
    <col min="8" max="8" width="13.7109375" style="44" customWidth="1"/>
    <col min="9" max="9" width="0.85546875" style="44" customWidth="1"/>
    <col min="10" max="10" width="17.5703125" style="45" customWidth="1"/>
    <col min="11" max="16384" width="9.140625" style="44"/>
  </cols>
  <sheetData>
    <row r="1" spans="1:11" ht="20.100000000000001" customHeight="1">
      <c r="A1" s="44" t="s">
        <v>751</v>
      </c>
    </row>
    <row r="2" spans="1:11" ht="39.950000000000003" customHeight="1">
      <c r="A2" s="57" t="s">
        <v>631</v>
      </c>
      <c r="B2" s="55"/>
      <c r="C2" s="55"/>
      <c r="D2" s="56"/>
      <c r="E2" s="55"/>
      <c r="F2" s="55"/>
      <c r="G2" s="55"/>
      <c r="H2" s="55"/>
      <c r="I2" s="55"/>
      <c r="J2" s="56"/>
    </row>
    <row r="3" spans="1:11" ht="20.100000000000001" customHeight="1"/>
    <row r="4" spans="1:11" ht="20.100000000000001" customHeight="1">
      <c r="J4" s="75" t="s">
        <v>658</v>
      </c>
    </row>
    <row r="5" spans="1:11" ht="39.950000000000003" customHeight="1">
      <c r="A5" s="46" t="s">
        <v>290</v>
      </c>
      <c r="B5" s="47"/>
      <c r="C5" s="47" t="s">
        <v>291</v>
      </c>
      <c r="D5" s="48"/>
      <c r="E5" s="46" t="s">
        <v>292</v>
      </c>
      <c r="F5" s="46" t="s">
        <v>294</v>
      </c>
      <c r="G5" s="49" t="s">
        <v>632</v>
      </c>
      <c r="H5" s="46" t="s">
        <v>293</v>
      </c>
      <c r="I5" s="47" t="s">
        <v>565</v>
      </c>
      <c r="J5" s="48"/>
    </row>
    <row r="6" spans="1:11" ht="23.1" customHeight="1">
      <c r="A6" s="46"/>
      <c r="B6" s="47"/>
      <c r="C6" s="47"/>
      <c r="D6" s="48"/>
      <c r="E6" s="50" t="s">
        <v>260</v>
      </c>
      <c r="F6" s="50" t="s">
        <v>1</v>
      </c>
      <c r="G6" s="63" t="s">
        <v>230</v>
      </c>
      <c r="H6" s="50" t="s">
        <v>633</v>
      </c>
      <c r="I6" s="51"/>
      <c r="J6" s="64"/>
    </row>
    <row r="7" spans="1:11" ht="23.1" customHeight="1">
      <c r="A7" s="50">
        <v>1</v>
      </c>
      <c r="B7" s="51"/>
      <c r="C7" s="52"/>
      <c r="D7" s="60" t="s">
        <v>648</v>
      </c>
      <c r="E7" s="54"/>
      <c r="F7" s="54"/>
      <c r="G7" s="61"/>
      <c r="H7" s="54"/>
      <c r="I7" s="58"/>
      <c r="J7" s="59"/>
    </row>
    <row r="8" spans="1:11" ht="23.1" customHeight="1">
      <c r="A8" s="50"/>
      <c r="B8" s="51" t="s">
        <v>328</v>
      </c>
      <c r="C8" s="52"/>
      <c r="D8" s="60" t="s">
        <v>437</v>
      </c>
      <c r="E8" s="54">
        <v>1</v>
      </c>
      <c r="F8" s="54">
        <v>80000</v>
      </c>
      <c r="G8" s="61" t="str">
        <f t="shared" ref="G8:G23" si="0">""&amp;K8&amp;"개월"</f>
        <v>60개월</v>
      </c>
      <c r="H8" s="54">
        <f t="shared" ref="H8:H23" si="1">TRUNC(E8*F8/K8)</f>
        <v>1333</v>
      </c>
      <c r="I8" s="58"/>
      <c r="J8" s="59"/>
      <c r="K8" s="44">
        <v>60</v>
      </c>
    </row>
    <row r="9" spans="1:11" ht="23.1" customHeight="1">
      <c r="A9" s="50"/>
      <c r="B9" s="51" t="s">
        <v>566</v>
      </c>
      <c r="C9" s="52"/>
      <c r="D9" s="60" t="s">
        <v>438</v>
      </c>
      <c r="E9" s="54">
        <v>4</v>
      </c>
      <c r="F9" s="54">
        <v>70000</v>
      </c>
      <c r="G9" s="61" t="str">
        <f t="shared" si="0"/>
        <v>60개월</v>
      </c>
      <c r="H9" s="54">
        <f t="shared" si="1"/>
        <v>4666</v>
      </c>
      <c r="I9" s="58"/>
      <c r="J9" s="59"/>
      <c r="K9" s="44">
        <v>60</v>
      </c>
    </row>
    <row r="10" spans="1:11" ht="23.1" customHeight="1">
      <c r="A10" s="50"/>
      <c r="B10" s="51" t="s">
        <v>566</v>
      </c>
      <c r="C10" s="52"/>
      <c r="D10" s="60" t="s">
        <v>438</v>
      </c>
      <c r="E10" s="54">
        <v>4</v>
      </c>
      <c r="F10" s="54">
        <v>55000</v>
      </c>
      <c r="G10" s="61" t="str">
        <f t="shared" si="0"/>
        <v>60개월</v>
      </c>
      <c r="H10" s="54">
        <f t="shared" si="1"/>
        <v>3666</v>
      </c>
      <c r="I10" s="58"/>
      <c r="J10" s="59"/>
      <c r="K10" s="44">
        <v>60</v>
      </c>
    </row>
    <row r="11" spans="1:11" ht="23.1" customHeight="1">
      <c r="A11" s="50"/>
      <c r="B11" s="51" t="s">
        <v>567</v>
      </c>
      <c r="C11" s="52"/>
      <c r="D11" s="60" t="s">
        <v>439</v>
      </c>
      <c r="E11" s="54">
        <v>4</v>
      </c>
      <c r="F11" s="54">
        <v>70000</v>
      </c>
      <c r="G11" s="61" t="str">
        <f t="shared" si="0"/>
        <v>60개월</v>
      </c>
      <c r="H11" s="54">
        <f t="shared" si="1"/>
        <v>4666</v>
      </c>
      <c r="I11" s="58"/>
      <c r="J11" s="59"/>
      <c r="K11" s="44">
        <v>60</v>
      </c>
    </row>
    <row r="12" spans="1:11" ht="23.1" customHeight="1">
      <c r="A12" s="50"/>
      <c r="B12" s="51" t="s">
        <v>568</v>
      </c>
      <c r="C12" s="52"/>
      <c r="D12" s="60" t="s">
        <v>440</v>
      </c>
      <c r="E12" s="54">
        <v>1</v>
      </c>
      <c r="F12" s="54">
        <v>40000</v>
      </c>
      <c r="G12" s="61" t="str">
        <f t="shared" si="0"/>
        <v>60개월</v>
      </c>
      <c r="H12" s="54">
        <f t="shared" si="1"/>
        <v>666</v>
      </c>
      <c r="I12" s="58"/>
      <c r="J12" s="59"/>
      <c r="K12" s="44">
        <v>60</v>
      </c>
    </row>
    <row r="13" spans="1:11" ht="23.1" customHeight="1">
      <c r="A13" s="50"/>
      <c r="B13" s="51" t="s">
        <v>569</v>
      </c>
      <c r="C13" s="52"/>
      <c r="D13" s="60" t="s">
        <v>441</v>
      </c>
      <c r="E13" s="54">
        <v>5</v>
      </c>
      <c r="F13" s="54">
        <v>20000</v>
      </c>
      <c r="G13" s="61" t="str">
        <f t="shared" si="0"/>
        <v>60개월</v>
      </c>
      <c r="H13" s="54">
        <f t="shared" si="1"/>
        <v>1666</v>
      </c>
      <c r="I13" s="58"/>
      <c r="J13" s="59"/>
      <c r="K13" s="44">
        <v>60</v>
      </c>
    </row>
    <row r="14" spans="1:11" ht="23.1" customHeight="1">
      <c r="A14" s="50"/>
      <c r="B14" s="51" t="s">
        <v>570</v>
      </c>
      <c r="C14" s="52"/>
      <c r="D14" s="60" t="s">
        <v>442</v>
      </c>
      <c r="E14" s="54">
        <v>3</v>
      </c>
      <c r="F14" s="54">
        <v>20000</v>
      </c>
      <c r="G14" s="61" t="str">
        <f t="shared" si="0"/>
        <v>60개월</v>
      </c>
      <c r="H14" s="54">
        <f t="shared" si="1"/>
        <v>1000</v>
      </c>
      <c r="I14" s="58"/>
      <c r="J14" s="59"/>
      <c r="K14" s="44">
        <v>60</v>
      </c>
    </row>
    <row r="15" spans="1:11" ht="23.1" customHeight="1">
      <c r="A15" s="50"/>
      <c r="B15" s="51" t="s">
        <v>571</v>
      </c>
      <c r="C15" s="52"/>
      <c r="D15" s="60" t="s">
        <v>443</v>
      </c>
      <c r="E15" s="54">
        <v>1</v>
      </c>
      <c r="F15" s="54">
        <v>35000</v>
      </c>
      <c r="G15" s="61" t="str">
        <f t="shared" si="0"/>
        <v>60개월</v>
      </c>
      <c r="H15" s="54">
        <f t="shared" si="1"/>
        <v>583</v>
      </c>
      <c r="I15" s="58"/>
      <c r="J15" s="59"/>
      <c r="K15" s="44">
        <v>60</v>
      </c>
    </row>
    <row r="16" spans="1:11" ht="23.1" customHeight="1">
      <c r="A16" s="50"/>
      <c r="B16" s="51" t="s">
        <v>572</v>
      </c>
      <c r="C16" s="52"/>
      <c r="D16" s="60" t="s">
        <v>444</v>
      </c>
      <c r="E16" s="54">
        <v>1</v>
      </c>
      <c r="F16" s="54">
        <v>20000</v>
      </c>
      <c r="G16" s="61" t="str">
        <f t="shared" si="0"/>
        <v>60개월</v>
      </c>
      <c r="H16" s="54">
        <f t="shared" si="1"/>
        <v>333</v>
      </c>
      <c r="I16" s="58"/>
      <c r="J16" s="59"/>
      <c r="K16" s="44">
        <v>60</v>
      </c>
    </row>
    <row r="17" spans="1:11" ht="23.1" customHeight="1">
      <c r="A17" s="50"/>
      <c r="B17" s="51" t="s">
        <v>573</v>
      </c>
      <c r="C17" s="52"/>
      <c r="D17" s="60" t="s">
        <v>445</v>
      </c>
      <c r="E17" s="54">
        <v>1</v>
      </c>
      <c r="F17" s="54">
        <v>2400</v>
      </c>
      <c r="G17" s="61" t="str">
        <f t="shared" si="0"/>
        <v>60개월</v>
      </c>
      <c r="H17" s="54">
        <f t="shared" si="1"/>
        <v>40</v>
      </c>
      <c r="I17" s="58"/>
      <c r="J17" s="59"/>
      <c r="K17" s="44">
        <v>60</v>
      </c>
    </row>
    <row r="18" spans="1:11" ht="23.1" customHeight="1">
      <c r="A18" s="50"/>
      <c r="B18" s="51" t="s">
        <v>574</v>
      </c>
      <c r="C18" s="52"/>
      <c r="D18" s="60" t="s">
        <v>446</v>
      </c>
      <c r="E18" s="54">
        <v>1</v>
      </c>
      <c r="F18" s="54">
        <v>25000</v>
      </c>
      <c r="G18" s="61" t="str">
        <f t="shared" si="0"/>
        <v>60개월</v>
      </c>
      <c r="H18" s="54">
        <f t="shared" si="1"/>
        <v>416</v>
      </c>
      <c r="I18" s="58"/>
      <c r="J18" s="59"/>
      <c r="K18" s="44">
        <v>60</v>
      </c>
    </row>
    <row r="19" spans="1:11" ht="23.1" customHeight="1">
      <c r="A19" s="50"/>
      <c r="B19" s="51" t="s">
        <v>575</v>
      </c>
      <c r="C19" s="52"/>
      <c r="D19" s="60" t="s">
        <v>447</v>
      </c>
      <c r="E19" s="54">
        <v>1</v>
      </c>
      <c r="F19" s="54">
        <v>30000</v>
      </c>
      <c r="G19" s="61" t="str">
        <f t="shared" si="0"/>
        <v>60개월</v>
      </c>
      <c r="H19" s="54">
        <f t="shared" si="1"/>
        <v>500</v>
      </c>
      <c r="I19" s="58"/>
      <c r="J19" s="59"/>
      <c r="K19" s="44">
        <v>60</v>
      </c>
    </row>
    <row r="20" spans="1:11" ht="23.1" customHeight="1">
      <c r="A20" s="50"/>
      <c r="B20" s="51" t="s">
        <v>576</v>
      </c>
      <c r="C20" s="52"/>
      <c r="D20" s="60" t="s">
        <v>448</v>
      </c>
      <c r="E20" s="54">
        <v>1</v>
      </c>
      <c r="F20" s="54">
        <v>1800000</v>
      </c>
      <c r="G20" s="61" t="str">
        <f t="shared" si="0"/>
        <v>60개월</v>
      </c>
      <c r="H20" s="54">
        <f t="shared" si="1"/>
        <v>30000</v>
      </c>
      <c r="I20" s="58"/>
      <c r="J20" s="59"/>
      <c r="K20" s="44">
        <v>60</v>
      </c>
    </row>
    <row r="21" spans="1:11" ht="23.1" customHeight="1">
      <c r="A21" s="50"/>
      <c r="B21" s="51" t="s">
        <v>577</v>
      </c>
      <c r="C21" s="52"/>
      <c r="D21" s="60" t="s">
        <v>449</v>
      </c>
      <c r="E21" s="54">
        <v>5</v>
      </c>
      <c r="F21" s="54">
        <v>3500</v>
      </c>
      <c r="G21" s="61" t="str">
        <f t="shared" si="0"/>
        <v>60개월</v>
      </c>
      <c r="H21" s="54">
        <f t="shared" si="1"/>
        <v>291</v>
      </c>
      <c r="I21" s="58"/>
      <c r="J21" s="59"/>
      <c r="K21" s="44">
        <v>60</v>
      </c>
    </row>
    <row r="22" spans="1:11" ht="23.1" customHeight="1">
      <c r="A22" s="50"/>
      <c r="B22" s="51" t="s">
        <v>578</v>
      </c>
      <c r="C22" s="52"/>
      <c r="D22" s="60" t="s">
        <v>450</v>
      </c>
      <c r="E22" s="54">
        <v>7</v>
      </c>
      <c r="F22" s="54">
        <v>7000</v>
      </c>
      <c r="G22" s="61" t="str">
        <f t="shared" si="0"/>
        <v>60개월</v>
      </c>
      <c r="H22" s="54">
        <f t="shared" si="1"/>
        <v>816</v>
      </c>
      <c r="I22" s="58"/>
      <c r="J22" s="59"/>
      <c r="K22" s="44">
        <v>60</v>
      </c>
    </row>
    <row r="23" spans="1:11" ht="23.1" customHeight="1">
      <c r="A23" s="50"/>
      <c r="B23" s="51" t="s">
        <v>579</v>
      </c>
      <c r="C23" s="52"/>
      <c r="D23" s="60" t="s">
        <v>451</v>
      </c>
      <c r="E23" s="54">
        <v>1</v>
      </c>
      <c r="F23" s="54">
        <v>250000</v>
      </c>
      <c r="G23" s="61" t="str">
        <f t="shared" si="0"/>
        <v>60개월</v>
      </c>
      <c r="H23" s="54">
        <f t="shared" si="1"/>
        <v>4166</v>
      </c>
      <c r="I23" s="58"/>
      <c r="J23" s="59"/>
      <c r="K23" s="44">
        <v>60</v>
      </c>
    </row>
    <row r="24" spans="1:11" ht="23.1" customHeight="1">
      <c r="A24" s="50"/>
      <c r="B24" s="51"/>
      <c r="C24" s="52"/>
      <c r="D24" s="60"/>
      <c r="E24" s="54"/>
      <c r="F24" s="54"/>
      <c r="G24" s="61"/>
      <c r="H24" s="54"/>
      <c r="I24" s="58"/>
      <c r="J24" s="59"/>
    </row>
    <row r="25" spans="1:11" ht="23.1" customHeight="1">
      <c r="A25" s="46" t="s">
        <v>184</v>
      </c>
      <c r="B25" s="47"/>
      <c r="C25" s="47"/>
      <c r="D25" s="62"/>
      <c r="E25" s="54"/>
      <c r="F25" s="54"/>
      <c r="G25" s="61"/>
      <c r="H25" s="54">
        <f>SUM(H8:H24)</f>
        <v>54808</v>
      </c>
      <c r="I25" s="58"/>
      <c r="J25" s="59"/>
    </row>
    <row r="26" spans="1:11" s="67" customFormat="1" ht="21" customHeight="1">
      <c r="A26" s="67" t="s">
        <v>635</v>
      </c>
      <c r="D26" s="65"/>
      <c r="E26" s="68"/>
      <c r="F26" s="68"/>
      <c r="G26" s="69"/>
      <c r="H26" s="68"/>
      <c r="I26" s="68"/>
    </row>
    <row r="27" spans="1:11" s="70" customFormat="1" ht="21" customHeight="1">
      <c r="A27" s="70" t="s">
        <v>636</v>
      </c>
      <c r="D27" s="66"/>
      <c r="E27" s="71"/>
      <c r="F27" s="71"/>
      <c r="G27" s="72"/>
      <c r="H27" s="71"/>
      <c r="I27" s="71"/>
    </row>
    <row r="28" spans="1:11" s="70" customFormat="1" ht="21" customHeight="1">
      <c r="A28" s="70" t="s">
        <v>637</v>
      </c>
      <c r="D28" s="66"/>
      <c r="E28" s="71"/>
      <c r="F28" s="71"/>
      <c r="G28" s="72"/>
      <c r="H28" s="71"/>
      <c r="I28" s="71"/>
    </row>
    <row r="29" spans="1:11" s="70" customFormat="1" ht="21" customHeight="1">
      <c r="A29" s="70" t="s">
        <v>639</v>
      </c>
      <c r="D29" s="66"/>
      <c r="E29" s="71"/>
      <c r="F29" s="71"/>
      <c r="G29" s="72"/>
      <c r="H29" s="71"/>
      <c r="I29" s="71"/>
    </row>
    <row r="30" spans="1:11" ht="24.95" customHeight="1">
      <c r="A30" s="50">
        <v>2</v>
      </c>
      <c r="B30" s="51"/>
      <c r="C30" s="52"/>
      <c r="D30" s="60" t="s">
        <v>452</v>
      </c>
      <c r="E30" s="54"/>
      <c r="F30" s="54"/>
      <c r="G30" s="61"/>
      <c r="H30" s="54"/>
      <c r="I30" s="58"/>
      <c r="J30" s="59"/>
    </row>
    <row r="31" spans="1:11" ht="24.95" customHeight="1">
      <c r="A31" s="50"/>
      <c r="B31" s="51" t="s">
        <v>328</v>
      </c>
      <c r="C31" s="52"/>
      <c r="D31" s="60" t="s">
        <v>453</v>
      </c>
      <c r="E31" s="54">
        <v>1</v>
      </c>
      <c r="F31" s="54">
        <v>200000</v>
      </c>
      <c r="G31" s="61" t="str">
        <f t="shared" ref="G31:G62" si="2">""&amp;K31&amp;"개월"</f>
        <v>60개월</v>
      </c>
      <c r="H31" s="54">
        <f t="shared" ref="H31:H62" si="3">TRUNC(E31*F31/K31)</f>
        <v>3333</v>
      </c>
      <c r="I31" s="58"/>
      <c r="J31" s="59"/>
      <c r="K31" s="44">
        <v>60</v>
      </c>
    </row>
    <row r="32" spans="1:11" ht="24.95" customHeight="1">
      <c r="A32" s="50"/>
      <c r="B32" s="51" t="s">
        <v>566</v>
      </c>
      <c r="C32" s="52"/>
      <c r="D32" s="60" t="s">
        <v>454</v>
      </c>
      <c r="E32" s="54">
        <v>100</v>
      </c>
      <c r="F32" s="54">
        <v>3000</v>
      </c>
      <c r="G32" s="61" t="str">
        <f t="shared" si="2"/>
        <v>24개월</v>
      </c>
      <c r="H32" s="54">
        <f t="shared" si="3"/>
        <v>12500</v>
      </c>
      <c r="I32" s="58"/>
      <c r="J32" s="59"/>
      <c r="K32" s="44">
        <v>24</v>
      </c>
    </row>
    <row r="33" spans="1:11" ht="24.95" customHeight="1">
      <c r="A33" s="50"/>
      <c r="B33" s="51" t="s">
        <v>567</v>
      </c>
      <c r="C33" s="52"/>
      <c r="D33" s="60" t="s">
        <v>455</v>
      </c>
      <c r="E33" s="54">
        <v>3</v>
      </c>
      <c r="F33" s="54">
        <v>1500</v>
      </c>
      <c r="G33" s="61" t="str">
        <f t="shared" si="2"/>
        <v>12개월</v>
      </c>
      <c r="H33" s="54">
        <f t="shared" si="3"/>
        <v>375</v>
      </c>
      <c r="I33" s="58"/>
      <c r="J33" s="59"/>
      <c r="K33" s="44">
        <v>12</v>
      </c>
    </row>
    <row r="34" spans="1:11" ht="24.95" customHeight="1">
      <c r="A34" s="50"/>
      <c r="B34" s="51" t="s">
        <v>568</v>
      </c>
      <c r="C34" s="52"/>
      <c r="D34" s="60" t="s">
        <v>456</v>
      </c>
      <c r="E34" s="54">
        <v>1</v>
      </c>
      <c r="F34" s="54">
        <v>3000</v>
      </c>
      <c r="G34" s="61" t="str">
        <f t="shared" si="2"/>
        <v>12개월</v>
      </c>
      <c r="H34" s="54">
        <f t="shared" si="3"/>
        <v>250</v>
      </c>
      <c r="I34" s="58"/>
      <c r="J34" s="59"/>
      <c r="K34" s="44">
        <v>12</v>
      </c>
    </row>
    <row r="35" spans="1:11" ht="24.95" customHeight="1">
      <c r="A35" s="50"/>
      <c r="B35" s="51" t="s">
        <v>569</v>
      </c>
      <c r="C35" s="52"/>
      <c r="D35" s="60" t="s">
        <v>457</v>
      </c>
      <c r="E35" s="54">
        <v>1</v>
      </c>
      <c r="F35" s="54">
        <v>4000</v>
      </c>
      <c r="G35" s="61" t="str">
        <f t="shared" si="2"/>
        <v>12개월</v>
      </c>
      <c r="H35" s="54">
        <f t="shared" si="3"/>
        <v>333</v>
      </c>
      <c r="I35" s="58"/>
      <c r="J35" s="59"/>
      <c r="K35" s="44">
        <v>12</v>
      </c>
    </row>
    <row r="36" spans="1:11" ht="24.95" customHeight="1">
      <c r="A36" s="50"/>
      <c r="B36" s="51" t="s">
        <v>570</v>
      </c>
      <c r="C36" s="52"/>
      <c r="D36" s="60" t="s">
        <v>458</v>
      </c>
      <c r="E36" s="54">
        <v>1</v>
      </c>
      <c r="F36" s="54">
        <v>1000</v>
      </c>
      <c r="G36" s="61" t="str">
        <f t="shared" si="2"/>
        <v>12개월</v>
      </c>
      <c r="H36" s="54">
        <f t="shared" si="3"/>
        <v>83</v>
      </c>
      <c r="I36" s="58"/>
      <c r="J36" s="59"/>
      <c r="K36" s="44">
        <v>12</v>
      </c>
    </row>
    <row r="37" spans="1:11" ht="24.95" customHeight="1">
      <c r="A37" s="50"/>
      <c r="B37" s="51" t="s">
        <v>571</v>
      </c>
      <c r="C37" s="52"/>
      <c r="D37" s="60" t="s">
        <v>459</v>
      </c>
      <c r="E37" s="54">
        <v>10</v>
      </c>
      <c r="F37" s="54">
        <v>100</v>
      </c>
      <c r="G37" s="61" t="str">
        <f t="shared" si="2"/>
        <v>12개월</v>
      </c>
      <c r="H37" s="54">
        <f t="shared" si="3"/>
        <v>83</v>
      </c>
      <c r="I37" s="58"/>
      <c r="J37" s="59"/>
      <c r="K37" s="44">
        <v>12</v>
      </c>
    </row>
    <row r="38" spans="1:11" ht="24.95" customHeight="1">
      <c r="A38" s="50"/>
      <c r="B38" s="51" t="s">
        <v>572</v>
      </c>
      <c r="C38" s="52"/>
      <c r="D38" s="60" t="s">
        <v>460</v>
      </c>
      <c r="E38" s="54">
        <v>5</v>
      </c>
      <c r="F38" s="54">
        <v>4000</v>
      </c>
      <c r="G38" s="61" t="str">
        <f t="shared" si="2"/>
        <v>12개월</v>
      </c>
      <c r="H38" s="54">
        <f t="shared" si="3"/>
        <v>1666</v>
      </c>
      <c r="I38" s="58"/>
      <c r="J38" s="59"/>
      <c r="K38" s="44">
        <v>12</v>
      </c>
    </row>
    <row r="39" spans="1:11" ht="24.95" customHeight="1">
      <c r="A39" s="50"/>
      <c r="B39" s="51" t="s">
        <v>573</v>
      </c>
      <c r="C39" s="52"/>
      <c r="D39" s="60" t="s">
        <v>461</v>
      </c>
      <c r="E39" s="54">
        <v>1</v>
      </c>
      <c r="F39" s="54">
        <v>40000</v>
      </c>
      <c r="G39" s="61" t="str">
        <f t="shared" si="2"/>
        <v>24개월</v>
      </c>
      <c r="H39" s="54">
        <f t="shared" si="3"/>
        <v>1666</v>
      </c>
      <c r="I39" s="58"/>
      <c r="J39" s="59"/>
      <c r="K39" s="44">
        <v>24</v>
      </c>
    </row>
    <row r="40" spans="1:11" ht="24.95" customHeight="1">
      <c r="A40" s="50"/>
      <c r="B40" s="51" t="s">
        <v>574</v>
      </c>
      <c r="C40" s="52"/>
      <c r="D40" s="60" t="s">
        <v>462</v>
      </c>
      <c r="E40" s="54">
        <v>3</v>
      </c>
      <c r="F40" s="54">
        <v>3500</v>
      </c>
      <c r="G40" s="61" t="str">
        <f t="shared" si="2"/>
        <v>24개월</v>
      </c>
      <c r="H40" s="54">
        <f t="shared" si="3"/>
        <v>437</v>
      </c>
      <c r="I40" s="58"/>
      <c r="J40" s="59"/>
      <c r="K40" s="44">
        <v>24</v>
      </c>
    </row>
    <row r="41" spans="1:11" ht="24.95" customHeight="1">
      <c r="A41" s="50"/>
      <c r="B41" s="51" t="s">
        <v>575</v>
      </c>
      <c r="C41" s="52"/>
      <c r="D41" s="60" t="s">
        <v>463</v>
      </c>
      <c r="E41" s="54">
        <v>3</v>
      </c>
      <c r="F41" s="54">
        <v>3300</v>
      </c>
      <c r="G41" s="61" t="str">
        <f t="shared" si="2"/>
        <v>24개월</v>
      </c>
      <c r="H41" s="54">
        <f t="shared" si="3"/>
        <v>412</v>
      </c>
      <c r="I41" s="58"/>
      <c r="J41" s="59"/>
      <c r="K41" s="44">
        <v>24</v>
      </c>
    </row>
    <row r="42" spans="1:11" ht="24.95" customHeight="1">
      <c r="A42" s="50"/>
      <c r="B42" s="51" t="s">
        <v>576</v>
      </c>
      <c r="C42" s="52"/>
      <c r="D42" s="60" t="s">
        <v>464</v>
      </c>
      <c r="E42" s="54">
        <v>3</v>
      </c>
      <c r="F42" s="54">
        <v>3300</v>
      </c>
      <c r="G42" s="61" t="str">
        <f t="shared" si="2"/>
        <v>24개월</v>
      </c>
      <c r="H42" s="54">
        <f t="shared" si="3"/>
        <v>412</v>
      </c>
      <c r="I42" s="58"/>
      <c r="J42" s="59"/>
      <c r="K42" s="44">
        <v>24</v>
      </c>
    </row>
    <row r="43" spans="1:11" ht="24.95" customHeight="1">
      <c r="A43" s="50"/>
      <c r="B43" s="51" t="s">
        <v>577</v>
      </c>
      <c r="C43" s="52"/>
      <c r="D43" s="60" t="s">
        <v>465</v>
      </c>
      <c r="E43" s="54">
        <v>3</v>
      </c>
      <c r="F43" s="54">
        <v>4000</v>
      </c>
      <c r="G43" s="61" t="str">
        <f t="shared" si="2"/>
        <v>24개월</v>
      </c>
      <c r="H43" s="54">
        <f t="shared" si="3"/>
        <v>500</v>
      </c>
      <c r="I43" s="58"/>
      <c r="J43" s="59"/>
      <c r="K43" s="44">
        <v>24</v>
      </c>
    </row>
    <row r="44" spans="1:11" ht="24.95" customHeight="1">
      <c r="A44" s="50"/>
      <c r="B44" s="51" t="s">
        <v>578</v>
      </c>
      <c r="C44" s="52"/>
      <c r="D44" s="60" t="s">
        <v>466</v>
      </c>
      <c r="E44" s="54">
        <v>5</v>
      </c>
      <c r="F44" s="54">
        <v>3000</v>
      </c>
      <c r="G44" s="61" t="str">
        <f t="shared" si="2"/>
        <v>24개월</v>
      </c>
      <c r="H44" s="54">
        <f t="shared" si="3"/>
        <v>625</v>
      </c>
      <c r="I44" s="58"/>
      <c r="J44" s="59"/>
      <c r="K44" s="44">
        <v>24</v>
      </c>
    </row>
    <row r="45" spans="1:11" ht="24.95" customHeight="1">
      <c r="A45" s="50"/>
      <c r="B45" s="51" t="s">
        <v>579</v>
      </c>
      <c r="C45" s="52"/>
      <c r="D45" s="60" t="s">
        <v>467</v>
      </c>
      <c r="E45" s="54">
        <v>2</v>
      </c>
      <c r="F45" s="54">
        <v>2500</v>
      </c>
      <c r="G45" s="61" t="str">
        <f t="shared" si="2"/>
        <v>24개월</v>
      </c>
      <c r="H45" s="54">
        <f t="shared" si="3"/>
        <v>208</v>
      </c>
      <c r="I45" s="58"/>
      <c r="J45" s="59"/>
      <c r="K45" s="44">
        <v>24</v>
      </c>
    </row>
    <row r="46" spans="1:11" ht="24.95" customHeight="1">
      <c r="A46" s="50"/>
      <c r="B46" s="51" t="s">
        <v>580</v>
      </c>
      <c r="C46" s="52"/>
      <c r="D46" s="60" t="s">
        <v>468</v>
      </c>
      <c r="E46" s="54">
        <v>2</v>
      </c>
      <c r="F46" s="54">
        <v>10000</v>
      </c>
      <c r="G46" s="61" t="str">
        <f t="shared" si="2"/>
        <v>24개월</v>
      </c>
      <c r="H46" s="54">
        <f t="shared" si="3"/>
        <v>833</v>
      </c>
      <c r="I46" s="58"/>
      <c r="J46" s="59"/>
      <c r="K46" s="44">
        <v>24</v>
      </c>
    </row>
    <row r="47" spans="1:11" ht="24.95" customHeight="1">
      <c r="A47" s="50"/>
      <c r="B47" s="51" t="s">
        <v>581</v>
      </c>
      <c r="C47" s="52"/>
      <c r="D47" s="60" t="s">
        <v>622</v>
      </c>
      <c r="E47" s="54">
        <v>2</v>
      </c>
      <c r="F47" s="54">
        <v>5000</v>
      </c>
      <c r="G47" s="61" t="str">
        <f t="shared" si="2"/>
        <v>24개월</v>
      </c>
      <c r="H47" s="54">
        <f t="shared" si="3"/>
        <v>416</v>
      </c>
      <c r="I47" s="58"/>
      <c r="J47" s="59"/>
      <c r="K47" s="44">
        <v>24</v>
      </c>
    </row>
    <row r="48" spans="1:11" ht="24.95" customHeight="1">
      <c r="A48" s="50"/>
      <c r="B48" s="51" t="s">
        <v>582</v>
      </c>
      <c r="C48" s="52"/>
      <c r="D48" s="60" t="s">
        <v>621</v>
      </c>
      <c r="E48" s="54">
        <v>2</v>
      </c>
      <c r="F48" s="54">
        <v>7000</v>
      </c>
      <c r="G48" s="61" t="str">
        <f t="shared" si="2"/>
        <v>24개월</v>
      </c>
      <c r="H48" s="54">
        <f t="shared" si="3"/>
        <v>583</v>
      </c>
      <c r="I48" s="58"/>
      <c r="J48" s="59"/>
      <c r="K48" s="44">
        <v>24</v>
      </c>
    </row>
    <row r="49" spans="1:11" ht="24.95" customHeight="1">
      <c r="A49" s="50"/>
      <c r="B49" s="51" t="s">
        <v>583</v>
      </c>
      <c r="C49" s="52"/>
      <c r="D49" s="60" t="s">
        <v>623</v>
      </c>
      <c r="E49" s="54">
        <v>2</v>
      </c>
      <c r="F49" s="54">
        <v>5500</v>
      </c>
      <c r="G49" s="61" t="str">
        <f t="shared" si="2"/>
        <v>24개월</v>
      </c>
      <c r="H49" s="54">
        <f t="shared" si="3"/>
        <v>458</v>
      </c>
      <c r="I49" s="58"/>
      <c r="J49" s="59"/>
      <c r="K49" s="44">
        <v>24</v>
      </c>
    </row>
    <row r="50" spans="1:11" ht="24.95" customHeight="1">
      <c r="A50" s="50"/>
      <c r="B50" s="51" t="s">
        <v>584</v>
      </c>
      <c r="C50" s="52"/>
      <c r="D50" s="60" t="s">
        <v>624</v>
      </c>
      <c r="E50" s="54">
        <v>2</v>
      </c>
      <c r="F50" s="54">
        <v>8000</v>
      </c>
      <c r="G50" s="61" t="str">
        <f t="shared" si="2"/>
        <v>24개월</v>
      </c>
      <c r="H50" s="54">
        <f t="shared" si="3"/>
        <v>666</v>
      </c>
      <c r="I50" s="58"/>
      <c r="J50" s="59"/>
      <c r="K50" s="44">
        <v>24</v>
      </c>
    </row>
    <row r="51" spans="1:11" ht="24.95" customHeight="1">
      <c r="A51" s="50"/>
      <c r="B51" s="51" t="s">
        <v>585</v>
      </c>
      <c r="C51" s="52"/>
      <c r="D51" s="60" t="s">
        <v>625</v>
      </c>
      <c r="E51" s="54">
        <v>2</v>
      </c>
      <c r="F51" s="54">
        <v>15000</v>
      </c>
      <c r="G51" s="61" t="str">
        <f t="shared" si="2"/>
        <v>24개월</v>
      </c>
      <c r="H51" s="54">
        <f t="shared" si="3"/>
        <v>1250</v>
      </c>
      <c r="I51" s="58"/>
      <c r="J51" s="59"/>
      <c r="K51" s="44">
        <v>24</v>
      </c>
    </row>
    <row r="52" spans="1:11" ht="24.95" customHeight="1">
      <c r="A52" s="50"/>
      <c r="B52" s="51" t="s">
        <v>586</v>
      </c>
      <c r="C52" s="52"/>
      <c r="D52" s="60" t="s">
        <v>469</v>
      </c>
      <c r="E52" s="54">
        <v>1</v>
      </c>
      <c r="F52" s="54">
        <v>5000</v>
      </c>
      <c r="G52" s="61" t="str">
        <f t="shared" si="2"/>
        <v>12개월</v>
      </c>
      <c r="H52" s="54">
        <f t="shared" si="3"/>
        <v>416</v>
      </c>
      <c r="I52" s="58"/>
      <c r="J52" s="59"/>
      <c r="K52" s="44">
        <v>12</v>
      </c>
    </row>
    <row r="53" spans="1:11" ht="24.95" customHeight="1">
      <c r="A53" s="50"/>
      <c r="B53" s="51" t="s">
        <v>587</v>
      </c>
      <c r="C53" s="52"/>
      <c r="D53" s="60" t="s">
        <v>356</v>
      </c>
      <c r="E53" s="54">
        <v>1</v>
      </c>
      <c r="F53" s="54">
        <v>5000</v>
      </c>
      <c r="G53" s="61" t="str">
        <f t="shared" si="2"/>
        <v>12개월</v>
      </c>
      <c r="H53" s="54">
        <f t="shared" si="3"/>
        <v>416</v>
      </c>
      <c r="I53" s="58"/>
      <c r="J53" s="59"/>
      <c r="K53" s="44">
        <v>12</v>
      </c>
    </row>
    <row r="54" spans="1:11" ht="24.95" customHeight="1">
      <c r="A54" s="50"/>
      <c r="B54" s="51" t="s">
        <v>588</v>
      </c>
      <c r="C54" s="52"/>
      <c r="D54" s="60" t="s">
        <v>470</v>
      </c>
      <c r="E54" s="54">
        <v>1</v>
      </c>
      <c r="F54" s="54">
        <v>150000</v>
      </c>
      <c r="G54" s="61" t="str">
        <f t="shared" si="2"/>
        <v>24개월</v>
      </c>
      <c r="H54" s="54">
        <f t="shared" si="3"/>
        <v>6250</v>
      </c>
      <c r="I54" s="58"/>
      <c r="J54" s="59"/>
      <c r="K54" s="44">
        <v>24</v>
      </c>
    </row>
    <row r="55" spans="1:11" ht="24.95" customHeight="1">
      <c r="A55" s="50"/>
      <c r="B55" s="51" t="s">
        <v>589</v>
      </c>
      <c r="C55" s="52"/>
      <c r="D55" s="60" t="s">
        <v>471</v>
      </c>
      <c r="E55" s="54">
        <v>1</v>
      </c>
      <c r="F55" s="54">
        <v>5000</v>
      </c>
      <c r="G55" s="61" t="str">
        <f t="shared" si="2"/>
        <v>24개월</v>
      </c>
      <c r="H55" s="54">
        <f t="shared" si="3"/>
        <v>208</v>
      </c>
      <c r="I55" s="58"/>
      <c r="J55" s="59"/>
      <c r="K55" s="44">
        <v>24</v>
      </c>
    </row>
    <row r="56" spans="1:11" ht="24.95" customHeight="1">
      <c r="A56" s="50"/>
      <c r="B56" s="51" t="s">
        <v>590</v>
      </c>
      <c r="C56" s="52"/>
      <c r="D56" s="60" t="s">
        <v>472</v>
      </c>
      <c r="E56" s="54">
        <v>1</v>
      </c>
      <c r="F56" s="54">
        <v>6000</v>
      </c>
      <c r="G56" s="61" t="str">
        <f t="shared" si="2"/>
        <v>24개월</v>
      </c>
      <c r="H56" s="54">
        <f t="shared" si="3"/>
        <v>250</v>
      </c>
      <c r="I56" s="58"/>
      <c r="J56" s="59"/>
      <c r="K56" s="44">
        <v>24</v>
      </c>
    </row>
    <row r="57" spans="1:11" ht="24.95" customHeight="1">
      <c r="A57" s="50"/>
      <c r="B57" s="51" t="s">
        <v>591</v>
      </c>
      <c r="C57" s="52"/>
      <c r="D57" s="60" t="s">
        <v>473</v>
      </c>
      <c r="E57" s="54">
        <v>1</v>
      </c>
      <c r="F57" s="54">
        <v>3000</v>
      </c>
      <c r="G57" s="61" t="str">
        <f t="shared" si="2"/>
        <v>24개월</v>
      </c>
      <c r="H57" s="54">
        <f t="shared" si="3"/>
        <v>125</v>
      </c>
      <c r="I57" s="58"/>
      <c r="J57" s="59"/>
      <c r="K57" s="44">
        <v>24</v>
      </c>
    </row>
    <row r="58" spans="1:11" ht="24.95" customHeight="1">
      <c r="A58" s="50"/>
      <c r="B58" s="51" t="s">
        <v>592</v>
      </c>
      <c r="C58" s="52"/>
      <c r="D58" s="60" t="s">
        <v>474</v>
      </c>
      <c r="E58" s="54">
        <v>1</v>
      </c>
      <c r="F58" s="54">
        <v>7000</v>
      </c>
      <c r="G58" s="61" t="str">
        <f t="shared" si="2"/>
        <v>24개월</v>
      </c>
      <c r="H58" s="54">
        <f t="shared" si="3"/>
        <v>291</v>
      </c>
      <c r="I58" s="58"/>
      <c r="J58" s="59"/>
      <c r="K58" s="44">
        <v>24</v>
      </c>
    </row>
    <row r="59" spans="1:11" ht="24.95" customHeight="1">
      <c r="A59" s="50"/>
      <c r="B59" s="51" t="s">
        <v>593</v>
      </c>
      <c r="C59" s="52"/>
      <c r="D59" s="60" t="s">
        <v>475</v>
      </c>
      <c r="E59" s="54">
        <v>1</v>
      </c>
      <c r="F59" s="54">
        <v>5000</v>
      </c>
      <c r="G59" s="61" t="str">
        <f t="shared" si="2"/>
        <v>24개월</v>
      </c>
      <c r="H59" s="54">
        <f t="shared" si="3"/>
        <v>208</v>
      </c>
      <c r="I59" s="58"/>
      <c r="J59" s="59"/>
      <c r="K59" s="44">
        <v>24</v>
      </c>
    </row>
    <row r="60" spans="1:11" ht="24.95" customHeight="1">
      <c r="A60" s="50"/>
      <c r="B60" s="51" t="s">
        <v>594</v>
      </c>
      <c r="C60" s="52"/>
      <c r="D60" s="60" t="s">
        <v>476</v>
      </c>
      <c r="E60" s="54">
        <v>1</v>
      </c>
      <c r="F60" s="54">
        <v>2500</v>
      </c>
      <c r="G60" s="61" t="str">
        <f t="shared" si="2"/>
        <v>24개월</v>
      </c>
      <c r="H60" s="54">
        <f t="shared" si="3"/>
        <v>104</v>
      </c>
      <c r="I60" s="58"/>
      <c r="J60" s="59"/>
      <c r="K60" s="44">
        <v>24</v>
      </c>
    </row>
    <row r="61" spans="1:11" ht="24.95" customHeight="1">
      <c r="A61" s="50"/>
      <c r="B61" s="51" t="s">
        <v>595</v>
      </c>
      <c r="C61" s="52"/>
      <c r="D61" s="60" t="s">
        <v>477</v>
      </c>
      <c r="E61" s="54">
        <v>1</v>
      </c>
      <c r="F61" s="54">
        <v>2000</v>
      </c>
      <c r="G61" s="61" t="str">
        <f t="shared" si="2"/>
        <v>24개월</v>
      </c>
      <c r="H61" s="54">
        <f t="shared" si="3"/>
        <v>83</v>
      </c>
      <c r="I61" s="58"/>
      <c r="J61" s="59"/>
      <c r="K61" s="44">
        <v>24</v>
      </c>
    </row>
    <row r="62" spans="1:11" ht="24.95" customHeight="1">
      <c r="A62" s="50"/>
      <c r="B62" s="51" t="s">
        <v>596</v>
      </c>
      <c r="C62" s="52"/>
      <c r="D62" s="60" t="s">
        <v>478</v>
      </c>
      <c r="E62" s="54">
        <v>1</v>
      </c>
      <c r="F62" s="54">
        <v>7000</v>
      </c>
      <c r="G62" s="61" t="str">
        <f t="shared" si="2"/>
        <v>24개월</v>
      </c>
      <c r="H62" s="54">
        <f t="shared" si="3"/>
        <v>291</v>
      </c>
      <c r="I62" s="58"/>
      <c r="J62" s="59"/>
      <c r="K62" s="44">
        <v>24</v>
      </c>
    </row>
    <row r="63" spans="1:11" ht="24.95" customHeight="1">
      <c r="A63" s="50"/>
      <c r="B63" s="51" t="s">
        <v>597</v>
      </c>
      <c r="C63" s="52"/>
      <c r="D63" s="60" t="s">
        <v>479</v>
      </c>
      <c r="E63" s="54">
        <v>1</v>
      </c>
      <c r="F63" s="54">
        <v>9000</v>
      </c>
      <c r="G63" s="61" t="str">
        <f t="shared" ref="G63:G84" si="4">""&amp;K63&amp;"개월"</f>
        <v>60개월</v>
      </c>
      <c r="H63" s="54">
        <f t="shared" ref="H63:H84" si="5">TRUNC(E63*F63/K63)</f>
        <v>150</v>
      </c>
      <c r="I63" s="58"/>
      <c r="J63" s="59"/>
      <c r="K63" s="44">
        <v>60</v>
      </c>
    </row>
    <row r="64" spans="1:11" ht="24.95" customHeight="1">
      <c r="A64" s="50"/>
      <c r="B64" s="51" t="s">
        <v>598</v>
      </c>
      <c r="C64" s="52"/>
      <c r="D64" s="60" t="s">
        <v>480</v>
      </c>
      <c r="E64" s="54">
        <v>1</v>
      </c>
      <c r="F64" s="54">
        <v>40000</v>
      </c>
      <c r="G64" s="61" t="str">
        <f t="shared" si="4"/>
        <v>60개월</v>
      </c>
      <c r="H64" s="54">
        <f t="shared" si="5"/>
        <v>666</v>
      </c>
      <c r="I64" s="58"/>
      <c r="J64" s="59"/>
      <c r="K64" s="44">
        <v>60</v>
      </c>
    </row>
    <row r="65" spans="1:11" ht="24.95" customHeight="1">
      <c r="A65" s="50"/>
      <c r="B65" s="51" t="s">
        <v>599</v>
      </c>
      <c r="C65" s="52"/>
      <c r="D65" s="60" t="s">
        <v>481</v>
      </c>
      <c r="E65" s="54">
        <v>1</v>
      </c>
      <c r="F65" s="54">
        <v>15000</v>
      </c>
      <c r="G65" s="61" t="str">
        <f t="shared" si="4"/>
        <v>60개월</v>
      </c>
      <c r="H65" s="54">
        <f t="shared" si="5"/>
        <v>250</v>
      </c>
      <c r="I65" s="58"/>
      <c r="J65" s="59"/>
      <c r="K65" s="44">
        <v>60</v>
      </c>
    </row>
    <row r="66" spans="1:11" ht="24.95" customHeight="1">
      <c r="A66" s="50"/>
      <c r="B66" s="51" t="s">
        <v>600</v>
      </c>
      <c r="C66" s="52"/>
      <c r="D66" s="60" t="s">
        <v>482</v>
      </c>
      <c r="E66" s="54">
        <v>1</v>
      </c>
      <c r="F66" s="54">
        <v>3000</v>
      </c>
      <c r="G66" s="61" t="str">
        <f t="shared" si="4"/>
        <v>24개월</v>
      </c>
      <c r="H66" s="54">
        <f t="shared" si="5"/>
        <v>125</v>
      </c>
      <c r="I66" s="58"/>
      <c r="J66" s="59"/>
      <c r="K66" s="44">
        <v>24</v>
      </c>
    </row>
    <row r="67" spans="1:11" ht="24.95" customHeight="1">
      <c r="A67" s="50"/>
      <c r="B67" s="51" t="s">
        <v>601</v>
      </c>
      <c r="C67" s="52"/>
      <c r="D67" s="60" t="s">
        <v>482</v>
      </c>
      <c r="E67" s="54">
        <v>1</v>
      </c>
      <c r="F67" s="54">
        <v>2500</v>
      </c>
      <c r="G67" s="61" t="str">
        <f t="shared" si="4"/>
        <v>24개월</v>
      </c>
      <c r="H67" s="54">
        <f t="shared" si="5"/>
        <v>104</v>
      </c>
      <c r="I67" s="58"/>
      <c r="J67" s="59"/>
      <c r="K67" s="44">
        <v>24</v>
      </c>
    </row>
    <row r="68" spans="1:11" ht="24.95" customHeight="1">
      <c r="A68" s="50"/>
      <c r="B68" s="51" t="s">
        <v>602</v>
      </c>
      <c r="C68" s="52"/>
      <c r="D68" s="60" t="s">
        <v>483</v>
      </c>
      <c r="E68" s="54">
        <v>1</v>
      </c>
      <c r="F68" s="54">
        <v>9000</v>
      </c>
      <c r="G68" s="61" t="str">
        <f t="shared" si="4"/>
        <v>60개월</v>
      </c>
      <c r="H68" s="54">
        <f t="shared" si="5"/>
        <v>150</v>
      </c>
      <c r="I68" s="58"/>
      <c r="J68" s="59"/>
      <c r="K68" s="44">
        <v>60</v>
      </c>
    </row>
    <row r="69" spans="1:11" ht="24.95" customHeight="1">
      <c r="A69" s="50"/>
      <c r="B69" s="51" t="s">
        <v>603</v>
      </c>
      <c r="C69" s="52"/>
      <c r="D69" s="60" t="s">
        <v>484</v>
      </c>
      <c r="E69" s="54">
        <v>1</v>
      </c>
      <c r="F69" s="54">
        <v>10000</v>
      </c>
      <c r="G69" s="61" t="str">
        <f t="shared" si="4"/>
        <v>24개월</v>
      </c>
      <c r="H69" s="54">
        <f t="shared" si="5"/>
        <v>416</v>
      </c>
      <c r="I69" s="58"/>
      <c r="J69" s="59"/>
      <c r="K69" s="44">
        <v>24</v>
      </c>
    </row>
    <row r="70" spans="1:11" ht="24.95" customHeight="1">
      <c r="A70" s="50"/>
      <c r="B70" s="51" t="s">
        <v>604</v>
      </c>
      <c r="C70" s="52"/>
      <c r="D70" s="60" t="s">
        <v>485</v>
      </c>
      <c r="E70" s="54">
        <v>1</v>
      </c>
      <c r="F70" s="54">
        <v>55000</v>
      </c>
      <c r="G70" s="61" t="str">
        <f t="shared" si="4"/>
        <v>24개월</v>
      </c>
      <c r="H70" s="54">
        <f t="shared" si="5"/>
        <v>2291</v>
      </c>
      <c r="I70" s="58"/>
      <c r="J70" s="59"/>
      <c r="K70" s="44">
        <v>24</v>
      </c>
    </row>
    <row r="71" spans="1:11" ht="24.95" customHeight="1">
      <c r="A71" s="50"/>
      <c r="B71" s="51" t="s">
        <v>605</v>
      </c>
      <c r="C71" s="52"/>
      <c r="D71" s="60" t="s">
        <v>486</v>
      </c>
      <c r="E71" s="54">
        <v>1</v>
      </c>
      <c r="F71" s="54">
        <v>45000</v>
      </c>
      <c r="G71" s="61" t="str">
        <f t="shared" si="4"/>
        <v>24개월</v>
      </c>
      <c r="H71" s="54">
        <f t="shared" si="5"/>
        <v>1875</v>
      </c>
      <c r="I71" s="58"/>
      <c r="J71" s="59"/>
      <c r="K71" s="44">
        <v>24</v>
      </c>
    </row>
    <row r="72" spans="1:11" ht="24.95" customHeight="1">
      <c r="A72" s="50"/>
      <c r="B72" s="51" t="s">
        <v>606</v>
      </c>
      <c r="C72" s="52"/>
      <c r="D72" s="60" t="s">
        <v>487</v>
      </c>
      <c r="E72" s="54">
        <v>1</v>
      </c>
      <c r="F72" s="54">
        <v>50000</v>
      </c>
      <c r="G72" s="61" t="str">
        <f t="shared" si="4"/>
        <v>12개월</v>
      </c>
      <c r="H72" s="54">
        <f t="shared" si="5"/>
        <v>4166</v>
      </c>
      <c r="I72" s="58"/>
      <c r="J72" s="59"/>
      <c r="K72" s="44">
        <v>12</v>
      </c>
    </row>
    <row r="73" spans="1:11" ht="24.95" customHeight="1">
      <c r="A73" s="50"/>
      <c r="B73" s="51" t="s">
        <v>607</v>
      </c>
      <c r="C73" s="52"/>
      <c r="D73" s="60" t="s">
        <v>488</v>
      </c>
      <c r="E73" s="54">
        <v>1</v>
      </c>
      <c r="F73" s="54">
        <v>30000</v>
      </c>
      <c r="G73" s="61" t="str">
        <f t="shared" si="4"/>
        <v>12개월</v>
      </c>
      <c r="H73" s="54">
        <f t="shared" si="5"/>
        <v>2500</v>
      </c>
      <c r="I73" s="58"/>
      <c r="J73" s="59"/>
      <c r="K73" s="44">
        <v>12</v>
      </c>
    </row>
    <row r="74" spans="1:11" ht="24.95" customHeight="1">
      <c r="A74" s="50"/>
      <c r="B74" s="51" t="s">
        <v>608</v>
      </c>
      <c r="C74" s="52"/>
      <c r="D74" s="60" t="s">
        <v>489</v>
      </c>
      <c r="E74" s="54">
        <v>1</v>
      </c>
      <c r="F74" s="54">
        <v>9000</v>
      </c>
      <c r="G74" s="61" t="str">
        <f t="shared" si="4"/>
        <v>24개월</v>
      </c>
      <c r="H74" s="54">
        <f t="shared" si="5"/>
        <v>375</v>
      </c>
      <c r="I74" s="58"/>
      <c r="J74" s="59"/>
      <c r="K74" s="44">
        <v>24</v>
      </c>
    </row>
    <row r="75" spans="1:11" ht="24.95" customHeight="1">
      <c r="A75" s="50"/>
      <c r="B75" s="51" t="s">
        <v>609</v>
      </c>
      <c r="C75" s="52"/>
      <c r="D75" s="60" t="s">
        <v>490</v>
      </c>
      <c r="E75" s="54">
        <v>1</v>
      </c>
      <c r="F75" s="54">
        <v>130000</v>
      </c>
      <c r="G75" s="61" t="str">
        <f t="shared" si="4"/>
        <v>24개월</v>
      </c>
      <c r="H75" s="54">
        <f t="shared" si="5"/>
        <v>5416</v>
      </c>
      <c r="I75" s="58"/>
      <c r="J75" s="59"/>
      <c r="K75" s="44">
        <v>24</v>
      </c>
    </row>
    <row r="76" spans="1:11" ht="24.95" customHeight="1">
      <c r="A76" s="50"/>
      <c r="B76" s="51" t="s">
        <v>610</v>
      </c>
      <c r="C76" s="52"/>
      <c r="D76" s="60" t="s">
        <v>491</v>
      </c>
      <c r="E76" s="54">
        <v>1</v>
      </c>
      <c r="F76" s="54">
        <v>40000</v>
      </c>
      <c r="G76" s="61" t="str">
        <f t="shared" si="4"/>
        <v>24개월</v>
      </c>
      <c r="H76" s="54">
        <f t="shared" si="5"/>
        <v>1666</v>
      </c>
      <c r="I76" s="58"/>
      <c r="J76" s="59"/>
      <c r="K76" s="44">
        <v>24</v>
      </c>
    </row>
    <row r="77" spans="1:11" ht="24.95" customHeight="1">
      <c r="A77" s="50"/>
      <c r="B77" s="51" t="s">
        <v>611</v>
      </c>
      <c r="C77" s="52"/>
      <c r="D77" s="60" t="s">
        <v>626</v>
      </c>
      <c r="E77" s="54">
        <v>5</v>
      </c>
      <c r="F77" s="54">
        <v>1500</v>
      </c>
      <c r="G77" s="61" t="str">
        <f t="shared" si="4"/>
        <v>24개월</v>
      </c>
      <c r="H77" s="54">
        <f t="shared" si="5"/>
        <v>312</v>
      </c>
      <c r="I77" s="58"/>
      <c r="J77" s="59"/>
      <c r="K77" s="44">
        <v>24</v>
      </c>
    </row>
    <row r="78" spans="1:11" ht="24.95" customHeight="1">
      <c r="A78" s="50"/>
      <c r="B78" s="51" t="s">
        <v>612</v>
      </c>
      <c r="C78" s="52"/>
      <c r="D78" s="60" t="s">
        <v>627</v>
      </c>
      <c r="E78" s="54">
        <v>5</v>
      </c>
      <c r="F78" s="54">
        <v>2000</v>
      </c>
      <c r="G78" s="61" t="str">
        <f t="shared" si="4"/>
        <v>24개월</v>
      </c>
      <c r="H78" s="54">
        <f t="shared" si="5"/>
        <v>416</v>
      </c>
      <c r="I78" s="58"/>
      <c r="J78" s="59"/>
      <c r="K78" s="44">
        <v>24</v>
      </c>
    </row>
    <row r="79" spans="1:11" ht="24.95" customHeight="1">
      <c r="A79" s="50"/>
      <c r="B79" s="51" t="s">
        <v>613</v>
      </c>
      <c r="C79" s="52"/>
      <c r="D79" s="60" t="s">
        <v>628</v>
      </c>
      <c r="E79" s="54">
        <v>5</v>
      </c>
      <c r="F79" s="54">
        <v>3000</v>
      </c>
      <c r="G79" s="61" t="str">
        <f t="shared" si="4"/>
        <v>24개월</v>
      </c>
      <c r="H79" s="54">
        <f t="shared" si="5"/>
        <v>625</v>
      </c>
      <c r="I79" s="58"/>
      <c r="J79" s="59"/>
      <c r="K79" s="44">
        <v>24</v>
      </c>
    </row>
    <row r="80" spans="1:11" ht="24.95" customHeight="1">
      <c r="A80" s="50"/>
      <c r="B80" s="51" t="s">
        <v>614</v>
      </c>
      <c r="C80" s="52"/>
      <c r="D80" s="60" t="s">
        <v>492</v>
      </c>
      <c r="E80" s="54">
        <v>1</v>
      </c>
      <c r="F80" s="54">
        <v>35000</v>
      </c>
      <c r="G80" s="61" t="str">
        <f t="shared" si="4"/>
        <v>24개월</v>
      </c>
      <c r="H80" s="54">
        <f t="shared" si="5"/>
        <v>1458</v>
      </c>
      <c r="I80" s="58"/>
      <c r="J80" s="59"/>
      <c r="K80" s="44">
        <v>24</v>
      </c>
    </row>
    <row r="81" spans="1:11" ht="24.95" customHeight="1">
      <c r="A81" s="50"/>
      <c r="B81" s="51" t="s">
        <v>615</v>
      </c>
      <c r="C81" s="52"/>
      <c r="D81" s="60" t="s">
        <v>493</v>
      </c>
      <c r="E81" s="54">
        <v>1</v>
      </c>
      <c r="F81" s="54">
        <v>2500</v>
      </c>
      <c r="G81" s="61" t="str">
        <f t="shared" si="4"/>
        <v>24개월</v>
      </c>
      <c r="H81" s="54">
        <f t="shared" si="5"/>
        <v>104</v>
      </c>
      <c r="I81" s="58"/>
      <c r="J81" s="59"/>
      <c r="K81" s="44">
        <v>24</v>
      </c>
    </row>
    <row r="82" spans="1:11" ht="24.95" customHeight="1">
      <c r="A82" s="50"/>
      <c r="B82" s="51" t="s">
        <v>616</v>
      </c>
      <c r="C82" s="52"/>
      <c r="D82" s="60" t="s">
        <v>494</v>
      </c>
      <c r="E82" s="54">
        <v>1</v>
      </c>
      <c r="F82" s="54">
        <v>3000</v>
      </c>
      <c r="G82" s="61" t="str">
        <f t="shared" si="4"/>
        <v>24개월</v>
      </c>
      <c r="H82" s="54">
        <f t="shared" si="5"/>
        <v>125</v>
      </c>
      <c r="I82" s="58"/>
      <c r="J82" s="59"/>
      <c r="K82" s="44">
        <v>24</v>
      </c>
    </row>
    <row r="83" spans="1:11" ht="24.95" customHeight="1">
      <c r="A83" s="50"/>
      <c r="B83" s="51" t="s">
        <v>629</v>
      </c>
      <c r="C83" s="52"/>
      <c r="D83" s="60" t="s">
        <v>495</v>
      </c>
      <c r="E83" s="54">
        <v>1</v>
      </c>
      <c r="F83" s="54">
        <v>10000</v>
      </c>
      <c r="G83" s="61" t="str">
        <f t="shared" si="4"/>
        <v>24개월</v>
      </c>
      <c r="H83" s="54">
        <f t="shared" si="5"/>
        <v>416</v>
      </c>
      <c r="I83" s="58"/>
      <c r="J83" s="59"/>
      <c r="K83" s="44">
        <v>24</v>
      </c>
    </row>
    <row r="84" spans="1:11" ht="24.95" customHeight="1">
      <c r="A84" s="50"/>
      <c r="B84" s="51" t="s">
        <v>630</v>
      </c>
      <c r="C84" s="52"/>
      <c r="D84" s="60" t="s">
        <v>496</v>
      </c>
      <c r="E84" s="54">
        <v>1</v>
      </c>
      <c r="F84" s="54">
        <v>10000</v>
      </c>
      <c r="G84" s="61" t="str">
        <f t="shared" si="4"/>
        <v>24개월</v>
      </c>
      <c r="H84" s="54">
        <f t="shared" si="5"/>
        <v>416</v>
      </c>
      <c r="I84" s="58"/>
      <c r="J84" s="59"/>
      <c r="K84" s="44">
        <v>24</v>
      </c>
    </row>
    <row r="85" spans="1:11" ht="24.95" customHeight="1">
      <c r="A85" s="50"/>
      <c r="B85" s="51"/>
      <c r="C85" s="52"/>
      <c r="D85" s="60"/>
      <c r="E85" s="54"/>
      <c r="F85" s="54"/>
      <c r="G85" s="61"/>
      <c r="H85" s="54"/>
      <c r="I85" s="58"/>
      <c r="J85" s="59"/>
    </row>
    <row r="86" spans="1:11" ht="24.95" customHeight="1">
      <c r="A86" s="50"/>
      <c r="B86" s="51"/>
      <c r="C86" s="52"/>
      <c r="D86" s="60"/>
      <c r="E86" s="54"/>
      <c r="F86" s="54"/>
      <c r="G86" s="61"/>
      <c r="H86" s="54"/>
      <c r="I86" s="58"/>
      <c r="J86" s="59"/>
    </row>
    <row r="87" spans="1:11" ht="24.95" customHeight="1">
      <c r="A87" s="50"/>
      <c r="B87" s="51"/>
      <c r="C87" s="52"/>
      <c r="D87" s="60"/>
      <c r="E87" s="54"/>
      <c r="F87" s="54"/>
      <c r="G87" s="61"/>
      <c r="H87" s="54"/>
      <c r="I87" s="58"/>
      <c r="J87" s="59"/>
    </row>
    <row r="88" spans="1:11" ht="24.95" customHeight="1">
      <c r="A88" s="50"/>
      <c r="B88" s="51"/>
      <c r="C88" s="52"/>
      <c r="D88" s="60"/>
      <c r="E88" s="54"/>
      <c r="F88" s="54"/>
      <c r="G88" s="61"/>
      <c r="H88" s="54"/>
      <c r="I88" s="58"/>
      <c r="J88" s="59"/>
    </row>
    <row r="89" spans="1:11" ht="24.95" customHeight="1">
      <c r="A89" s="50"/>
      <c r="B89" s="51"/>
      <c r="C89" s="52"/>
      <c r="D89" s="60"/>
      <c r="E89" s="54"/>
      <c r="F89" s="54"/>
      <c r="G89" s="61"/>
      <c r="H89" s="54"/>
      <c r="I89" s="58"/>
      <c r="J89" s="59"/>
    </row>
    <row r="90" spans="1:11" ht="24.95" customHeight="1">
      <c r="A90" s="50"/>
      <c r="B90" s="51"/>
      <c r="C90" s="52"/>
      <c r="D90" s="60"/>
      <c r="E90" s="54"/>
      <c r="F90" s="54"/>
      <c r="G90" s="61"/>
      <c r="H90" s="54"/>
      <c r="I90" s="58"/>
      <c r="J90" s="59"/>
    </row>
    <row r="91" spans="1:11" ht="24.95" customHeight="1">
      <c r="A91" s="50"/>
      <c r="B91" s="51"/>
      <c r="C91" s="52"/>
      <c r="D91" s="60"/>
      <c r="E91" s="54"/>
      <c r="F91" s="54"/>
      <c r="G91" s="61"/>
      <c r="H91" s="54"/>
      <c r="I91" s="58"/>
      <c r="J91" s="59"/>
    </row>
    <row r="92" spans="1:11" ht="24.95" customHeight="1">
      <c r="A92" s="50"/>
      <c r="B92" s="51"/>
      <c r="C92" s="52"/>
      <c r="D92" s="60"/>
      <c r="E92" s="54"/>
      <c r="F92" s="54"/>
      <c r="G92" s="61"/>
      <c r="H92" s="54"/>
      <c r="I92" s="58"/>
      <c r="J92" s="59"/>
    </row>
    <row r="93" spans="1:11" ht="24.95" customHeight="1">
      <c r="A93" s="50"/>
      <c r="B93" s="51"/>
      <c r="C93" s="52"/>
      <c r="D93" s="60"/>
      <c r="E93" s="54"/>
      <c r="F93" s="54"/>
      <c r="G93" s="61"/>
      <c r="H93" s="54"/>
      <c r="I93" s="58"/>
      <c r="J93" s="59"/>
    </row>
    <row r="94" spans="1:11" ht="24.95" customHeight="1">
      <c r="A94" s="50"/>
      <c r="B94" s="51"/>
      <c r="C94" s="52"/>
      <c r="D94" s="60"/>
      <c r="E94" s="54"/>
      <c r="F94" s="54"/>
      <c r="G94" s="61"/>
      <c r="H94" s="54"/>
      <c r="I94" s="58"/>
      <c r="J94" s="59"/>
    </row>
    <row r="95" spans="1:11" ht="24.95" customHeight="1">
      <c r="A95" s="46" t="s">
        <v>184</v>
      </c>
      <c r="B95" s="47"/>
      <c r="C95" s="47"/>
      <c r="D95" s="62"/>
      <c r="E95" s="54"/>
      <c r="F95" s="54"/>
      <c r="G95" s="61"/>
      <c r="H95" s="54">
        <f>SUM(H31:H94)</f>
        <v>59753</v>
      </c>
      <c r="I95" s="58"/>
      <c r="J95" s="59"/>
    </row>
    <row r="96" spans="1:11" ht="24.95" customHeight="1">
      <c r="A96" s="50">
        <v>3</v>
      </c>
      <c r="B96" s="51"/>
      <c r="C96" s="52"/>
      <c r="D96" s="60" t="s">
        <v>649</v>
      </c>
      <c r="E96" s="54"/>
      <c r="F96" s="54"/>
      <c r="G96" s="61"/>
      <c r="H96" s="54"/>
      <c r="I96" s="58"/>
      <c r="J96" s="59"/>
    </row>
    <row r="97" spans="1:11" ht="24.95" customHeight="1">
      <c r="A97" s="50"/>
      <c r="B97" s="51" t="s">
        <v>328</v>
      </c>
      <c r="C97" s="52"/>
      <c r="D97" s="60" t="s">
        <v>497</v>
      </c>
      <c r="E97" s="54">
        <v>5</v>
      </c>
      <c r="F97" s="54">
        <v>2000</v>
      </c>
      <c r="G97" s="61" t="str">
        <f t="shared" ref="G97:G113" si="6">""&amp;K97&amp;"개월"</f>
        <v>24개월</v>
      </c>
      <c r="H97" s="54">
        <f t="shared" ref="H97:H113" si="7">TRUNC(E97*F97/K97)</f>
        <v>416</v>
      </c>
      <c r="I97" s="58"/>
      <c r="J97" s="59"/>
      <c r="K97" s="44">
        <v>24</v>
      </c>
    </row>
    <row r="98" spans="1:11" ht="24.95" customHeight="1">
      <c r="A98" s="50"/>
      <c r="B98" s="51" t="s">
        <v>566</v>
      </c>
      <c r="C98" s="52"/>
      <c r="D98" s="60" t="s">
        <v>498</v>
      </c>
      <c r="E98" s="54">
        <v>4</v>
      </c>
      <c r="F98" s="54">
        <v>4000</v>
      </c>
      <c r="G98" s="61" t="str">
        <f t="shared" si="6"/>
        <v>24개월</v>
      </c>
      <c r="H98" s="54">
        <f t="shared" si="7"/>
        <v>666</v>
      </c>
      <c r="I98" s="58"/>
      <c r="J98" s="59"/>
      <c r="K98" s="44">
        <v>24</v>
      </c>
    </row>
    <row r="99" spans="1:11" ht="24.95" customHeight="1">
      <c r="A99" s="50"/>
      <c r="B99" s="51" t="s">
        <v>567</v>
      </c>
      <c r="C99" s="52"/>
      <c r="D99" s="60" t="s">
        <v>499</v>
      </c>
      <c r="E99" s="54">
        <v>4</v>
      </c>
      <c r="F99" s="54">
        <v>1500</v>
      </c>
      <c r="G99" s="61" t="str">
        <f t="shared" si="6"/>
        <v>24개월</v>
      </c>
      <c r="H99" s="54">
        <f t="shared" si="7"/>
        <v>250</v>
      </c>
      <c r="I99" s="58"/>
      <c r="J99" s="59"/>
      <c r="K99" s="44">
        <v>24</v>
      </c>
    </row>
    <row r="100" spans="1:11" ht="24.95" customHeight="1">
      <c r="A100" s="50"/>
      <c r="B100" s="51" t="s">
        <v>568</v>
      </c>
      <c r="C100" s="52"/>
      <c r="D100" s="60" t="s">
        <v>500</v>
      </c>
      <c r="E100" s="54">
        <v>5</v>
      </c>
      <c r="F100" s="54">
        <v>10000</v>
      </c>
      <c r="G100" s="61" t="str">
        <f t="shared" si="6"/>
        <v>24개월</v>
      </c>
      <c r="H100" s="54">
        <f t="shared" si="7"/>
        <v>2083</v>
      </c>
      <c r="I100" s="58"/>
      <c r="J100" s="59"/>
      <c r="K100" s="44">
        <v>24</v>
      </c>
    </row>
    <row r="101" spans="1:11" ht="24.95" customHeight="1">
      <c r="A101" s="50"/>
      <c r="B101" s="51" t="s">
        <v>569</v>
      </c>
      <c r="C101" s="52"/>
      <c r="D101" s="60" t="s">
        <v>501</v>
      </c>
      <c r="E101" s="54">
        <v>12</v>
      </c>
      <c r="F101" s="54">
        <v>700</v>
      </c>
      <c r="G101" s="61" t="str">
        <f t="shared" si="6"/>
        <v>12개월</v>
      </c>
      <c r="H101" s="54">
        <f t="shared" si="7"/>
        <v>700</v>
      </c>
      <c r="I101" s="58"/>
      <c r="J101" s="59"/>
      <c r="K101" s="44">
        <v>12</v>
      </c>
    </row>
    <row r="102" spans="1:11" ht="24.95" customHeight="1">
      <c r="A102" s="50"/>
      <c r="B102" s="51" t="s">
        <v>570</v>
      </c>
      <c r="C102" s="52"/>
      <c r="D102" s="60" t="s">
        <v>502</v>
      </c>
      <c r="E102" s="54">
        <v>3</v>
      </c>
      <c r="F102" s="54">
        <v>3000</v>
      </c>
      <c r="G102" s="61" t="str">
        <f t="shared" si="6"/>
        <v>12개월</v>
      </c>
      <c r="H102" s="54">
        <f t="shared" si="7"/>
        <v>750</v>
      </c>
      <c r="I102" s="58"/>
      <c r="J102" s="59"/>
      <c r="K102" s="44">
        <v>12</v>
      </c>
    </row>
    <row r="103" spans="1:11" ht="24.95" customHeight="1">
      <c r="A103" s="50"/>
      <c r="B103" s="51" t="s">
        <v>571</v>
      </c>
      <c r="C103" s="52"/>
      <c r="D103" s="60" t="s">
        <v>503</v>
      </c>
      <c r="E103" s="54">
        <v>3</v>
      </c>
      <c r="F103" s="54">
        <v>1000</v>
      </c>
      <c r="G103" s="61" t="str">
        <f t="shared" si="6"/>
        <v>3개월</v>
      </c>
      <c r="H103" s="54">
        <f t="shared" si="7"/>
        <v>1000</v>
      </c>
      <c r="I103" s="58"/>
      <c r="J103" s="59"/>
      <c r="K103" s="44">
        <v>3</v>
      </c>
    </row>
    <row r="104" spans="1:11" ht="24.95" customHeight="1">
      <c r="A104" s="50"/>
      <c r="B104" s="51" t="s">
        <v>572</v>
      </c>
      <c r="C104" s="52"/>
      <c r="D104" s="60" t="s">
        <v>504</v>
      </c>
      <c r="E104" s="54">
        <v>4</v>
      </c>
      <c r="F104" s="54">
        <v>25000</v>
      </c>
      <c r="G104" s="61" t="str">
        <f t="shared" si="6"/>
        <v>24개월</v>
      </c>
      <c r="H104" s="54">
        <f t="shared" si="7"/>
        <v>4166</v>
      </c>
      <c r="I104" s="58"/>
      <c r="J104" s="59"/>
      <c r="K104" s="44">
        <v>24</v>
      </c>
    </row>
    <row r="105" spans="1:11" ht="24.95" customHeight="1">
      <c r="A105" s="50"/>
      <c r="B105" s="51" t="s">
        <v>573</v>
      </c>
      <c r="C105" s="52"/>
      <c r="D105" s="60" t="s">
        <v>505</v>
      </c>
      <c r="E105" s="54">
        <v>3</v>
      </c>
      <c r="F105" s="54">
        <v>50000</v>
      </c>
      <c r="G105" s="61" t="str">
        <f t="shared" si="6"/>
        <v>24개월</v>
      </c>
      <c r="H105" s="54">
        <f t="shared" si="7"/>
        <v>6250</v>
      </c>
      <c r="I105" s="58"/>
      <c r="J105" s="59"/>
      <c r="K105" s="44">
        <v>24</v>
      </c>
    </row>
    <row r="106" spans="1:11" ht="24.95" customHeight="1">
      <c r="A106" s="50"/>
      <c r="B106" s="51" t="s">
        <v>574</v>
      </c>
      <c r="C106" s="52"/>
      <c r="D106" s="60" t="s">
        <v>506</v>
      </c>
      <c r="E106" s="54">
        <v>2</v>
      </c>
      <c r="F106" s="54">
        <v>240000</v>
      </c>
      <c r="G106" s="61" t="str">
        <f t="shared" si="6"/>
        <v>36개월</v>
      </c>
      <c r="H106" s="54">
        <f t="shared" si="7"/>
        <v>13333</v>
      </c>
      <c r="I106" s="58"/>
      <c r="J106" s="59"/>
      <c r="K106" s="44">
        <v>36</v>
      </c>
    </row>
    <row r="107" spans="1:11" ht="24.95" customHeight="1">
      <c r="A107" s="50"/>
      <c r="B107" s="51" t="s">
        <v>575</v>
      </c>
      <c r="C107" s="52"/>
      <c r="D107" s="60" t="s">
        <v>507</v>
      </c>
      <c r="E107" s="54">
        <v>2</v>
      </c>
      <c r="F107" s="54">
        <v>10000</v>
      </c>
      <c r="G107" s="61" t="str">
        <f t="shared" si="6"/>
        <v>3개월</v>
      </c>
      <c r="H107" s="54">
        <f t="shared" si="7"/>
        <v>6666</v>
      </c>
      <c r="I107" s="58"/>
      <c r="J107" s="59"/>
      <c r="K107" s="44">
        <v>3</v>
      </c>
    </row>
    <row r="108" spans="1:11" ht="24.95" customHeight="1">
      <c r="A108" s="50"/>
      <c r="B108" s="51" t="s">
        <v>576</v>
      </c>
      <c r="C108" s="52"/>
      <c r="D108" s="60" t="s">
        <v>508</v>
      </c>
      <c r="E108" s="54">
        <v>1</v>
      </c>
      <c r="F108" s="54">
        <v>180000</v>
      </c>
      <c r="G108" s="61" t="str">
        <f t="shared" si="6"/>
        <v>36개월</v>
      </c>
      <c r="H108" s="54">
        <f t="shared" si="7"/>
        <v>5000</v>
      </c>
      <c r="I108" s="58"/>
      <c r="J108" s="59"/>
      <c r="K108" s="44">
        <v>36</v>
      </c>
    </row>
    <row r="109" spans="1:11" ht="24.95" customHeight="1">
      <c r="A109" s="50"/>
      <c r="B109" s="51" t="s">
        <v>577</v>
      </c>
      <c r="C109" s="52"/>
      <c r="D109" s="60" t="s">
        <v>509</v>
      </c>
      <c r="E109" s="54">
        <v>5</v>
      </c>
      <c r="F109" s="54">
        <v>1500</v>
      </c>
      <c r="G109" s="61" t="str">
        <f t="shared" si="6"/>
        <v>24개월</v>
      </c>
      <c r="H109" s="54">
        <f t="shared" si="7"/>
        <v>312</v>
      </c>
      <c r="I109" s="58"/>
      <c r="J109" s="59"/>
      <c r="K109" s="44">
        <v>24</v>
      </c>
    </row>
    <row r="110" spans="1:11" ht="24.95" customHeight="1">
      <c r="A110" s="50"/>
      <c r="B110" s="51" t="s">
        <v>578</v>
      </c>
      <c r="C110" s="52"/>
      <c r="D110" s="60" t="s">
        <v>510</v>
      </c>
      <c r="E110" s="54">
        <v>5</v>
      </c>
      <c r="F110" s="54">
        <v>1000</v>
      </c>
      <c r="G110" s="61" t="str">
        <f t="shared" si="6"/>
        <v>24개월</v>
      </c>
      <c r="H110" s="54">
        <f t="shared" si="7"/>
        <v>208</v>
      </c>
      <c r="I110" s="58"/>
      <c r="J110" s="59"/>
      <c r="K110" s="44">
        <v>24</v>
      </c>
    </row>
    <row r="111" spans="1:11" ht="24.95" customHeight="1">
      <c r="A111" s="50"/>
      <c r="B111" s="51" t="s">
        <v>579</v>
      </c>
      <c r="C111" s="52"/>
      <c r="D111" s="60" t="s">
        <v>511</v>
      </c>
      <c r="E111" s="54">
        <v>5</v>
      </c>
      <c r="F111" s="54">
        <v>10000</v>
      </c>
      <c r="G111" s="61" t="str">
        <f t="shared" si="6"/>
        <v>36개월</v>
      </c>
      <c r="H111" s="54">
        <f t="shared" si="7"/>
        <v>1388</v>
      </c>
      <c r="I111" s="58"/>
      <c r="J111" s="59"/>
      <c r="K111" s="44">
        <v>36</v>
      </c>
    </row>
    <row r="112" spans="1:11" ht="24.95" customHeight="1">
      <c r="A112" s="50"/>
      <c r="B112" s="51" t="s">
        <v>580</v>
      </c>
      <c r="C112" s="52"/>
      <c r="D112" s="60" t="s">
        <v>512</v>
      </c>
      <c r="E112" s="54">
        <v>6</v>
      </c>
      <c r="F112" s="54">
        <v>350000</v>
      </c>
      <c r="G112" s="61" t="str">
        <f t="shared" si="6"/>
        <v>36개월</v>
      </c>
      <c r="H112" s="54">
        <f t="shared" si="7"/>
        <v>58333</v>
      </c>
      <c r="I112" s="58"/>
      <c r="J112" s="59"/>
      <c r="K112" s="44">
        <v>36</v>
      </c>
    </row>
    <row r="113" spans="1:11" ht="24.95" customHeight="1">
      <c r="A113" s="50"/>
      <c r="B113" s="51" t="s">
        <v>581</v>
      </c>
      <c r="C113" s="52"/>
      <c r="D113" s="60" t="s">
        <v>513</v>
      </c>
      <c r="E113" s="54">
        <v>6</v>
      </c>
      <c r="F113" s="54">
        <v>25000</v>
      </c>
      <c r="G113" s="61" t="str">
        <f t="shared" si="6"/>
        <v>6개월</v>
      </c>
      <c r="H113" s="54">
        <f t="shared" si="7"/>
        <v>25000</v>
      </c>
      <c r="I113" s="58"/>
      <c r="J113" s="59"/>
      <c r="K113" s="44">
        <v>6</v>
      </c>
    </row>
    <row r="114" spans="1:11" ht="24.95" customHeight="1">
      <c r="A114" s="50"/>
      <c r="B114" s="51"/>
      <c r="C114" s="52"/>
      <c r="D114" s="60"/>
      <c r="E114" s="54"/>
      <c r="F114" s="54"/>
      <c r="G114" s="61"/>
      <c r="H114" s="54"/>
      <c r="I114" s="58"/>
      <c r="J114" s="59"/>
    </row>
    <row r="115" spans="1:11" ht="24.95" customHeight="1">
      <c r="A115" s="50"/>
      <c r="B115" s="51"/>
      <c r="C115" s="52"/>
      <c r="D115" s="60"/>
      <c r="E115" s="54"/>
      <c r="F115" s="54"/>
      <c r="G115" s="61"/>
      <c r="H115" s="54"/>
      <c r="I115" s="58"/>
      <c r="J115" s="59"/>
    </row>
    <row r="116" spans="1:11" ht="24.95" customHeight="1">
      <c r="A116" s="50"/>
      <c r="B116" s="51"/>
      <c r="C116" s="52"/>
      <c r="D116" s="60"/>
      <c r="E116" s="54"/>
      <c r="F116" s="54"/>
      <c r="G116" s="61"/>
      <c r="H116" s="54"/>
      <c r="I116" s="58"/>
      <c r="J116" s="59"/>
    </row>
    <row r="117" spans="1:11" ht="24.95" customHeight="1">
      <c r="A117" s="46" t="s">
        <v>184</v>
      </c>
      <c r="B117" s="47"/>
      <c r="C117" s="47"/>
      <c r="D117" s="62"/>
      <c r="E117" s="54"/>
      <c r="F117" s="54"/>
      <c r="G117" s="61"/>
      <c r="H117" s="54">
        <f>SUM(H97:H116)</f>
        <v>126521</v>
      </c>
      <c r="I117" s="58"/>
      <c r="J117" s="59"/>
    </row>
    <row r="118" spans="1:11" ht="24.95" customHeight="1">
      <c r="A118" s="50">
        <v>4</v>
      </c>
      <c r="B118" s="51"/>
      <c r="C118" s="52"/>
      <c r="D118" s="60" t="s">
        <v>650</v>
      </c>
      <c r="E118" s="54"/>
      <c r="F118" s="54"/>
      <c r="G118" s="61"/>
      <c r="H118" s="54"/>
      <c r="I118" s="58"/>
      <c r="J118" s="59"/>
    </row>
    <row r="119" spans="1:11" ht="24.95" customHeight="1">
      <c r="A119" s="50"/>
      <c r="B119" s="51" t="s">
        <v>328</v>
      </c>
      <c r="C119" s="52"/>
      <c r="D119" s="60" t="s">
        <v>514</v>
      </c>
      <c r="E119" s="54">
        <v>1</v>
      </c>
      <c r="F119" s="54">
        <v>2500000</v>
      </c>
      <c r="G119" s="61" t="str">
        <f t="shared" ref="G119:G126" si="8">""&amp;K119&amp;"개월"</f>
        <v>60개월</v>
      </c>
      <c r="H119" s="54">
        <f t="shared" ref="H119:H126" si="9">TRUNC(E119*F119/K119)</f>
        <v>41666</v>
      </c>
      <c r="I119" s="58"/>
      <c r="J119" s="59"/>
      <c r="K119" s="44">
        <v>60</v>
      </c>
    </row>
    <row r="120" spans="1:11" ht="24.95" customHeight="1">
      <c r="A120" s="50"/>
      <c r="B120" s="51" t="s">
        <v>329</v>
      </c>
      <c r="C120" s="52"/>
      <c r="D120" s="60" t="s">
        <v>515</v>
      </c>
      <c r="E120" s="54">
        <v>11</v>
      </c>
      <c r="F120" s="54">
        <v>150000</v>
      </c>
      <c r="G120" s="61" t="str">
        <f t="shared" si="8"/>
        <v>36개월</v>
      </c>
      <c r="H120" s="54">
        <f t="shared" si="9"/>
        <v>45833</v>
      </c>
      <c r="I120" s="58"/>
      <c r="J120" s="59"/>
      <c r="K120" s="44">
        <v>36</v>
      </c>
    </row>
    <row r="121" spans="1:11" ht="24.95" customHeight="1">
      <c r="A121" s="50"/>
      <c r="B121" s="51" t="s">
        <v>330</v>
      </c>
      <c r="C121" s="52"/>
      <c r="D121" s="60" t="s">
        <v>617</v>
      </c>
      <c r="E121" s="54">
        <v>1</v>
      </c>
      <c r="F121" s="54">
        <v>400000</v>
      </c>
      <c r="G121" s="61" t="str">
        <f t="shared" si="8"/>
        <v>30개월</v>
      </c>
      <c r="H121" s="54">
        <f t="shared" si="9"/>
        <v>13333</v>
      </c>
      <c r="I121" s="58"/>
      <c r="J121" s="59"/>
      <c r="K121" s="44">
        <v>30</v>
      </c>
    </row>
    <row r="122" spans="1:11" ht="24.95" customHeight="1">
      <c r="A122" s="50"/>
      <c r="B122" s="51" t="s">
        <v>331</v>
      </c>
      <c r="C122" s="52"/>
      <c r="D122" s="60" t="s">
        <v>618</v>
      </c>
      <c r="E122" s="54">
        <v>2</v>
      </c>
      <c r="F122" s="54">
        <v>200000</v>
      </c>
      <c r="G122" s="61" t="str">
        <f t="shared" si="8"/>
        <v>30개월</v>
      </c>
      <c r="H122" s="54">
        <f t="shared" si="9"/>
        <v>13333</v>
      </c>
      <c r="I122" s="58"/>
      <c r="J122" s="59"/>
      <c r="K122" s="44">
        <v>30</v>
      </c>
    </row>
    <row r="123" spans="1:11" ht="24.95" customHeight="1">
      <c r="A123" s="50"/>
      <c r="B123" s="51" t="s">
        <v>332</v>
      </c>
      <c r="C123" s="52"/>
      <c r="D123" s="60" t="s">
        <v>516</v>
      </c>
      <c r="E123" s="54">
        <v>1</v>
      </c>
      <c r="F123" s="54">
        <v>320000</v>
      </c>
      <c r="G123" s="61" t="str">
        <f t="shared" si="8"/>
        <v>6개월</v>
      </c>
      <c r="H123" s="54">
        <f t="shared" si="9"/>
        <v>53333</v>
      </c>
      <c r="I123" s="58"/>
      <c r="J123" s="59"/>
      <c r="K123" s="44">
        <v>6</v>
      </c>
    </row>
    <row r="124" spans="1:11" ht="24.95" customHeight="1">
      <c r="A124" s="50"/>
      <c r="B124" s="51" t="s">
        <v>333</v>
      </c>
      <c r="C124" s="52"/>
      <c r="D124" s="60" t="s">
        <v>619</v>
      </c>
      <c r="E124" s="54">
        <v>1</v>
      </c>
      <c r="F124" s="54">
        <v>350000</v>
      </c>
      <c r="G124" s="61" t="str">
        <f t="shared" si="8"/>
        <v>36개월</v>
      </c>
      <c r="H124" s="54">
        <f t="shared" si="9"/>
        <v>9722</v>
      </c>
      <c r="I124" s="58"/>
      <c r="J124" s="59"/>
      <c r="K124" s="44">
        <v>36</v>
      </c>
    </row>
    <row r="125" spans="1:11" ht="24.95" customHeight="1">
      <c r="A125" s="50"/>
      <c r="B125" s="51" t="s">
        <v>334</v>
      </c>
      <c r="C125" s="52"/>
      <c r="D125" s="60" t="s">
        <v>620</v>
      </c>
      <c r="E125" s="54">
        <v>1</v>
      </c>
      <c r="F125" s="54">
        <v>320000</v>
      </c>
      <c r="G125" s="61" t="str">
        <f t="shared" si="8"/>
        <v>36개월</v>
      </c>
      <c r="H125" s="54">
        <f t="shared" si="9"/>
        <v>8888</v>
      </c>
      <c r="I125" s="58"/>
      <c r="J125" s="59"/>
      <c r="K125" s="44">
        <v>36</v>
      </c>
    </row>
    <row r="126" spans="1:11" ht="24.95" customHeight="1">
      <c r="A126" s="50"/>
      <c r="B126" s="51" t="s">
        <v>335</v>
      </c>
      <c r="C126" s="52"/>
      <c r="D126" s="60" t="s">
        <v>517</v>
      </c>
      <c r="E126" s="54">
        <v>1</v>
      </c>
      <c r="F126" s="54">
        <v>250000</v>
      </c>
      <c r="G126" s="61" t="str">
        <f t="shared" si="8"/>
        <v>36개월</v>
      </c>
      <c r="H126" s="54">
        <f t="shared" si="9"/>
        <v>6944</v>
      </c>
      <c r="I126" s="58"/>
      <c r="J126" s="59"/>
      <c r="K126" s="44">
        <v>36</v>
      </c>
    </row>
    <row r="127" spans="1:11" ht="24.95" customHeight="1">
      <c r="A127" s="50"/>
      <c r="B127" s="51"/>
      <c r="C127" s="52"/>
      <c r="D127" s="60"/>
      <c r="E127" s="54"/>
      <c r="F127" s="54"/>
      <c r="G127" s="61"/>
      <c r="H127" s="54"/>
      <c r="I127" s="58"/>
      <c r="J127" s="59"/>
    </row>
    <row r="128" spans="1:11" ht="24.95" customHeight="1">
      <c r="A128" s="50"/>
      <c r="B128" s="51"/>
      <c r="C128" s="52"/>
      <c r="D128" s="60"/>
      <c r="E128" s="54"/>
      <c r="F128" s="54"/>
      <c r="G128" s="61"/>
      <c r="H128" s="54"/>
      <c r="I128" s="58"/>
      <c r="J128" s="59"/>
    </row>
    <row r="129" spans="1:10" ht="24.95" customHeight="1">
      <c r="A129" s="50"/>
      <c r="B129" s="51"/>
      <c r="C129" s="52"/>
      <c r="D129" s="60"/>
      <c r="E129" s="54"/>
      <c r="F129" s="54"/>
      <c r="G129" s="61"/>
      <c r="H129" s="54"/>
      <c r="I129" s="58"/>
      <c r="J129" s="59"/>
    </row>
    <row r="130" spans="1:10" ht="24.95" customHeight="1">
      <c r="A130" s="50"/>
      <c r="B130" s="51"/>
      <c r="C130" s="52"/>
      <c r="D130" s="60"/>
      <c r="E130" s="54"/>
      <c r="F130" s="54"/>
      <c r="G130" s="61"/>
      <c r="H130" s="54"/>
      <c r="I130" s="58"/>
      <c r="J130" s="59"/>
    </row>
    <row r="131" spans="1:10" ht="24.95" customHeight="1">
      <c r="A131" s="50"/>
      <c r="B131" s="51"/>
      <c r="C131" s="52"/>
      <c r="D131" s="60"/>
      <c r="E131" s="54"/>
      <c r="F131" s="54"/>
      <c r="G131" s="61"/>
      <c r="H131" s="54"/>
      <c r="I131" s="58"/>
      <c r="J131" s="59"/>
    </row>
    <row r="132" spans="1:10" ht="24.95" customHeight="1">
      <c r="A132" s="50"/>
      <c r="B132" s="51"/>
      <c r="C132" s="52"/>
      <c r="D132" s="60"/>
      <c r="E132" s="54"/>
      <c r="F132" s="54"/>
      <c r="G132" s="61"/>
      <c r="H132" s="54"/>
      <c r="I132" s="58"/>
      <c r="J132" s="59"/>
    </row>
    <row r="133" spans="1:10" ht="24.95" customHeight="1">
      <c r="A133" s="50"/>
      <c r="B133" s="51"/>
      <c r="C133" s="52"/>
      <c r="D133" s="60"/>
      <c r="E133" s="54"/>
      <c r="F133" s="54"/>
      <c r="G133" s="61"/>
      <c r="H133" s="54"/>
      <c r="I133" s="58"/>
      <c r="J133" s="59"/>
    </row>
    <row r="134" spans="1:10" ht="24.95" customHeight="1">
      <c r="A134" s="50"/>
      <c r="B134" s="51"/>
      <c r="C134" s="52"/>
      <c r="D134" s="60"/>
      <c r="E134" s="54"/>
      <c r="F134" s="54"/>
      <c r="G134" s="61"/>
      <c r="H134" s="54"/>
      <c r="I134" s="58"/>
      <c r="J134" s="59"/>
    </row>
    <row r="135" spans="1:10" ht="24.95" customHeight="1">
      <c r="A135" s="50"/>
      <c r="B135" s="51"/>
      <c r="C135" s="52"/>
      <c r="D135" s="60"/>
      <c r="E135" s="54"/>
      <c r="F135" s="54"/>
      <c r="G135" s="61"/>
      <c r="H135" s="54"/>
      <c r="I135" s="58"/>
      <c r="J135" s="59"/>
    </row>
    <row r="136" spans="1:10" ht="24.95" customHeight="1">
      <c r="A136" s="50"/>
      <c r="B136" s="51"/>
      <c r="C136" s="52"/>
      <c r="D136" s="60"/>
      <c r="E136" s="54"/>
      <c r="F136" s="54"/>
      <c r="G136" s="61"/>
      <c r="H136" s="54"/>
      <c r="I136" s="58"/>
      <c r="J136" s="59"/>
    </row>
    <row r="137" spans="1:10" ht="24.95" customHeight="1">
      <c r="A137" s="50"/>
      <c r="B137" s="51"/>
      <c r="C137" s="52"/>
      <c r="D137" s="60"/>
      <c r="E137" s="54"/>
      <c r="F137" s="54"/>
      <c r="G137" s="61"/>
      <c r="H137" s="54"/>
      <c r="I137" s="58"/>
      <c r="J137" s="59"/>
    </row>
    <row r="138" spans="1:10" ht="24.95" customHeight="1">
      <c r="A138" s="50"/>
      <c r="B138" s="51"/>
      <c r="C138" s="52"/>
      <c r="D138" s="60"/>
      <c r="E138" s="54"/>
      <c r="F138" s="54"/>
      <c r="G138" s="61"/>
      <c r="H138" s="54"/>
      <c r="I138" s="58"/>
      <c r="J138" s="59"/>
    </row>
    <row r="139" spans="1:10" ht="24.95" customHeight="1">
      <c r="A139" s="46" t="s">
        <v>184</v>
      </c>
      <c r="B139" s="47"/>
      <c r="C139" s="47"/>
      <c r="D139" s="62"/>
      <c r="E139" s="54"/>
      <c r="F139" s="54"/>
      <c r="G139" s="61"/>
      <c r="H139" s="54">
        <f>SUM(H119:H138)</f>
        <v>193052</v>
      </c>
      <c r="I139" s="58"/>
      <c r="J139" s="59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D22"/>
  <sheetViews>
    <sheetView showGridLines="0" showZeros="0" view="pageBreakPreview" zoomScale="55" zoomScaleNormal="100" zoomScaleSheetLayoutView="55" workbookViewId="0">
      <selection activeCell="AA3" sqref="AA3"/>
    </sheetView>
  </sheetViews>
  <sheetFormatPr defaultColWidth="8.140625" defaultRowHeight="30" customHeight="1"/>
  <cols>
    <col min="1" max="1" width="11.5703125" style="100" customWidth="1"/>
    <col min="2" max="2" width="24.42578125" style="100" customWidth="1"/>
    <col min="3" max="3" width="9.85546875" style="100" customWidth="1"/>
    <col min="4" max="4" width="48.710937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4"/>
      <c r="C4" s="104"/>
      <c r="D4" s="104"/>
    </row>
    <row r="5" spans="1:4" s="106" customFormat="1" ht="30" customHeight="1">
      <c r="A5" s="104"/>
      <c r="B5" s="104"/>
      <c r="C5" s="104"/>
      <c r="D5" s="104"/>
    </row>
    <row r="6" spans="1:4" ht="30" customHeight="1">
      <c r="A6" s="104"/>
      <c r="B6" s="104"/>
      <c r="C6" s="104"/>
      <c r="D6" s="104"/>
    </row>
    <row r="7" spans="1:4" ht="30" customHeight="1">
      <c r="A7" s="104"/>
      <c r="B7" s="107"/>
      <c r="C7" s="107"/>
      <c r="D7" s="107"/>
    </row>
    <row r="8" spans="1:4" ht="39.950000000000003" customHeight="1">
      <c r="A8" s="108"/>
      <c r="B8" s="109"/>
      <c r="C8" s="733" t="s">
        <v>874</v>
      </c>
      <c r="D8" s="733"/>
    </row>
    <row r="9" spans="1:4" ht="30" customHeight="1">
      <c r="A9" s="108"/>
      <c r="B9" s="109"/>
      <c r="C9" s="110"/>
      <c r="D9" s="111"/>
    </row>
    <row r="10" spans="1:4" ht="30" customHeight="1">
      <c r="A10" s="108"/>
      <c r="B10" s="109"/>
      <c r="C10" s="110"/>
      <c r="D10" s="111"/>
    </row>
    <row r="11" spans="1:4" ht="30" customHeight="1">
      <c r="A11" s="108"/>
      <c r="B11" s="109"/>
      <c r="C11" s="110"/>
      <c r="D11" s="111"/>
    </row>
    <row r="12" spans="1:4" ht="30" customHeight="1">
      <c r="A12" s="108"/>
      <c r="B12" s="109"/>
      <c r="C12" s="110"/>
      <c r="D12" s="111"/>
    </row>
    <row r="13" spans="1:4" ht="30" customHeight="1">
      <c r="A13" s="108"/>
      <c r="B13" s="109"/>
      <c r="C13" s="110"/>
      <c r="D13" s="111"/>
    </row>
    <row r="14" spans="1:4" ht="30" customHeight="1">
      <c r="A14" s="108"/>
      <c r="B14" s="109"/>
      <c r="C14" s="110"/>
      <c r="D14" s="111"/>
    </row>
    <row r="15" spans="1:4" ht="30" customHeight="1">
      <c r="A15" s="108"/>
      <c r="B15" s="109"/>
      <c r="C15" s="110"/>
      <c r="D15" s="111"/>
    </row>
    <row r="16" spans="1:4" ht="30" customHeight="1">
      <c r="A16" s="108"/>
      <c r="B16" s="109"/>
      <c r="C16" s="110"/>
      <c r="D16" s="111"/>
    </row>
    <row r="17" spans="1:4" ht="30" customHeight="1">
      <c r="A17" s="108"/>
      <c r="B17" s="109"/>
      <c r="C17" s="110"/>
      <c r="D17" s="111"/>
    </row>
    <row r="18" spans="1:4" ht="30" customHeight="1">
      <c r="A18" s="108"/>
      <c r="B18" s="109"/>
      <c r="C18" s="110"/>
      <c r="D18" s="111"/>
    </row>
    <row r="19" spans="1:4" ht="30" customHeight="1">
      <c r="A19" s="108"/>
      <c r="B19" s="109"/>
      <c r="C19" s="110"/>
      <c r="D19" s="111"/>
    </row>
    <row r="20" spans="1:4" ht="30" customHeight="1">
      <c r="A20" s="108"/>
      <c r="B20" s="109"/>
      <c r="C20" s="110"/>
      <c r="D20" s="111"/>
    </row>
    <row r="21" spans="1:4" ht="30" customHeight="1">
      <c r="A21" s="108"/>
      <c r="B21" s="109"/>
      <c r="C21" s="110"/>
      <c r="D21" s="111"/>
    </row>
    <row r="22" spans="1:4" ht="39.950000000000003" customHeight="1">
      <c r="A22" s="112"/>
      <c r="B22" s="112"/>
      <c r="C22" s="112"/>
      <c r="D22" s="112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6" orientation="portrait" useFirstPageNumber="1" r:id="rId1"/>
  <headerFooter alignWithMargins="0">
    <oddFooter>&amp;C&amp;"바탕체,보통"&amp;10-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showGridLines="0" showZeros="0" view="pageBreakPreview" zoomScale="55" zoomScaleNormal="100" zoomScaleSheetLayoutView="55" workbookViewId="0">
      <selection activeCell="AA3" sqref="AA3"/>
    </sheetView>
  </sheetViews>
  <sheetFormatPr defaultColWidth="8.140625" defaultRowHeight="30" customHeight="1"/>
  <cols>
    <col min="1" max="1" width="11.5703125" style="100" customWidth="1"/>
    <col min="2" max="2" width="24.42578125" style="100" customWidth="1"/>
    <col min="3" max="3" width="9.85546875" style="100" customWidth="1"/>
    <col min="4" max="4" width="48.710937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4"/>
      <c r="C4" s="104"/>
      <c r="D4" s="104"/>
    </row>
    <row r="5" spans="1:4" s="106" customFormat="1" ht="30" customHeight="1">
      <c r="A5" s="104"/>
      <c r="B5" s="104"/>
      <c r="C5" s="104"/>
      <c r="D5" s="104"/>
    </row>
    <row r="6" spans="1:4" ht="30" customHeight="1">
      <c r="A6" s="104"/>
      <c r="B6" s="104"/>
      <c r="C6" s="104"/>
      <c r="D6" s="104"/>
    </row>
    <row r="7" spans="1:4" ht="30" customHeight="1">
      <c r="A7" s="104"/>
      <c r="B7" s="107"/>
      <c r="C7" s="107"/>
      <c r="D7" s="107"/>
    </row>
    <row r="8" spans="1:4" ht="39.950000000000003" customHeight="1">
      <c r="A8" s="108"/>
      <c r="B8" s="109"/>
      <c r="C8" s="733" t="s">
        <v>933</v>
      </c>
      <c r="D8" s="733"/>
    </row>
    <row r="9" spans="1:4" ht="30" customHeight="1">
      <c r="A9" s="108"/>
      <c r="B9" s="109"/>
      <c r="C9" s="110"/>
      <c r="D9" s="111"/>
    </row>
    <row r="10" spans="1:4" ht="30" customHeight="1">
      <c r="A10" s="108"/>
      <c r="B10" s="109"/>
      <c r="C10" s="110"/>
      <c r="D10" s="111"/>
    </row>
    <row r="11" spans="1:4" ht="30" customHeight="1">
      <c r="A11" s="108"/>
      <c r="B11" s="109"/>
      <c r="C11" s="110"/>
      <c r="D11" s="111"/>
    </row>
    <row r="12" spans="1:4" ht="30" customHeight="1">
      <c r="A12" s="108"/>
      <c r="B12" s="109"/>
      <c r="C12" s="110"/>
      <c r="D12" s="111"/>
    </row>
    <row r="13" spans="1:4" ht="30" customHeight="1">
      <c r="A13" s="108"/>
      <c r="B13" s="109"/>
      <c r="C13" s="110"/>
      <c r="D13" s="111"/>
    </row>
    <row r="14" spans="1:4" ht="30" customHeight="1">
      <c r="A14" s="108"/>
      <c r="B14" s="109"/>
      <c r="C14" s="110"/>
      <c r="D14" s="111"/>
    </row>
    <row r="15" spans="1:4" ht="30" customHeight="1">
      <c r="A15" s="108"/>
      <c r="B15" s="109"/>
      <c r="C15" s="110"/>
      <c r="D15" s="111"/>
    </row>
    <row r="16" spans="1:4" ht="30" customHeight="1">
      <c r="A16" s="108"/>
      <c r="B16" s="109"/>
      <c r="C16" s="110"/>
      <c r="D16" s="111"/>
    </row>
    <row r="17" spans="1:4" ht="30" customHeight="1">
      <c r="A17" s="108"/>
      <c r="B17" s="109"/>
      <c r="C17" s="110"/>
      <c r="D17" s="111"/>
    </row>
    <row r="18" spans="1:4" ht="30" customHeight="1">
      <c r="A18" s="108"/>
      <c r="B18" s="109"/>
      <c r="C18" s="110"/>
      <c r="D18" s="111"/>
    </row>
    <row r="19" spans="1:4" ht="30" customHeight="1">
      <c r="A19" s="108"/>
      <c r="B19" s="109"/>
      <c r="C19" s="110"/>
      <c r="D19" s="111"/>
    </row>
    <row r="20" spans="1:4" ht="30" customHeight="1">
      <c r="A20" s="108"/>
      <c r="B20" s="109"/>
      <c r="C20" s="110"/>
      <c r="D20" s="111"/>
    </row>
    <row r="21" spans="1:4" ht="30" customHeight="1">
      <c r="A21" s="108"/>
      <c r="B21" s="109"/>
      <c r="C21" s="110"/>
      <c r="D21" s="111"/>
    </row>
    <row r="22" spans="1:4" ht="39.950000000000003" customHeight="1">
      <c r="A22" s="112"/>
      <c r="B22" s="112"/>
      <c r="C22" s="112"/>
      <c r="D22" s="112"/>
    </row>
  </sheetData>
  <mergeCells count="2">
    <mergeCell ref="A1:D1"/>
    <mergeCell ref="C8:D8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0" orientation="portrait" useFirstPageNumber="1" r:id="rId1"/>
  <headerFooter alignWithMargins="0">
    <oddFooter>&amp;C&amp;"바탕체,보통"&amp;10-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"/>
  <sheetViews>
    <sheetView showGridLines="0" showZeros="0" view="pageBreakPreview" zoomScaleNormal="100" zoomScaleSheetLayoutView="100" workbookViewId="0">
      <selection activeCell="K7" sqref="K7:K8"/>
    </sheetView>
  </sheetViews>
  <sheetFormatPr defaultRowHeight="12"/>
  <cols>
    <col min="1" max="1" width="9.42578125" style="21" customWidth="1"/>
    <col min="2" max="2" width="1.7109375" style="21" customWidth="1"/>
    <col min="3" max="3" width="9.85546875" style="22" customWidth="1"/>
    <col min="4" max="5" width="1.7109375" style="22" customWidth="1"/>
    <col min="6" max="6" width="13.42578125" style="22" customWidth="1"/>
    <col min="7" max="7" width="1.7109375" style="22" customWidth="1"/>
    <col min="8" max="8" width="5.7109375" style="91" customWidth="1"/>
    <col min="9" max="9" width="1.140625" style="22" customWidth="1"/>
    <col min="10" max="10" width="12.7109375" style="22" customWidth="1"/>
    <col min="11" max="11" width="12.7109375" style="9" customWidth="1"/>
    <col min="12" max="12" width="6.7109375" style="9" customWidth="1"/>
    <col min="13" max="13" width="1.7109375" style="10" customWidth="1"/>
    <col min="14" max="14" width="14.7109375" style="10" customWidth="1"/>
    <col min="15" max="15" width="17.85546875" style="21" bestFit="1" customWidth="1"/>
    <col min="16" max="16" width="16.5703125" style="21" customWidth="1"/>
    <col min="17" max="16384" width="9.140625" style="21"/>
  </cols>
  <sheetData>
    <row r="1" spans="1:16" ht="20.100000000000001" customHeight="1">
      <c r="A1" s="24"/>
    </row>
    <row r="2" spans="1:16" ht="39.950000000000003" customHeight="1">
      <c r="A2" s="15" t="s">
        <v>920</v>
      </c>
      <c r="B2" s="15"/>
      <c r="C2" s="16"/>
      <c r="D2" s="16"/>
      <c r="E2" s="16"/>
      <c r="F2" s="16"/>
      <c r="G2" s="16"/>
      <c r="H2" s="92"/>
      <c r="I2" s="16"/>
      <c r="J2" s="16"/>
      <c r="K2" s="16"/>
      <c r="L2" s="16"/>
      <c r="M2" s="15"/>
      <c r="N2" s="15"/>
    </row>
    <row r="3" spans="1:16" ht="20.100000000000001" customHeight="1">
      <c r="A3" s="17"/>
      <c r="B3" s="17"/>
      <c r="C3" s="30"/>
      <c r="D3" s="30"/>
      <c r="E3" s="30"/>
      <c r="F3" s="30"/>
      <c r="G3" s="30"/>
      <c r="H3" s="93"/>
      <c r="I3" s="30"/>
      <c r="J3" s="30"/>
      <c r="K3" s="30"/>
      <c r="L3" s="30"/>
      <c r="M3" s="17"/>
      <c r="N3" s="17"/>
    </row>
    <row r="4" spans="1:16" ht="20.100000000000001" customHeight="1">
      <c r="A4" s="21" t="s">
        <v>898</v>
      </c>
      <c r="N4" s="29" t="s">
        <v>189</v>
      </c>
    </row>
    <row r="5" spans="1:16" ht="44.25" customHeight="1">
      <c r="A5" s="77" t="s">
        <v>269</v>
      </c>
      <c r="B5" s="78" t="s">
        <v>271</v>
      </c>
      <c r="C5" s="78"/>
      <c r="D5" s="78"/>
      <c r="E5" s="5"/>
      <c r="F5" s="4" t="s">
        <v>270</v>
      </c>
      <c r="G5" s="3"/>
      <c r="H5" s="94" t="s">
        <v>797</v>
      </c>
      <c r="I5" s="79"/>
      <c r="J5" s="80" t="s">
        <v>796</v>
      </c>
      <c r="K5" s="76" t="s">
        <v>6</v>
      </c>
      <c r="L5" s="81" t="s">
        <v>7</v>
      </c>
      <c r="M5" s="79"/>
      <c r="N5" s="76" t="s">
        <v>8</v>
      </c>
    </row>
    <row r="6" spans="1:16" ht="43.5" customHeight="1">
      <c r="A6" s="14"/>
      <c r="B6" s="22"/>
      <c r="C6" s="23"/>
      <c r="D6" s="23"/>
      <c r="E6" s="82"/>
      <c r="F6" s="23"/>
      <c r="G6" s="13"/>
      <c r="H6" s="95" t="s">
        <v>9</v>
      </c>
      <c r="I6" s="84"/>
      <c r="J6" s="84" t="s">
        <v>10</v>
      </c>
      <c r="K6" s="84" t="s">
        <v>11</v>
      </c>
      <c r="L6" s="83" t="s">
        <v>12</v>
      </c>
      <c r="M6" s="84"/>
      <c r="N6" s="84" t="s">
        <v>13</v>
      </c>
    </row>
    <row r="7" spans="1:16" ht="43.5" customHeight="1">
      <c r="A7" s="670" t="s">
        <v>906</v>
      </c>
      <c r="B7" s="687"/>
      <c r="C7" s="7" t="str">
        <f>인집!B6</f>
        <v>운전원</v>
      </c>
      <c r="D7" s="7"/>
      <c r="E7" s="688"/>
      <c r="F7" s="689" t="str">
        <f>인집!E6</f>
        <v>보통인부</v>
      </c>
      <c r="G7" s="690"/>
      <c r="H7" s="653">
        <f>투입인원!F7</f>
        <v>2</v>
      </c>
      <c r="I7" s="26"/>
      <c r="J7" s="12">
        <f>원가!G34</f>
        <v>2830323</v>
      </c>
      <c r="K7" s="12">
        <f>TRUNC(J7*H7,0)</f>
        <v>5660646</v>
      </c>
      <c r="L7" s="20">
        <v>3</v>
      </c>
      <c r="M7" s="26"/>
      <c r="N7" s="12">
        <f>TRUNC(K7*L7,0)</f>
        <v>16981938</v>
      </c>
    </row>
    <row r="8" spans="1:16" ht="43.5" customHeight="1">
      <c r="A8" s="118" t="s">
        <v>907</v>
      </c>
      <c r="B8" s="22"/>
      <c r="C8" s="8" t="str">
        <f>인집!B7</f>
        <v>사무원</v>
      </c>
      <c r="D8" s="8"/>
      <c r="E8" s="85"/>
      <c r="F8" s="86" t="str">
        <f>인집!E7</f>
        <v>보통인부</v>
      </c>
      <c r="G8" s="87"/>
      <c r="H8" s="96">
        <f>투입인원!F9</f>
        <v>1</v>
      </c>
      <c r="I8" s="18"/>
      <c r="J8" s="18">
        <f>원가!G68</f>
        <v>2695924</v>
      </c>
      <c r="K8" s="11">
        <f>TRUNC(J8*H8,0)</f>
        <v>2695924</v>
      </c>
      <c r="L8" s="19">
        <v>3</v>
      </c>
      <c r="M8" s="18"/>
      <c r="N8" s="11">
        <f>TRUNC(K8*L8,0)</f>
        <v>8087772</v>
      </c>
    </row>
    <row r="9" spans="1:16" ht="43.5" customHeight="1">
      <c r="A9" s="76" t="s">
        <v>14</v>
      </c>
      <c r="B9" s="27"/>
      <c r="C9" s="27"/>
      <c r="D9" s="27"/>
      <c r="E9" s="2"/>
      <c r="F9" s="7"/>
      <c r="G9" s="1"/>
      <c r="H9" s="98">
        <f>SUM(H7:H8)</f>
        <v>3</v>
      </c>
      <c r="I9" s="26"/>
      <c r="J9" s="26"/>
      <c r="K9" s="12"/>
      <c r="L9" s="20"/>
      <c r="M9" s="26"/>
      <c r="N9" s="12">
        <f>SUM(N7:N8)</f>
        <v>25069710</v>
      </c>
      <c r="O9" s="88">
        <v>100052676</v>
      </c>
      <c r="P9" s="89"/>
    </row>
    <row r="10" spans="1:16" ht="24.95" customHeight="1">
      <c r="A10" s="25" t="str">
        <f>"주 1) 투입인원 : "&amp;투입인원!A1&amp;투입인원!A2&amp;" 참조"</f>
        <v>주 1) 투입인원 : &lt; 표 : 10 &gt; 적용직종 및 소요인원산정표 참조</v>
      </c>
      <c r="B10" s="25"/>
      <c r="C10" s="25"/>
      <c r="D10" s="25"/>
      <c r="E10" s="6"/>
      <c r="F10" s="8"/>
      <c r="G10" s="6"/>
      <c r="H10" s="99"/>
      <c r="I10" s="6"/>
      <c r="J10" s="6"/>
      <c r="M10" s="9"/>
      <c r="N10" s="9"/>
      <c r="O10" s="88"/>
    </row>
    <row r="11" spans="1:16" ht="24.95" customHeight="1">
      <c r="A11" s="25" t="str">
        <f>"   2) 단위(1인)당월간용역비 : "&amp;원가집계!A1&amp;원가집계!A2&amp;" 참조"</f>
        <v xml:space="preserve">   2) 단위(1인)당월간용역비 : &lt; 표 : 1 &gt; 용역원가계산서 참조</v>
      </c>
      <c r="B11" s="25"/>
      <c r="C11" s="25"/>
      <c r="D11" s="25"/>
      <c r="E11" s="6"/>
      <c r="F11" s="8"/>
      <c r="G11" s="6"/>
      <c r="H11" s="99"/>
      <c r="I11" s="6"/>
      <c r="J11" s="6"/>
      <c r="M11" s="9"/>
      <c r="N11" s="90"/>
    </row>
    <row r="12" spans="1:16" ht="24.95" customHeight="1">
      <c r="A12" s="28" t="s">
        <v>799</v>
      </c>
      <c r="B12" s="28"/>
      <c r="C12" s="25"/>
      <c r="D12" s="25"/>
      <c r="E12" s="6"/>
      <c r="F12" s="8"/>
      <c r="G12" s="6"/>
      <c r="H12" s="99"/>
      <c r="I12" s="6"/>
      <c r="J12" s="6"/>
      <c r="M12" s="9"/>
      <c r="N12" s="90"/>
    </row>
    <row r="13" spans="1:16" ht="24.95" customHeight="1">
      <c r="A13" s="28" t="s">
        <v>800</v>
      </c>
      <c r="B13" s="28"/>
      <c r="C13" s="25"/>
      <c r="D13" s="25"/>
      <c r="E13" s="6"/>
      <c r="F13" s="8"/>
      <c r="G13" s="6"/>
      <c r="H13" s="99"/>
      <c r="I13" s="6"/>
      <c r="J13" s="6"/>
      <c r="M13" s="9"/>
      <c r="N13" s="90"/>
    </row>
    <row r="14" spans="1:16" ht="24.95" customHeight="1">
      <c r="A14" s="28" t="s">
        <v>190</v>
      </c>
      <c r="B14" s="28"/>
      <c r="C14" s="25"/>
      <c r="D14" s="25"/>
      <c r="E14" s="6"/>
      <c r="F14" s="8"/>
      <c r="G14" s="6"/>
      <c r="H14" s="99"/>
      <c r="I14" s="6"/>
      <c r="J14" s="6"/>
      <c r="M14" s="9"/>
      <c r="N14" s="9"/>
    </row>
    <row r="15" spans="1:16" ht="24.95" customHeight="1">
      <c r="A15" s="28" t="s">
        <v>798</v>
      </c>
      <c r="B15" s="28"/>
      <c r="C15" s="25"/>
      <c r="D15" s="25"/>
      <c r="E15" s="6"/>
      <c r="F15" s="8"/>
      <c r="G15" s="6"/>
      <c r="H15" s="99"/>
      <c r="I15" s="6"/>
      <c r="J15" s="6"/>
      <c r="M15" s="9"/>
      <c r="N15" s="9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11" orientation="portrait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A1:D21"/>
  <sheetViews>
    <sheetView showGridLines="0" showZeros="0" view="pageBreakPreview" zoomScale="70" zoomScaleNormal="60" zoomScaleSheetLayoutView="70" workbookViewId="0">
      <selection activeCell="D12" sqref="D12"/>
    </sheetView>
  </sheetViews>
  <sheetFormatPr defaultColWidth="8.140625" defaultRowHeight="30" customHeight="1"/>
  <cols>
    <col min="1" max="1" width="11.5703125" style="100" customWidth="1"/>
    <col min="2" max="2" width="24.5703125" style="100" customWidth="1"/>
    <col min="3" max="3" width="15.85546875" style="100" bestFit="1" customWidth="1"/>
    <col min="4" max="4" width="42.570312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7"/>
      <c r="C4" s="107"/>
      <c r="D4" s="107"/>
    </row>
    <row r="5" spans="1:4" ht="39.950000000000003" customHeight="1">
      <c r="A5" s="108"/>
      <c r="B5" s="109"/>
      <c r="C5" s="733" t="s">
        <v>892</v>
      </c>
      <c r="D5" s="733"/>
    </row>
    <row r="6" spans="1:4" ht="32.25" customHeight="1">
      <c r="A6" s="108"/>
      <c r="B6" s="109"/>
      <c r="C6" s="110"/>
      <c r="D6" s="113"/>
    </row>
    <row r="7" spans="1:4" ht="32.25" customHeight="1">
      <c r="A7" s="108"/>
      <c r="B7" s="109"/>
      <c r="C7" s="698" t="s">
        <v>935</v>
      </c>
      <c r="D7" s="115" t="s">
        <v>936</v>
      </c>
    </row>
    <row r="8" spans="1:4" ht="32.25" customHeight="1">
      <c r="A8" s="108"/>
      <c r="B8" s="109"/>
      <c r="C8" s="698" t="s">
        <v>937</v>
      </c>
      <c r="D8" s="115" t="s">
        <v>938</v>
      </c>
    </row>
    <row r="9" spans="1:4" ht="32.25" customHeight="1">
      <c r="A9" s="108"/>
      <c r="B9" s="109"/>
      <c r="C9" s="698" t="s">
        <v>939</v>
      </c>
      <c r="D9" s="115" t="s">
        <v>940</v>
      </c>
    </row>
    <row r="10" spans="1:4" ht="32.25" customHeight="1">
      <c r="A10" s="108"/>
      <c r="B10" s="109"/>
      <c r="C10" s="698" t="s">
        <v>941</v>
      </c>
      <c r="D10" s="115" t="s">
        <v>942</v>
      </c>
    </row>
    <row r="11" spans="1:4" ht="32.25" customHeight="1">
      <c r="A11" s="108"/>
      <c r="B11" s="109"/>
      <c r="C11" s="698" t="s">
        <v>943</v>
      </c>
      <c r="D11" s="115" t="s">
        <v>944</v>
      </c>
    </row>
    <row r="12" spans="1:4" ht="32.25" customHeight="1">
      <c r="A12" s="108"/>
      <c r="B12" s="109"/>
      <c r="C12" s="698" t="s">
        <v>945</v>
      </c>
      <c r="D12" s="115" t="s">
        <v>946</v>
      </c>
    </row>
    <row r="13" spans="1:4" ht="32.25" customHeight="1">
      <c r="A13" s="108"/>
      <c r="B13" s="109"/>
      <c r="C13" s="114"/>
      <c r="D13" s="115"/>
    </row>
    <row r="14" spans="1:4" ht="32.25" customHeight="1">
      <c r="A14" s="108"/>
      <c r="B14" s="109"/>
      <c r="C14" s="114"/>
      <c r="D14" s="115"/>
    </row>
    <row r="15" spans="1:4" ht="32.25" customHeight="1">
      <c r="A15" s="108"/>
      <c r="B15" s="109"/>
      <c r="C15" s="114"/>
      <c r="D15" s="115"/>
    </row>
    <row r="16" spans="1:4" ht="32.25" customHeight="1">
      <c r="A16" s="108"/>
      <c r="B16" s="109"/>
      <c r="C16" s="114"/>
      <c r="D16" s="115"/>
    </row>
    <row r="17" spans="1:4" ht="32.25" customHeight="1">
      <c r="A17" s="108"/>
      <c r="B17" s="109"/>
      <c r="C17" s="114"/>
      <c r="D17" s="115"/>
    </row>
    <row r="18" spans="1:4" ht="32.25" customHeight="1">
      <c r="A18" s="108"/>
      <c r="B18" s="109"/>
      <c r="C18" s="114"/>
      <c r="D18" s="115"/>
    </row>
    <row r="19" spans="1:4" ht="32.25" customHeight="1">
      <c r="A19" s="108"/>
      <c r="B19" s="109"/>
      <c r="C19" s="114"/>
      <c r="D19" s="115"/>
    </row>
    <row r="20" spans="1:4" ht="32.25" customHeight="1">
      <c r="A20" s="108"/>
      <c r="B20" s="109"/>
      <c r="C20" s="116"/>
      <c r="D20" s="117"/>
    </row>
    <row r="21" spans="1:4" ht="39.950000000000003" customHeight="1">
      <c r="A21" s="112"/>
      <c r="B21" s="112"/>
      <c r="C21" s="112"/>
      <c r="D21" s="112"/>
    </row>
  </sheetData>
  <mergeCells count="2">
    <mergeCell ref="A1:D1"/>
    <mergeCell ref="C5:D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12" orientation="portrait" useFirstPageNumber="1" r:id="rId1"/>
  <headerFooter alignWithMargins="0">
    <oddFooter>&amp;C-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showGridLines="0" showZeros="0" view="pageBreakPreview" zoomScale="55" zoomScaleNormal="60" zoomScaleSheetLayoutView="55" workbookViewId="0">
      <selection activeCell="J15" sqref="J15"/>
    </sheetView>
  </sheetViews>
  <sheetFormatPr defaultColWidth="8.140625" defaultRowHeight="30" customHeight="1"/>
  <cols>
    <col min="1" max="1" width="11.5703125" style="100" customWidth="1"/>
    <col min="2" max="2" width="24.5703125" style="100" customWidth="1"/>
    <col min="3" max="3" width="15.85546875" style="100" bestFit="1" customWidth="1"/>
    <col min="4" max="4" width="42.5703125" style="100" customWidth="1"/>
    <col min="5" max="16384" width="8.140625" style="100"/>
  </cols>
  <sheetData>
    <row r="1" spans="1:4" ht="39.950000000000003" customHeight="1">
      <c r="A1" s="732" t="str">
        <f>간지!$A$1</f>
        <v>[ 경기문화재단 2012년도 파견용역 ]</v>
      </c>
      <c r="B1" s="732"/>
      <c r="C1" s="732"/>
      <c r="D1" s="732"/>
    </row>
    <row r="2" spans="1:4" s="103" customFormat="1" ht="30" customHeight="1">
      <c r="A2" s="101"/>
      <c r="B2" s="102"/>
      <c r="C2" s="102"/>
      <c r="D2" s="102"/>
    </row>
    <row r="3" spans="1:4" s="105" customFormat="1" ht="30" customHeight="1">
      <c r="A3" s="104"/>
      <c r="B3" s="104"/>
      <c r="C3" s="104"/>
      <c r="D3" s="104"/>
    </row>
    <row r="4" spans="1:4" ht="30" customHeight="1">
      <c r="A4" s="104"/>
      <c r="B4" s="107"/>
      <c r="C4" s="107"/>
      <c r="D4" s="107"/>
    </row>
    <row r="5" spans="1:4" ht="39.950000000000003" customHeight="1">
      <c r="A5" s="108"/>
      <c r="B5" s="109"/>
      <c r="C5" s="733" t="s">
        <v>947</v>
      </c>
      <c r="D5" s="733"/>
    </row>
    <row r="6" spans="1:4" ht="39.950000000000003" customHeight="1">
      <c r="A6" s="108"/>
      <c r="B6" s="109"/>
      <c r="C6" s="110"/>
      <c r="D6" s="113"/>
    </row>
    <row r="7" spans="1:4" ht="39.950000000000003" customHeight="1">
      <c r="A7" s="108"/>
      <c r="B7" s="109"/>
      <c r="C7" s="114" t="s">
        <v>934</v>
      </c>
      <c r="D7" s="115" t="str">
        <f>원가집계!A2</f>
        <v>용역원가계산서</v>
      </c>
    </row>
    <row r="8" spans="1:4" ht="39.950000000000003" customHeight="1">
      <c r="A8" s="108"/>
      <c r="B8" s="109"/>
      <c r="C8" s="114" t="s">
        <v>875</v>
      </c>
      <c r="D8" s="115" t="str">
        <f>원가!A2</f>
        <v>직종별용역원가계산서</v>
      </c>
    </row>
    <row r="9" spans="1:4" ht="39.950000000000003" customHeight="1">
      <c r="A9" s="108"/>
      <c r="B9" s="109"/>
      <c r="C9" s="114"/>
      <c r="D9" s="115"/>
    </row>
    <row r="10" spans="1:4" ht="39.950000000000003" customHeight="1">
      <c r="A10" s="108"/>
      <c r="B10" s="109"/>
      <c r="C10" s="114"/>
      <c r="D10" s="115"/>
    </row>
    <row r="11" spans="1:4" ht="39.950000000000003" customHeight="1">
      <c r="A11" s="108"/>
      <c r="B11" s="109"/>
      <c r="C11" s="114"/>
      <c r="D11" s="115"/>
    </row>
    <row r="12" spans="1:4" ht="39.950000000000003" customHeight="1">
      <c r="A12" s="108"/>
      <c r="B12" s="109"/>
      <c r="C12" s="114"/>
      <c r="D12" s="115"/>
    </row>
    <row r="13" spans="1:4" ht="39.950000000000003" customHeight="1">
      <c r="A13" s="108"/>
      <c r="B13" s="109"/>
      <c r="C13" s="114"/>
      <c r="D13" s="115"/>
    </row>
    <row r="14" spans="1:4" ht="39.950000000000003" customHeight="1">
      <c r="A14" s="108"/>
      <c r="B14" s="109"/>
      <c r="C14" s="114"/>
      <c r="D14" s="115"/>
    </row>
    <row r="15" spans="1:4" ht="39.950000000000003" customHeight="1">
      <c r="A15" s="108"/>
      <c r="B15" s="109"/>
      <c r="C15" s="114"/>
      <c r="D15" s="115"/>
    </row>
    <row r="16" spans="1:4" ht="39.950000000000003" customHeight="1">
      <c r="A16" s="108"/>
      <c r="B16" s="109"/>
      <c r="C16" s="114"/>
      <c r="D16" s="115"/>
    </row>
    <row r="17" spans="1:4" ht="39.950000000000003" customHeight="1">
      <c r="A17" s="108"/>
      <c r="B17" s="109"/>
      <c r="C17" s="116"/>
      <c r="D17" s="117"/>
    </row>
    <row r="18" spans="1:4" ht="39.950000000000003" customHeight="1">
      <c r="A18" s="112"/>
      <c r="B18" s="112"/>
      <c r="C18" s="112"/>
      <c r="D18" s="112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useFirstPageNumber="1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42</vt:i4>
      </vt:variant>
      <vt:variant>
        <vt:lpstr>이름이 지정된 범위</vt:lpstr>
      </vt:variant>
      <vt:variant>
        <vt:i4>29</vt:i4>
      </vt:variant>
    </vt:vector>
  </HeadingPairs>
  <TitlesOfParts>
    <vt:vector size="71" baseType="lpstr">
      <vt:lpstr>심사내역서</vt:lpstr>
      <vt:lpstr>목차</vt:lpstr>
      <vt:lpstr>간지</vt:lpstr>
      <vt:lpstr>간지2</vt:lpstr>
      <vt:lpstr>간지3</vt:lpstr>
      <vt:lpstr>간지3 (2)</vt:lpstr>
      <vt:lpstr>집계</vt:lpstr>
      <vt:lpstr>간지6</vt:lpstr>
      <vt:lpstr>간지6 (7)</vt:lpstr>
      <vt:lpstr>원가집계</vt:lpstr>
      <vt:lpstr>원가</vt:lpstr>
      <vt:lpstr>간지6 (6)</vt:lpstr>
      <vt:lpstr>인집</vt:lpstr>
      <vt:lpstr>단위당인건비</vt:lpstr>
      <vt:lpstr>월기본급</vt:lpstr>
      <vt:lpstr>연장근로</vt:lpstr>
      <vt:lpstr>휴일근로</vt:lpstr>
      <vt:lpstr>산정기준</vt:lpstr>
      <vt:lpstr>근무일수</vt:lpstr>
      <vt:lpstr>투입인원</vt:lpstr>
      <vt:lpstr>간지6 (5)</vt:lpstr>
      <vt:lpstr>경비집계표</vt:lpstr>
      <vt:lpstr>보험료</vt:lpstr>
      <vt:lpstr>보험료산출기준</vt:lpstr>
      <vt:lpstr>산재비율</vt:lpstr>
      <vt:lpstr>복리후생비</vt:lpstr>
      <vt:lpstr>식대</vt:lpstr>
      <vt:lpstr>체력단련비</vt:lpstr>
      <vt:lpstr>사업소세</vt:lpstr>
      <vt:lpstr>교육비</vt:lpstr>
      <vt:lpstr>간지6 (4)</vt:lpstr>
      <vt:lpstr>일반</vt:lpstr>
      <vt:lpstr>일반비율</vt:lpstr>
      <vt:lpstr>간지6 (3)</vt:lpstr>
      <vt:lpstr>이윤</vt:lpstr>
      <vt:lpstr>이윤율</vt:lpstr>
      <vt:lpstr>간지6 (2)</vt:lpstr>
      <vt:lpstr>기업</vt:lpstr>
      <vt:lpstr>Sheet1</vt:lpstr>
      <vt:lpstr>기타경비집계</vt:lpstr>
      <vt:lpstr>소모품</vt:lpstr>
      <vt:lpstr>감가상각</vt:lpstr>
      <vt:lpstr>감가상각!Print_Area</vt:lpstr>
      <vt:lpstr>경비집계표!Print_Area</vt:lpstr>
      <vt:lpstr>근무일수!Print_Area</vt:lpstr>
      <vt:lpstr>기업!Print_Area</vt:lpstr>
      <vt:lpstr>기타경비집계!Print_Area</vt:lpstr>
      <vt:lpstr>단위당인건비!Print_Area</vt:lpstr>
      <vt:lpstr>보험료!Print_Area</vt:lpstr>
      <vt:lpstr>보험료산출기준!Print_Area</vt:lpstr>
      <vt:lpstr>복리후생비!Print_Area</vt:lpstr>
      <vt:lpstr>산재비율!Print_Area</vt:lpstr>
      <vt:lpstr>산정기준!Print_Area</vt:lpstr>
      <vt:lpstr>소모품!Print_Area</vt:lpstr>
      <vt:lpstr>식대!Print_Area</vt:lpstr>
      <vt:lpstr>연장근로!Print_Area</vt:lpstr>
      <vt:lpstr>원가!Print_Area</vt:lpstr>
      <vt:lpstr>원가집계!Print_Area</vt:lpstr>
      <vt:lpstr>월기본급!Print_Area</vt:lpstr>
      <vt:lpstr>이윤율!Print_Area</vt:lpstr>
      <vt:lpstr>인집!Print_Area</vt:lpstr>
      <vt:lpstr>일반비율!Print_Area</vt:lpstr>
      <vt:lpstr>집계!Print_Area</vt:lpstr>
      <vt:lpstr>체력단련비!Print_Area</vt:lpstr>
      <vt:lpstr>투입인원!Print_Area</vt:lpstr>
      <vt:lpstr>휴일근로!Print_Area</vt:lpstr>
      <vt:lpstr>감가상각!Print_Titles</vt:lpstr>
      <vt:lpstr>기타경비집계!Print_Titles</vt:lpstr>
      <vt:lpstr>단위당인건비!Print_Titles</vt:lpstr>
      <vt:lpstr>보험료!Print_Titles</vt:lpstr>
      <vt:lpstr>소모품!Print_Titles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User</cp:lastModifiedBy>
  <cp:lastPrinted>2012-08-31T01:18:51Z</cp:lastPrinted>
  <dcterms:created xsi:type="dcterms:W3CDTF">2008-01-03T00:35:12Z</dcterms:created>
  <dcterms:modified xsi:type="dcterms:W3CDTF">2012-08-31T06:11:32Z</dcterms:modified>
</cp:coreProperties>
</file>