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240" windowHeight="8445" tabRatio="944" activeTab="5"/>
  </bookViews>
  <sheets>
    <sheet name="목차" sheetId="22" r:id="rId1"/>
    <sheet name="간지" sheetId="23" r:id="rId2"/>
    <sheet name="간지2" sheetId="24" r:id="rId3"/>
    <sheet name="간지3" sheetId="25" r:id="rId4"/>
    <sheet name="간지3 (2)" sheetId="74" r:id="rId5"/>
    <sheet name="집계" sheetId="1" r:id="rId6"/>
    <sheet name="간지6" sheetId="31" r:id="rId7"/>
    <sheet name="간지6 (7)" sheetId="73" r:id="rId8"/>
    <sheet name="원가집계" sheetId="42" r:id="rId9"/>
    <sheet name="원가" sheetId="2" r:id="rId10"/>
    <sheet name="간지6 (6)" sheetId="72" r:id="rId11"/>
    <sheet name="인집" sheetId="20" r:id="rId12"/>
    <sheet name="단위당인건비" sheetId="19" r:id="rId13"/>
    <sheet name="월기본급" sheetId="18" r:id="rId14"/>
    <sheet name="연장근로" sheetId="50" r:id="rId15"/>
    <sheet name="휴일근로" sheetId="51" r:id="rId16"/>
    <sheet name="산정기준" sheetId="28" r:id="rId17"/>
    <sheet name="투입인원" sheetId="16" r:id="rId18"/>
    <sheet name="간지6 (5)" sheetId="71" r:id="rId19"/>
    <sheet name="경비집계표" sheetId="15" r:id="rId20"/>
    <sheet name="보험료" sheetId="14" r:id="rId21"/>
    <sheet name="보험료산출기준" sheetId="29" r:id="rId22"/>
    <sheet name="산재비율" sheetId="13" r:id="rId23"/>
    <sheet name="복리후생비" sheetId="12" r:id="rId24"/>
    <sheet name="식대" sheetId="11" r:id="rId25"/>
    <sheet name="체력단련비" sheetId="61" r:id="rId26"/>
    <sheet name="피복비" sheetId="60" r:id="rId27"/>
    <sheet name="사업소세" sheetId="43" r:id="rId28"/>
    <sheet name="교육비" sheetId="44" r:id="rId29"/>
    <sheet name="간지6 (4)" sheetId="70" r:id="rId30"/>
    <sheet name="일반" sheetId="8" r:id="rId31"/>
    <sheet name="일반비율" sheetId="7" r:id="rId32"/>
    <sheet name="간지6 (3)" sheetId="69" r:id="rId33"/>
    <sheet name="이윤" sheetId="6" r:id="rId34"/>
    <sheet name="이윤율" sheetId="5" r:id="rId35"/>
    <sheet name="간지6 (2)" sheetId="68" r:id="rId36"/>
    <sheet name="기업" sheetId="4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>#N/A</definedName>
    <definedName name="_2">#N/A</definedName>
    <definedName name="_3" localSheetId="4">#REF!</definedName>
    <definedName name="_3" localSheetId="35">#REF!</definedName>
    <definedName name="_3" localSheetId="32">#REF!</definedName>
    <definedName name="_3" localSheetId="29">#REF!</definedName>
    <definedName name="_3" localSheetId="18">#REF!</definedName>
    <definedName name="_3" localSheetId="10">#REF!</definedName>
    <definedName name="_3" localSheetId="7">#REF!</definedName>
    <definedName name="_3" localSheetId="25">#REF!</definedName>
    <definedName name="_3" localSheetId="26">#REF!</definedName>
    <definedName name="_3">#REF!</definedName>
    <definedName name="_B140007" localSheetId="4">[1]건축!#REF!</definedName>
    <definedName name="_B140007" localSheetId="35">[1]건축!#REF!</definedName>
    <definedName name="_B140007" localSheetId="32">[1]건축!#REF!</definedName>
    <definedName name="_B140007" localSheetId="29">[1]건축!#REF!</definedName>
    <definedName name="_B140007" localSheetId="18">[1]건축!#REF!</definedName>
    <definedName name="_B140007" localSheetId="10">[1]건축!#REF!</definedName>
    <definedName name="_B140007" localSheetId="7">[1]건축!#REF!</definedName>
    <definedName name="_B140007" localSheetId="25">[1]건축!#REF!</definedName>
    <definedName name="_B140007" localSheetId="26">[1]건축!#REF!</definedName>
    <definedName name="_B140007">[1]건축!#REF!</definedName>
    <definedName name="_Fill" localSheetId="4" hidden="1">#REF!</definedName>
    <definedName name="_Fill" localSheetId="35" hidden="1">#REF!</definedName>
    <definedName name="_Fill" localSheetId="32" hidden="1">#REF!</definedName>
    <definedName name="_Fill" localSheetId="29" hidden="1">#REF!</definedName>
    <definedName name="_Fill" localSheetId="18" hidden="1">#REF!</definedName>
    <definedName name="_Fill" localSheetId="10" hidden="1">#REF!</definedName>
    <definedName name="_Fill" localSheetId="7" hidden="1">#REF!</definedName>
    <definedName name="_Fill" localSheetId="25" hidden="1">#REF!</definedName>
    <definedName name="_Fill" localSheetId="26" hidden="1">#REF!</definedName>
    <definedName name="_Fill" hidden="1">#REF!</definedName>
    <definedName name="_Key1" localSheetId="4" hidden="1">#REF!</definedName>
    <definedName name="_Key1" localSheetId="35" hidden="1">#REF!</definedName>
    <definedName name="_Key1" localSheetId="32" hidden="1">#REF!</definedName>
    <definedName name="_Key1" localSheetId="29" hidden="1">#REF!</definedName>
    <definedName name="_Key1" localSheetId="18" hidden="1">#REF!</definedName>
    <definedName name="_Key1" localSheetId="10" hidden="1">#REF!</definedName>
    <definedName name="_Key1" localSheetId="7" hidden="1">#REF!</definedName>
    <definedName name="_Key1" localSheetId="25" hidden="1">#REF!</definedName>
    <definedName name="_Key1" localSheetId="26" hidden="1">#REF!</definedName>
    <definedName name="_Key1" hidden="1">#REF!</definedName>
    <definedName name="_Key2" localSheetId="4" hidden="1">#REF!</definedName>
    <definedName name="_Key2" localSheetId="35" hidden="1">#REF!</definedName>
    <definedName name="_Key2" localSheetId="32" hidden="1">#REF!</definedName>
    <definedName name="_Key2" localSheetId="29" hidden="1">#REF!</definedName>
    <definedName name="_Key2" localSheetId="18" hidden="1">#REF!</definedName>
    <definedName name="_Key2" localSheetId="10" hidden="1">#REF!</definedName>
    <definedName name="_Key2" localSheetId="7" hidden="1">#REF!</definedName>
    <definedName name="_Key2" localSheetId="25" hidden="1">#REF!</definedName>
    <definedName name="_Key2" localSheetId="26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35" hidden="1">#REF!</definedName>
    <definedName name="_Sort" localSheetId="32" hidden="1">#REF!</definedName>
    <definedName name="_Sort" localSheetId="29" hidden="1">#REF!</definedName>
    <definedName name="_Sort" localSheetId="18" hidden="1">#REF!</definedName>
    <definedName name="_Sort" localSheetId="10" hidden="1">#REF!</definedName>
    <definedName name="_Sort" localSheetId="7" hidden="1">#REF!</definedName>
    <definedName name="_Sort" localSheetId="25" hidden="1">#REF!</definedName>
    <definedName name="_Sort" localSheetId="26" hidden="1">#REF!</definedName>
    <definedName name="_Sort" hidden="1">#REF!</definedName>
    <definedName name="\a">#N/A</definedName>
    <definedName name="\z">#N/A</definedName>
    <definedName name="A">#N/A</definedName>
    <definedName name="AA" localSheetId="4">[2]경산!#REF!</definedName>
    <definedName name="AA" localSheetId="35">[2]경산!#REF!</definedName>
    <definedName name="AA" localSheetId="32">[2]경산!#REF!</definedName>
    <definedName name="AA" localSheetId="29">[2]경산!#REF!</definedName>
    <definedName name="AA" localSheetId="18">[2]경산!#REF!</definedName>
    <definedName name="AA" localSheetId="10">[2]경산!#REF!</definedName>
    <definedName name="AA" localSheetId="7">[2]경산!#REF!</definedName>
    <definedName name="AA" localSheetId="25">[2]경산!#REF!</definedName>
    <definedName name="AA" localSheetId="26">[2]경산!#REF!</definedName>
    <definedName name="AA">[2]경산!#REF!</definedName>
    <definedName name="CODE">#REF!</definedName>
    <definedName name="DATA">#REF!</definedName>
    <definedName name="_xlnm.Database">#REF!</definedName>
    <definedName name="DEMO" localSheetId="4">#REF!</definedName>
    <definedName name="DEMO" localSheetId="35">#REF!</definedName>
    <definedName name="DEMO" localSheetId="32">#REF!</definedName>
    <definedName name="DEMO" localSheetId="29">#REF!</definedName>
    <definedName name="DEMO" localSheetId="18">#REF!</definedName>
    <definedName name="DEMO" localSheetId="10">#REF!</definedName>
    <definedName name="DEMO" localSheetId="7">#REF!</definedName>
    <definedName name="DEMO" localSheetId="25">#REF!</definedName>
    <definedName name="DEMO" localSheetId="26">#REF!</definedName>
    <definedName name="DEMO">#REF!</definedName>
    <definedName name="HIT">'[3]2F 회의실견적(5_14 일대)'!$J$31</definedName>
    <definedName name="_xlnm.Print_Area" localSheetId="6">간지6!$A$1:$D$21</definedName>
    <definedName name="_xlnm.Print_Area" localSheetId="35">'간지6 (2)'!$A$1:$D$17</definedName>
    <definedName name="_xlnm.Print_Area" localSheetId="32">'간지6 (3)'!$A$1:$D$17</definedName>
    <definedName name="_xlnm.Print_Area" localSheetId="29">'간지6 (4)'!$A$1:$D$16</definedName>
    <definedName name="_xlnm.Print_Area" localSheetId="18">'간지6 (5)'!$A$1:$D$21</definedName>
    <definedName name="_xlnm.Print_Area" localSheetId="10">'간지6 (6)'!$A$1:$D$21</definedName>
    <definedName name="_xlnm.Print_Area" localSheetId="7">'간지6 (7)'!$A$1:$D$17</definedName>
    <definedName name="_xlnm.Print_Area" localSheetId="19">경비집계표!$A$1:$I$72</definedName>
    <definedName name="_xlnm.Print_Area" localSheetId="36">기업!$A$1:$H$54</definedName>
    <definedName name="_xlnm.Print_Area" localSheetId="12">단위당인건비!$A$1:$J$212</definedName>
    <definedName name="_xlnm.Print_Area" localSheetId="20">보험료!$A$1:$J$233</definedName>
    <definedName name="_xlnm.Print_Area" localSheetId="21">보험료산출기준!$A$1:$H$12</definedName>
    <definedName name="_xlnm.Print_Area" localSheetId="23">복리후생비!$A$1:$M$21</definedName>
    <definedName name="_xlnm.Print_Area" localSheetId="22">산재비율!$A$1:$H$42</definedName>
    <definedName name="_xlnm.Print_Area" localSheetId="16">산정기준!$A$1:$G$12</definedName>
    <definedName name="_xlnm.Print_Area" localSheetId="24">식대!$A$1:$K$19</definedName>
    <definedName name="_xlnm.Print_Area" localSheetId="14">연장근로!$A$1:$G$13</definedName>
    <definedName name="_xlnm.Print_Area" localSheetId="9">원가!$A$1:$L$385</definedName>
    <definedName name="_xlnm.Print_Area" localSheetId="8">원가집계!$A$1:$L$35</definedName>
    <definedName name="_xlnm.Print_Area" localSheetId="13">월기본급!$A$1:$K$22</definedName>
    <definedName name="_xlnm.Print_Area" localSheetId="34">이윤율!$A$1:$F$13</definedName>
    <definedName name="_xlnm.Print_Area" localSheetId="11">인집!$A$1:$K$19</definedName>
    <definedName name="_xlnm.Print_Area" localSheetId="31">일반비율!$A$1:$I$23</definedName>
    <definedName name="_xlnm.Print_Area" localSheetId="5">집계!$A$1:$N$22</definedName>
    <definedName name="_xlnm.Print_Area" localSheetId="25">체력단련비!$A$1:$K$19</definedName>
    <definedName name="_xlnm.Print_Area" localSheetId="17">투입인원!$A$1:$J$31</definedName>
    <definedName name="_xlnm.Print_Area" localSheetId="26">피복비!$A$1:$K$19</definedName>
    <definedName name="_xlnm.Print_Area" localSheetId="15">휴일근로!$A$1:$G$13</definedName>
    <definedName name="_xlnm.Print_Area">#REF!</definedName>
    <definedName name="_xlnm.Print_Titles" localSheetId="12">단위당인건비!$2:$3</definedName>
    <definedName name="_xlnm.Print_Titles" localSheetId="20">보험료!$2:$3</definedName>
    <definedName name="T">#N/A</definedName>
    <definedName name="UNIT">#REF!</definedName>
    <definedName name="WW" localSheetId="4">[4]직노!#REF!</definedName>
    <definedName name="WW" localSheetId="35">[4]직노!#REF!</definedName>
    <definedName name="WW" localSheetId="32">[4]직노!#REF!</definedName>
    <definedName name="WW" localSheetId="29">[4]직노!#REF!</definedName>
    <definedName name="WW" localSheetId="18">[4]직노!#REF!</definedName>
    <definedName name="WW" localSheetId="10">[4]직노!#REF!</definedName>
    <definedName name="WW" localSheetId="7">[4]직노!#REF!</definedName>
    <definedName name="WW" localSheetId="25">[4]직노!#REF!</definedName>
    <definedName name="WW" localSheetId="26">[4]직노!#REF!</definedName>
    <definedName name="WW">[4]직노!#REF!</definedName>
    <definedName name="經費">#REF!</definedName>
    <definedName name="기" localSheetId="4">[5]경산!#REF!</definedName>
    <definedName name="기" localSheetId="35">[5]경산!#REF!</definedName>
    <definedName name="기" localSheetId="32">[5]경산!#REF!</definedName>
    <definedName name="기" localSheetId="29">[5]경산!#REF!</definedName>
    <definedName name="기" localSheetId="18">[5]경산!#REF!</definedName>
    <definedName name="기" localSheetId="10">[5]경산!#REF!</definedName>
    <definedName name="기" localSheetId="7">[5]경산!#REF!</definedName>
    <definedName name="기" localSheetId="25">[5]경산!#REF!</definedName>
    <definedName name="기" localSheetId="26">[5]경산!#REF!</definedName>
    <definedName name="기">[5]경산!#REF!</definedName>
    <definedName name="勞務費">#REF!</definedName>
    <definedName name="ㅁ" localSheetId="4">[6]경산!#REF!</definedName>
    <definedName name="ㅁ" localSheetId="35">[6]경산!#REF!</definedName>
    <definedName name="ㅁ" localSheetId="32">[6]경산!#REF!</definedName>
    <definedName name="ㅁ" localSheetId="29">[6]경산!#REF!</definedName>
    <definedName name="ㅁ" localSheetId="18">[6]경산!#REF!</definedName>
    <definedName name="ㅁ" localSheetId="10">[6]경산!#REF!</definedName>
    <definedName name="ㅁ" localSheetId="7">[6]경산!#REF!</definedName>
    <definedName name="ㅁ" localSheetId="25">[6]경산!#REF!</definedName>
    <definedName name="ㅁ" localSheetId="26">[6]경산!#REF!</definedName>
    <definedName name="ㅁ">[6]경산!#REF!</definedName>
    <definedName name="ㅁ1" localSheetId="4">[7]경산!#REF!</definedName>
    <definedName name="ㅁ1" localSheetId="35">[7]경산!#REF!</definedName>
    <definedName name="ㅁ1" localSheetId="32">[7]경산!#REF!</definedName>
    <definedName name="ㅁ1" localSheetId="29">[7]경산!#REF!</definedName>
    <definedName name="ㅁ1" localSheetId="18">[7]경산!#REF!</definedName>
    <definedName name="ㅁ1" localSheetId="10">[7]경산!#REF!</definedName>
    <definedName name="ㅁ1" localSheetId="7">[7]경산!#REF!</definedName>
    <definedName name="ㅁ1" localSheetId="25">[7]경산!#REF!</definedName>
    <definedName name="ㅁ1" localSheetId="26">[7]경산!#REF!</definedName>
    <definedName name="ㅁ1">[7]경산!#REF!</definedName>
    <definedName name="ㅁ384K5" localSheetId="4">[1]건축!#REF!</definedName>
    <definedName name="ㅁ384K5" localSheetId="35">[1]건축!#REF!</definedName>
    <definedName name="ㅁ384K5" localSheetId="32">[1]건축!#REF!</definedName>
    <definedName name="ㅁ384K5" localSheetId="29">[1]건축!#REF!</definedName>
    <definedName name="ㅁ384K5" localSheetId="18">[1]건축!#REF!</definedName>
    <definedName name="ㅁ384K5" localSheetId="10">[1]건축!#REF!</definedName>
    <definedName name="ㅁ384K5" localSheetId="7">[1]건축!#REF!</definedName>
    <definedName name="ㅁ384K5" localSheetId="25">[1]건축!#REF!</definedName>
    <definedName name="ㅁ384K5" localSheetId="26">[1]건축!#REF!</definedName>
    <definedName name="ㅁ384K5">[1]건축!#REF!</definedName>
    <definedName name="ㅁ60" localSheetId="4">[8]직노!#REF!</definedName>
    <definedName name="ㅁ60" localSheetId="35">[8]직노!#REF!</definedName>
    <definedName name="ㅁ60" localSheetId="32">[8]직노!#REF!</definedName>
    <definedName name="ㅁ60" localSheetId="29">[8]직노!#REF!</definedName>
    <definedName name="ㅁ60" localSheetId="18">[8]직노!#REF!</definedName>
    <definedName name="ㅁ60" localSheetId="10">[8]직노!#REF!</definedName>
    <definedName name="ㅁ60" localSheetId="7">[8]직노!#REF!</definedName>
    <definedName name="ㅁ60" localSheetId="25">[8]직노!#REF!</definedName>
    <definedName name="ㅁ60" localSheetId="26">[8]직노!#REF!</definedName>
    <definedName name="ㅁ60">[8]직노!#REF!</definedName>
    <definedName name="ㅂㅂㅂ" localSheetId="4">[4]직노!#REF!</definedName>
    <definedName name="ㅂㅂㅂ" localSheetId="35">[4]직노!#REF!</definedName>
    <definedName name="ㅂㅂㅂ" localSheetId="32">[4]직노!#REF!</definedName>
    <definedName name="ㅂㅂㅂ" localSheetId="29">[4]직노!#REF!</definedName>
    <definedName name="ㅂㅂㅂ" localSheetId="18">[4]직노!#REF!</definedName>
    <definedName name="ㅂㅂㅂ" localSheetId="10">[4]직노!#REF!</definedName>
    <definedName name="ㅂㅂㅂ" localSheetId="7">[4]직노!#REF!</definedName>
    <definedName name="ㅂㅂㅂ" localSheetId="25">[4]직노!#REF!</definedName>
    <definedName name="ㅂㅂㅂ" localSheetId="26">[4]직노!#REF!</definedName>
    <definedName name="ㅂㅂㅂ">[4]직노!#REF!</definedName>
    <definedName name="보" localSheetId="4">[9]직노!#REF!</definedName>
    <definedName name="보" localSheetId="35">[9]직노!#REF!</definedName>
    <definedName name="보" localSheetId="32">[9]직노!#REF!</definedName>
    <definedName name="보" localSheetId="29">[9]직노!#REF!</definedName>
    <definedName name="보" localSheetId="18">[9]직노!#REF!</definedName>
    <definedName name="보" localSheetId="10">[9]직노!#REF!</definedName>
    <definedName name="보" localSheetId="7">[9]직노!#REF!</definedName>
    <definedName name="보" localSheetId="25">[9]직노!#REF!</definedName>
    <definedName name="보" localSheetId="26">[9]직노!#REF!</definedName>
    <definedName name="보">[9]직노!#REF!</definedName>
    <definedName name="附加價値稅">#REF!</definedName>
    <definedName name="사인">#REF!</definedName>
    <definedName name="純工事原價">#REF!</definedName>
    <definedName name="利潤">#REF!</definedName>
    <definedName name="一般管理費">#REF!</definedName>
    <definedName name="일위대가">'[10] HIT-&gt;HMC 견적(3900)'!$J$31</definedName>
    <definedName name="일의01" localSheetId="4">[11]직노!#REF!</definedName>
    <definedName name="일의01" localSheetId="35">[11]직노!#REF!</definedName>
    <definedName name="일의01" localSheetId="32">[11]직노!#REF!</definedName>
    <definedName name="일의01" localSheetId="29">[11]직노!#REF!</definedName>
    <definedName name="일의01" localSheetId="18">[11]직노!#REF!</definedName>
    <definedName name="일의01" localSheetId="10">[11]직노!#REF!</definedName>
    <definedName name="일의01" localSheetId="7">[11]직노!#REF!</definedName>
    <definedName name="일의01" localSheetId="25">[11]직노!#REF!</definedName>
    <definedName name="일의01" localSheetId="26">[11]직노!#REF!</definedName>
    <definedName name="일의01">[11]직노!#REF!</definedName>
    <definedName name="材料費">#REF!</definedName>
    <definedName name="直接人件費">#REF!</definedName>
    <definedName name="청마총괄" localSheetId="4">[12]직노!#REF!</definedName>
    <definedName name="청마총괄" localSheetId="35">[12]직노!#REF!</definedName>
    <definedName name="청마총괄" localSheetId="32">[12]직노!#REF!</definedName>
    <definedName name="청마총괄" localSheetId="29">[12]직노!#REF!</definedName>
    <definedName name="청마총괄" localSheetId="18">[12]직노!#REF!</definedName>
    <definedName name="청마총괄" localSheetId="10">[12]직노!#REF!</definedName>
    <definedName name="청마총괄" localSheetId="7">[12]직노!#REF!</definedName>
    <definedName name="청마총괄" localSheetId="25">[12]직노!#REF!</definedName>
    <definedName name="청마총괄" localSheetId="26">[12]직노!#REF!</definedName>
    <definedName name="청마총괄">[12]직노!#REF!</definedName>
    <definedName name="총괄표" localSheetId="4">[12]직노!#REF!</definedName>
    <definedName name="총괄표" localSheetId="35">[12]직노!#REF!</definedName>
    <definedName name="총괄표" localSheetId="32">[12]직노!#REF!</definedName>
    <definedName name="총괄표" localSheetId="29">[12]직노!#REF!</definedName>
    <definedName name="총괄표" localSheetId="18">[12]직노!#REF!</definedName>
    <definedName name="총괄표" localSheetId="10">[12]직노!#REF!</definedName>
    <definedName name="총괄표" localSheetId="7">[12]직노!#REF!</definedName>
    <definedName name="총괄표" localSheetId="25">[12]직노!#REF!</definedName>
    <definedName name="총괄표" localSheetId="26">[12]직노!#REF!</definedName>
    <definedName name="총괄표">[12]직노!#REF!</definedName>
    <definedName name="總原價">#REF!</definedName>
    <definedName name="총집계">#REF!</definedName>
    <definedName name="ㅎ314" localSheetId="4">#REF!</definedName>
    <definedName name="ㅎ314" localSheetId="35">#REF!</definedName>
    <definedName name="ㅎ314" localSheetId="32">#REF!</definedName>
    <definedName name="ㅎ314" localSheetId="29">#REF!</definedName>
    <definedName name="ㅎ314" localSheetId="18">#REF!</definedName>
    <definedName name="ㅎ314" localSheetId="10">#REF!</definedName>
    <definedName name="ㅎ314" localSheetId="7">#REF!</definedName>
    <definedName name="ㅎ314" localSheetId="25">#REF!</definedName>
    <definedName name="ㅎ314" localSheetId="26">#REF!</definedName>
    <definedName name="ㅎ314">#REF!</definedName>
  </definedNames>
  <calcPr calcId="125725"/>
</workbook>
</file>

<file path=xl/calcChain.xml><?xml version="1.0" encoding="utf-8"?>
<calcChain xmlns="http://schemas.openxmlformats.org/spreadsheetml/2006/main">
  <c r="G35" i="42"/>
  <c r="N316" i="2" l="1"/>
  <c r="N317"/>
  <c r="N318"/>
  <c r="N319"/>
  <c r="N320"/>
  <c r="N321"/>
  <c r="N351"/>
  <c r="N352"/>
  <c r="N353"/>
  <c r="N354"/>
  <c r="N355"/>
  <c r="N356"/>
  <c r="L198" i="19"/>
  <c r="L200"/>
  <c r="A4" i="2" l="1"/>
  <c r="G11"/>
  <c r="L15"/>
  <c r="L29"/>
  <c r="A39"/>
  <c r="G46"/>
  <c r="L50"/>
  <c r="L64"/>
  <c r="A74"/>
  <c r="G81"/>
  <c r="L85"/>
  <c r="L99"/>
  <c r="A109"/>
  <c r="G116"/>
  <c r="L120"/>
  <c r="L134"/>
  <c r="A144"/>
  <c r="G151"/>
  <c r="L155"/>
  <c r="L169"/>
  <c r="A179"/>
  <c r="G186"/>
  <c r="L190"/>
  <c r="L204"/>
  <c r="A214"/>
  <c r="G221"/>
  <c r="L225"/>
  <c r="L239"/>
  <c r="A249"/>
  <c r="G256"/>
  <c r="L260"/>
  <c r="L274"/>
  <c r="C7" i="1"/>
  <c r="H7"/>
  <c r="H8"/>
  <c r="H9"/>
  <c r="H10"/>
  <c r="B6" i="20"/>
  <c r="E6"/>
  <c r="F7" i="1" s="1"/>
  <c r="B7" i="20"/>
  <c r="C8" i="1" s="1"/>
  <c r="E7" i="20"/>
  <c r="F8" i="1" s="1"/>
  <c r="B8" i="20"/>
  <c r="C9" i="1" s="1"/>
  <c r="E8" i="20"/>
  <c r="F9" i="1" s="1"/>
  <c r="B9" i="20"/>
  <c r="C10" i="1" s="1"/>
  <c r="E9" i="20"/>
  <c r="F10" i="1" s="1"/>
  <c r="B10" i="20"/>
  <c r="C11" i="1" s="1"/>
  <c r="E10" i="20"/>
  <c r="F11" i="1" s="1"/>
  <c r="B11" i="20"/>
  <c r="E11"/>
  <c r="B12"/>
  <c r="E12"/>
  <c r="B13"/>
  <c r="E13"/>
  <c r="J9" i="18"/>
  <c r="E6" i="19" s="1"/>
  <c r="A21" s="1"/>
  <c r="J10" i="18"/>
  <c r="E25" i="19" s="1"/>
  <c r="G42" i="2" s="1"/>
  <c r="J11" i="18"/>
  <c r="E44" i="19" s="1"/>
  <c r="G8" i="20" s="1"/>
  <c r="J12" i="18"/>
  <c r="E63" i="19" s="1"/>
  <c r="G9" i="20" s="1"/>
  <c r="J13" i="18"/>
  <c r="J14"/>
  <c r="E101" i="19" s="1"/>
  <c r="G182" i="2" s="1"/>
  <c r="J15" i="18"/>
  <c r="E120" i="19" s="1"/>
  <c r="A135" s="1"/>
  <c r="J16" i="18"/>
  <c r="A4" i="19"/>
  <c r="L7"/>
  <c r="A15"/>
  <c r="A23"/>
  <c r="K26"/>
  <c r="A34"/>
  <c r="A42"/>
  <c r="A53"/>
  <c r="A61"/>
  <c r="K64"/>
  <c r="A72"/>
  <c r="A80"/>
  <c r="E82"/>
  <c r="E85" s="1"/>
  <c r="G150" i="2" s="1"/>
  <c r="A91" i="19"/>
  <c r="A99"/>
  <c r="A110"/>
  <c r="A118"/>
  <c r="A129"/>
  <c r="A137"/>
  <c r="E139"/>
  <c r="A152" s="1"/>
  <c r="A148"/>
  <c r="H13" i="1"/>
  <c r="H12"/>
  <c r="D26" i="16"/>
  <c r="D28"/>
  <c r="D29"/>
  <c r="B14" i="20"/>
  <c r="E14"/>
  <c r="F12" i="1" s="1"/>
  <c r="B15" i="20"/>
  <c r="H5" i="42" s="1"/>
  <c r="E15" i="20"/>
  <c r="F13" i="1" s="1"/>
  <c r="B16" i="20"/>
  <c r="G5" i="42" s="1"/>
  <c r="E16" i="20"/>
  <c r="F14" i="1" s="1"/>
  <c r="G112" i="2" l="1"/>
  <c r="G11" i="20"/>
  <c r="G6"/>
  <c r="H16" i="1"/>
  <c r="G147" i="2"/>
  <c r="G7"/>
  <c r="G12" i="20"/>
  <c r="G252" i="2"/>
  <c r="G7" i="20"/>
  <c r="G10"/>
  <c r="G13"/>
  <c r="G217" i="2"/>
  <c r="G77"/>
  <c r="E88" i="19"/>
  <c r="A95"/>
  <c r="E66"/>
  <c r="G115" i="2" s="1"/>
  <c r="A76" i="19"/>
  <c r="A78"/>
  <c r="E145"/>
  <c r="A114"/>
  <c r="E123"/>
  <c r="G220" i="2" s="1"/>
  <c r="A154" i="19"/>
  <c r="E126"/>
  <c r="A133"/>
  <c r="A116"/>
  <c r="E28"/>
  <c r="G45" i="2" s="1"/>
  <c r="E31" i="19"/>
  <c r="E47"/>
  <c r="G80" i="2" s="1"/>
  <c r="E50" i="19"/>
  <c r="A59"/>
  <c r="E142"/>
  <c r="G255" i="2" s="1"/>
  <c r="E104" i="19"/>
  <c r="G185" i="2" s="1"/>
  <c r="E107" i="19"/>
  <c r="E69"/>
  <c r="A97"/>
  <c r="A40"/>
  <c r="E12"/>
  <c r="G6" i="42"/>
  <c r="E7" i="19"/>
  <c r="G8" i="2" s="1"/>
  <c r="E26" i="19"/>
  <c r="G43" i="2" s="1"/>
  <c r="E64" i="19"/>
  <c r="G113" i="2" s="1"/>
  <c r="E45" i="19"/>
  <c r="G78" i="2" s="1"/>
  <c r="A16" i="19"/>
  <c r="E140"/>
  <c r="G253" i="2" s="1"/>
  <c r="E121" i="19"/>
  <c r="G218" i="2" s="1"/>
  <c r="E102" i="19"/>
  <c r="G183" i="2" s="1"/>
  <c r="E83" i="19"/>
  <c r="G148" i="2" s="1"/>
  <c r="A54" i="19"/>
  <c r="A35"/>
  <c r="A149"/>
  <c r="A130"/>
  <c r="A111"/>
  <c r="A92"/>
  <c r="A73"/>
  <c r="A19"/>
  <c r="E9"/>
  <c r="G10" i="2" s="1"/>
  <c r="A57" i="19"/>
  <c r="A38"/>
  <c r="H6" i="42"/>
  <c r="G188" i="2" l="1"/>
  <c r="I11" i="20"/>
  <c r="I9"/>
  <c r="G118" i="2"/>
  <c r="G48"/>
  <c r="I7" i="20"/>
  <c r="G258" i="2"/>
  <c r="I13" i="20"/>
  <c r="I6"/>
  <c r="G13" i="2"/>
  <c r="G223"/>
  <c r="I12" i="20"/>
  <c r="I8"/>
  <c r="G83" i="2"/>
  <c r="G153"/>
  <c r="I10" i="20"/>
  <c r="L379" i="2"/>
  <c r="G361"/>
  <c r="N361" s="1"/>
  <c r="A354"/>
  <c r="A213" i="14" s="1"/>
  <c r="L365" i="2"/>
  <c r="I11" i="42"/>
  <c r="A150" i="14"/>
  <c r="K17" i="60"/>
  <c r="G17"/>
  <c r="I17" s="1"/>
  <c r="K17" i="12" s="1"/>
  <c r="G64" i="15" s="1"/>
  <c r="G375" i="2" s="1"/>
  <c r="N375" s="1"/>
  <c r="K14" i="60"/>
  <c r="G14"/>
  <c r="I14" s="1"/>
  <c r="K14" i="12" s="1"/>
  <c r="H40" i="15" s="1"/>
  <c r="K17" i="61"/>
  <c r="G17"/>
  <c r="I17" s="1"/>
  <c r="J17" i="12" s="1"/>
  <c r="G63" i="15" s="1"/>
  <c r="G374" i="2" s="1"/>
  <c r="N374" s="1"/>
  <c r="K14" i="61"/>
  <c r="G14"/>
  <c r="I14" s="1"/>
  <c r="J14" i="12" s="1"/>
  <c r="H39" i="15" s="1"/>
  <c r="M17" i="11"/>
  <c r="M14"/>
  <c r="A227" i="14"/>
  <c r="A226"/>
  <c r="A164"/>
  <c r="A163"/>
  <c r="G54" i="15"/>
  <c r="B19" i="8"/>
  <c r="B19" i="6" s="1"/>
  <c r="I6" i="42"/>
  <c r="I5"/>
  <c r="B16" i="8"/>
  <c r="B16" i="6" s="1"/>
  <c r="A194" i="19"/>
  <c r="A205"/>
  <c r="D7" i="70"/>
  <c r="D8"/>
  <c r="D7" i="68"/>
  <c r="D7" i="69"/>
  <c r="D8"/>
  <c r="A1" i="74"/>
  <c r="D8" i="73"/>
  <c r="D7"/>
  <c r="A1"/>
  <c r="D14" i="72"/>
  <c r="D13"/>
  <c r="D12"/>
  <c r="D11"/>
  <c r="D10"/>
  <c r="D9"/>
  <c r="D8"/>
  <c r="D7"/>
  <c r="A1"/>
  <c r="D16" i="71"/>
  <c r="D15"/>
  <c r="D14"/>
  <c r="D13"/>
  <c r="D12"/>
  <c r="D11"/>
  <c r="D10"/>
  <c r="D9"/>
  <c r="D8"/>
  <c r="D7"/>
  <c r="A1"/>
  <c r="A1" i="70"/>
  <c r="A1" i="69"/>
  <c r="A1" i="68"/>
  <c r="H63" i="15"/>
  <c r="A21" i="12"/>
  <c r="A20"/>
  <c r="A18" i="60"/>
  <c r="A18" i="61"/>
  <c r="K16"/>
  <c r="K15"/>
  <c r="K13"/>
  <c r="K12"/>
  <c r="K11"/>
  <c r="K10"/>
  <c r="K9"/>
  <c r="K8"/>
  <c r="K7"/>
  <c r="G16"/>
  <c r="I16"/>
  <c r="J16" i="12" s="1"/>
  <c r="F63" i="15" s="1"/>
  <c r="G339" i="2" s="1"/>
  <c r="N339" s="1"/>
  <c r="G15" i="61"/>
  <c r="I15" s="1"/>
  <c r="J15" i="12" s="1"/>
  <c r="E63" i="15" s="1"/>
  <c r="G304" i="2" s="1"/>
  <c r="N304" s="1"/>
  <c r="G13" i="61"/>
  <c r="I13"/>
  <c r="J13" i="12" s="1"/>
  <c r="G39" i="15" s="1"/>
  <c r="G12" i="61"/>
  <c r="I12" s="1"/>
  <c r="J12" i="12" s="1"/>
  <c r="F39" i="15" s="1"/>
  <c r="G11" i="61"/>
  <c r="I11" s="1"/>
  <c r="J11" i="12" s="1"/>
  <c r="E39" i="15" s="1"/>
  <c r="G164" i="2" s="1"/>
  <c r="G10" i="61"/>
  <c r="I10" s="1"/>
  <c r="J10" i="12" s="1"/>
  <c r="H15" i="15" s="1"/>
  <c r="G129" i="2" s="1"/>
  <c r="G9" i="61"/>
  <c r="I9" s="1"/>
  <c r="J9" i="12" s="1"/>
  <c r="G15" i="15" s="1"/>
  <c r="G94" i="2" s="1"/>
  <c r="G8" i="61"/>
  <c r="I8"/>
  <c r="J8" i="12" s="1"/>
  <c r="F15" i="15" s="1"/>
  <c r="G59" i="2" s="1"/>
  <c r="G7" i="61"/>
  <c r="I7" s="1"/>
  <c r="J7" i="12" s="1"/>
  <c r="E15" i="15" s="1"/>
  <c r="G24" i="2" s="1"/>
  <c r="I8" i="60"/>
  <c r="K8" i="12" s="1"/>
  <c r="F16" i="15" s="1"/>
  <c r="G60" i="2" s="1"/>
  <c r="K7" i="60"/>
  <c r="G8"/>
  <c r="G9"/>
  <c r="I9" s="1"/>
  <c r="K9" i="12" s="1"/>
  <c r="G16" i="15" s="1"/>
  <c r="G95" i="2" s="1"/>
  <c r="G10" i="60"/>
  <c r="I10"/>
  <c r="K10" i="12" s="1"/>
  <c r="H16" i="15" s="1"/>
  <c r="G130" i="2" s="1"/>
  <c r="G11" i="60"/>
  <c r="I11" s="1"/>
  <c r="K11" i="12" s="1"/>
  <c r="E40" i="15" s="1"/>
  <c r="G165" i="2" s="1"/>
  <c r="G12" i="60"/>
  <c r="I12" s="1"/>
  <c r="K12" i="12" s="1"/>
  <c r="F40" i="15" s="1"/>
  <c r="G13" i="60"/>
  <c r="I13" s="1"/>
  <c r="K13" i="12" s="1"/>
  <c r="G40" i="15" s="1"/>
  <c r="G15" i="60"/>
  <c r="I15"/>
  <c r="K15" i="12" s="1"/>
  <c r="E64" i="15" s="1"/>
  <c r="G305" i="2" s="1"/>
  <c r="N305" s="1"/>
  <c r="G16" i="60"/>
  <c r="I16" s="1"/>
  <c r="K16" i="12" s="1"/>
  <c r="F64" i="15" s="1"/>
  <c r="G340" i="2" s="1"/>
  <c r="N340" s="1"/>
  <c r="G7" i="60"/>
  <c r="I7" s="1"/>
  <c r="K7" i="12" s="1"/>
  <c r="E16" i="15" s="1"/>
  <c r="G25" i="2" s="1"/>
  <c r="K16" i="60"/>
  <c r="K15"/>
  <c r="K13"/>
  <c r="K12"/>
  <c r="K11"/>
  <c r="K10"/>
  <c r="K9"/>
  <c r="K8"/>
  <c r="A19" i="12"/>
  <c r="A1" i="31"/>
  <c r="A1" i="25"/>
  <c r="A1" i="24"/>
  <c r="K10" i="6"/>
  <c r="K11" s="1"/>
  <c r="K12" s="1"/>
  <c r="K13" s="1"/>
  <c r="K14" s="1"/>
  <c r="K15" s="1"/>
  <c r="J10" i="8"/>
  <c r="J11" s="1"/>
  <c r="J12" s="1"/>
  <c r="J13" s="1"/>
  <c r="J14" s="1"/>
  <c r="J15" s="1"/>
  <c r="I8" i="44"/>
  <c r="I9" s="1"/>
  <c r="I10" i="43"/>
  <c r="I11" s="1"/>
  <c r="I12" s="1"/>
  <c r="I13" s="1"/>
  <c r="I14" s="1"/>
  <c r="I9"/>
  <c r="M16" i="11"/>
  <c r="M15"/>
  <c r="A206" i="14"/>
  <c r="A205"/>
  <c r="A185"/>
  <c r="A184"/>
  <c r="H10"/>
  <c r="H177" s="1"/>
  <c r="H11"/>
  <c r="H178" s="1"/>
  <c r="H12"/>
  <c r="H116" s="1"/>
  <c r="H13"/>
  <c r="H180" s="1"/>
  <c r="H14"/>
  <c r="H181" s="1"/>
  <c r="H9"/>
  <c r="H6" i="29"/>
  <c r="H15" i="1"/>
  <c r="F30" i="16"/>
  <c r="A18" i="1"/>
  <c r="A17"/>
  <c r="G326" i="2"/>
  <c r="N326" s="1"/>
  <c r="A319"/>
  <c r="A192" i="14" s="1"/>
  <c r="L344" i="2"/>
  <c r="L330"/>
  <c r="G291"/>
  <c r="N291" s="1"/>
  <c r="A284"/>
  <c r="A171" i="14" s="1"/>
  <c r="L309" i="2"/>
  <c r="L295"/>
  <c r="A175" i="19"/>
  <c r="A186"/>
  <c r="A156"/>
  <c r="A167"/>
  <c r="K6" i="42"/>
  <c r="K5"/>
  <c r="E15" i="11"/>
  <c r="B15" i="61"/>
  <c r="I7" i="28"/>
  <c r="B8" i="44"/>
  <c r="B7" i="61"/>
  <c r="M7" i="11"/>
  <c r="M9"/>
  <c r="M8"/>
  <c r="M10"/>
  <c r="M11"/>
  <c r="M12"/>
  <c r="M13"/>
  <c r="F8" i="50"/>
  <c r="F10" s="1"/>
  <c r="F8" i="51"/>
  <c r="F10" s="1"/>
  <c r="B9" i="11"/>
  <c r="E9" i="61"/>
  <c r="E8" i="11"/>
  <c r="B10" i="12"/>
  <c r="E10" i="60"/>
  <c r="B12" i="43"/>
  <c r="E30" i="15"/>
  <c r="E12" i="60"/>
  <c r="B13" i="12"/>
  <c r="E13"/>
  <c r="L7" i="11"/>
  <c r="J7" i="44"/>
  <c r="E19" i="15" s="1"/>
  <c r="G28" i="2" s="1"/>
  <c r="H117" i="14"/>
  <c r="H134"/>
  <c r="G9" i="7"/>
  <c r="G7"/>
  <c r="G52" i="4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7" i="61"/>
  <c r="A72" i="15"/>
  <c r="A48"/>
  <c r="A24"/>
  <c r="A4" i="42"/>
  <c r="G11" i="7"/>
  <c r="G12"/>
  <c r="G13"/>
  <c r="G14"/>
  <c r="G15"/>
  <c r="G16"/>
  <c r="A22"/>
  <c r="A129" i="14"/>
  <c r="A108"/>
  <c r="G11" i="42"/>
  <c r="H11"/>
  <c r="B9" i="12"/>
  <c r="E14" i="8"/>
  <c r="E14" i="6" s="1"/>
  <c r="E15" i="8"/>
  <c r="E15" i="6" s="1"/>
  <c r="G30" i="15"/>
  <c r="A71"/>
  <c r="A70"/>
  <c r="A69"/>
  <c r="A47"/>
  <c r="A46"/>
  <c r="A45"/>
  <c r="A23"/>
  <c r="A22"/>
  <c r="A21"/>
  <c r="A20" i="43"/>
  <c r="A23" i="8"/>
  <c r="A22"/>
  <c r="A21"/>
  <c r="A87" i="14"/>
  <c r="A66"/>
  <c r="A24"/>
  <c r="A45"/>
  <c r="A4"/>
  <c r="A101"/>
  <c r="A100"/>
  <c r="A80"/>
  <c r="A79"/>
  <c r="A143"/>
  <c r="A142"/>
  <c r="A122"/>
  <c r="A121"/>
  <c r="A38"/>
  <c r="A37"/>
  <c r="A59"/>
  <c r="A58"/>
  <c r="A18" i="11"/>
  <c r="A18" i="20"/>
  <c r="A18" i="14"/>
  <c r="A22" i="6"/>
  <c r="A17" i="14"/>
  <c r="A24" i="6"/>
  <c r="A23"/>
  <c r="A21"/>
  <c r="A19" i="7"/>
  <c r="E12" i="12"/>
  <c r="B12"/>
  <c r="E13" i="11"/>
  <c r="E12"/>
  <c r="E11"/>
  <c r="E14" i="43"/>
  <c r="E13"/>
  <c r="E10"/>
  <c r="J8" i="44"/>
  <c r="F19" i="15" s="1"/>
  <c r="G63" i="2" s="1"/>
  <c r="E53" i="15"/>
  <c r="B15" i="12"/>
  <c r="B15" i="11"/>
  <c r="B15" i="44"/>
  <c r="B15" i="60"/>
  <c r="J5" i="42"/>
  <c r="B16" i="43"/>
  <c r="H29" i="15"/>
  <c r="E14" i="12"/>
  <c r="E17" i="11"/>
  <c r="B14" i="61"/>
  <c r="B17"/>
  <c r="B14" i="60"/>
  <c r="B17"/>
  <c r="B15" i="43"/>
  <c r="E14" i="44"/>
  <c r="G53" i="15"/>
  <c r="H30"/>
  <c r="B14" i="12"/>
  <c r="B17"/>
  <c r="B14" i="11"/>
  <c r="B17"/>
  <c r="E14" i="60"/>
  <c r="B18" i="43"/>
  <c r="B14" i="44"/>
  <c r="B17"/>
  <c r="B13" i="11"/>
  <c r="E13" i="44"/>
  <c r="E12"/>
  <c r="B12"/>
  <c r="E10"/>
  <c r="B17" i="8"/>
  <c r="B17" i="6" s="1"/>
  <c r="F53" i="15"/>
  <c r="E17" i="43"/>
  <c r="E15" i="44"/>
  <c r="E16"/>
  <c r="B11" i="60"/>
  <c r="B13"/>
  <c r="E16"/>
  <c r="E8" i="61"/>
  <c r="E12"/>
  <c r="B16" i="12"/>
  <c r="B17" i="43"/>
  <c r="B18" i="8"/>
  <c r="B18" i="6" s="1"/>
  <c r="E9" i="60"/>
  <c r="E13"/>
  <c r="E29" i="15"/>
  <c r="B13" i="61"/>
  <c r="E16"/>
  <c r="E13"/>
  <c r="E15" i="43"/>
  <c r="L5" i="42"/>
  <c r="F15" i="1"/>
  <c r="C15"/>
  <c r="H220" i="14" l="1"/>
  <c r="H223"/>
  <c r="H55"/>
  <c r="H74"/>
  <c r="H118"/>
  <c r="J11" i="42"/>
  <c r="K25"/>
  <c r="L11"/>
  <c r="K24"/>
  <c r="J24"/>
  <c r="L24"/>
  <c r="H222" i="14"/>
  <c r="K11" i="42"/>
  <c r="H94" i="14"/>
  <c r="J25" i="42"/>
  <c r="L25"/>
  <c r="H159" i="14"/>
  <c r="H96"/>
  <c r="H157"/>
  <c r="H114"/>
  <c r="H51"/>
  <c r="G235" i="2"/>
  <c r="H25" i="42" s="1"/>
  <c r="G234" i="2"/>
  <c r="H24" i="42" s="1"/>
  <c r="G269" i="2"/>
  <c r="I24" i="42" s="1"/>
  <c r="H30" i="14"/>
  <c r="G24" i="42"/>
  <c r="G199" i="2"/>
  <c r="H33" i="14"/>
  <c r="G270" i="2"/>
  <c r="I25" i="42" s="1"/>
  <c r="G200" i="2"/>
  <c r="G25" i="42" s="1"/>
  <c r="H34" i="14"/>
  <c r="H137"/>
  <c r="K27" i="19"/>
  <c r="K8"/>
  <c r="K46"/>
  <c r="E9" i="44"/>
  <c r="B9"/>
  <c r="E9" i="43"/>
  <c r="F6" i="15"/>
  <c r="E8" i="44"/>
  <c r="B7" i="11"/>
  <c r="E11" i="8"/>
  <c r="E11" i="6" s="1"/>
  <c r="B10" i="8"/>
  <c r="B10" i="6" s="1"/>
  <c r="F9" i="14"/>
  <c r="F10" s="1"/>
  <c r="F11" s="1"/>
  <c r="F12" s="1"/>
  <c r="F14" s="1"/>
  <c r="F29"/>
  <c r="F30" s="1"/>
  <c r="F31" s="1"/>
  <c r="F32" s="1"/>
  <c r="F34" s="1"/>
  <c r="B7" i="60"/>
  <c r="B9"/>
  <c r="B9" i="8"/>
  <c r="B9" i="6" s="1"/>
  <c r="B8" i="43"/>
  <c r="B7" i="12"/>
  <c r="E5" i="15"/>
  <c r="B11" i="8"/>
  <c r="B11" i="6" s="1"/>
  <c r="B7" i="44"/>
  <c r="H158" i="14"/>
  <c r="H202"/>
  <c r="H135"/>
  <c r="H95"/>
  <c r="H76"/>
  <c r="H53"/>
  <c r="H160"/>
  <c r="H155"/>
  <c r="H198"/>
  <c r="H139"/>
  <c r="H97"/>
  <c r="H92"/>
  <c r="H72"/>
  <c r="H29"/>
  <c r="G10" i="7"/>
  <c r="G8" s="1"/>
  <c r="G18" s="1"/>
  <c r="A23" s="1"/>
  <c r="B12" i="11"/>
  <c r="B16" i="60"/>
  <c r="B11" i="61"/>
  <c r="B16" i="44"/>
  <c r="E54" i="15"/>
  <c r="B9" i="61"/>
  <c r="B12" i="60"/>
  <c r="B8"/>
  <c r="J6" i="42"/>
  <c r="B10" i="44"/>
  <c r="H156" i="14"/>
  <c r="E14" i="61"/>
  <c r="E17" i="44"/>
  <c r="E14" i="11"/>
  <c r="H199" i="14"/>
  <c r="E9" i="8"/>
  <c r="E9" i="6" s="1"/>
  <c r="G5" i="15"/>
  <c r="H5"/>
  <c r="E10" i="8"/>
  <c r="E10" i="6" s="1"/>
  <c r="H138" i="14"/>
  <c r="H115"/>
  <c r="H73"/>
  <c r="H31"/>
  <c r="H54"/>
  <c r="B10" i="43"/>
  <c r="E7" i="60"/>
  <c r="B16" i="11"/>
  <c r="B16" i="61"/>
  <c r="B10" i="60"/>
  <c r="B11" i="44"/>
  <c r="B14" i="43"/>
  <c r="H219" i="14"/>
  <c r="E16" i="8"/>
  <c r="E16" i="6" s="1"/>
  <c r="H201" i="14"/>
  <c r="F29" i="15"/>
  <c r="B15" i="8"/>
  <c r="B15" i="6" s="1"/>
  <c r="H136" i="14"/>
  <c r="H93"/>
  <c r="H75"/>
  <c r="H52"/>
  <c r="E8" i="60"/>
  <c r="I7" i="11"/>
  <c r="G7" i="12" s="1"/>
  <c r="L7" s="1"/>
  <c r="H50" i="14"/>
  <c r="H113"/>
  <c r="H71"/>
  <c r="K7" i="11"/>
  <c r="E11" i="61"/>
  <c r="E17"/>
  <c r="E19" i="8"/>
  <c r="E19" i="6" s="1"/>
  <c r="E17" i="8"/>
  <c r="E17" i="6" s="1"/>
  <c r="E11" i="44"/>
  <c r="E12" i="43"/>
  <c r="E11" i="12"/>
  <c r="E13" i="8"/>
  <c r="E13" i="6" s="1"/>
  <c r="E11" i="60"/>
  <c r="L6" i="42"/>
  <c r="E15" i="12"/>
  <c r="E17" i="60"/>
  <c r="E15" i="61"/>
  <c r="E16" i="43"/>
  <c r="E18"/>
  <c r="E17" i="12"/>
  <c r="E10" i="61"/>
  <c r="E11" i="43"/>
  <c r="E7" i="11"/>
  <c r="E8" i="43"/>
  <c r="F54" i="15"/>
  <c r="E16" i="11"/>
  <c r="D9" i="14"/>
  <c r="D10" s="1"/>
  <c r="L10" i="11"/>
  <c r="I10" i="44"/>
  <c r="J9"/>
  <c r="G19" i="15" s="1"/>
  <c r="G98" i="2" s="1"/>
  <c r="I15" i="43"/>
  <c r="I16"/>
  <c r="I17" s="1"/>
  <c r="I18" s="1"/>
  <c r="D29" i="14"/>
  <c r="D30" s="1"/>
  <c r="D31" s="1"/>
  <c r="J16" i="8"/>
  <c r="K17" i="6"/>
  <c r="K18" s="1"/>
  <c r="K19" s="1"/>
  <c r="K16"/>
  <c r="L9" i="11"/>
  <c r="F5" i="15"/>
  <c r="B13" i="8"/>
  <c r="B13" i="6" s="1"/>
  <c r="B14" i="8"/>
  <c r="B14" i="6" s="1"/>
  <c r="E9" i="12"/>
  <c r="E8"/>
  <c r="E7"/>
  <c r="E10"/>
  <c r="B11" i="11"/>
  <c r="B11" i="12"/>
  <c r="E15" i="60"/>
  <c r="E18" i="8"/>
  <c r="E18" i="6" s="1"/>
  <c r="E16" i="12"/>
  <c r="B13" i="44"/>
  <c r="L8" i="11"/>
  <c r="E10"/>
  <c r="G29" i="15"/>
  <c r="B12" i="8"/>
  <c r="B12" i="6" s="1"/>
  <c r="B8" i="11"/>
  <c r="E12" i="8"/>
  <c r="E12" i="6" s="1"/>
  <c r="B10" i="11"/>
  <c r="G6" i="15"/>
  <c r="H6"/>
  <c r="E7" i="44"/>
  <c r="H32" i="14"/>
  <c r="E9" i="11"/>
  <c r="E6" i="15"/>
  <c r="F30"/>
  <c r="B8" i="12"/>
  <c r="B9" i="43"/>
  <c r="B12" i="61"/>
  <c r="B10"/>
  <c r="B8"/>
  <c r="B11" i="43"/>
  <c r="B13"/>
  <c r="A18" i="19" l="1"/>
  <c r="E8"/>
  <c r="K65"/>
  <c r="E46"/>
  <c r="A56"/>
  <c r="A37"/>
  <c r="E27"/>
  <c r="E14" i="15"/>
  <c r="G23" i="2" s="1"/>
  <c r="F50" i="14"/>
  <c r="F51" s="1"/>
  <c r="F52" s="1"/>
  <c r="F53" s="1"/>
  <c r="F55" s="1"/>
  <c r="D50"/>
  <c r="D51" s="1"/>
  <c r="D52" s="1"/>
  <c r="D71"/>
  <c r="I11" i="44"/>
  <c r="J10"/>
  <c r="H19" i="15" s="1"/>
  <c r="G133" i="2" s="1"/>
  <c r="I9" i="11"/>
  <c r="G9" i="12" s="1"/>
  <c r="K9" i="11"/>
  <c r="I8"/>
  <c r="G8" i="12" s="1"/>
  <c r="K8" i="11"/>
  <c r="L11"/>
  <c r="I10"/>
  <c r="G10" i="12" s="1"/>
  <c r="K10" i="11"/>
  <c r="D32" i="14"/>
  <c r="D11"/>
  <c r="G79" i="2" l="1"/>
  <c r="E49" i="19"/>
  <c r="G9" i="2"/>
  <c r="E11" i="19"/>
  <c r="K84"/>
  <c r="E65"/>
  <c r="A75"/>
  <c r="G44" i="2"/>
  <c r="E30" i="19"/>
  <c r="E17" i="15"/>
  <c r="G26" i="2" s="1"/>
  <c r="D92" i="14"/>
  <c r="D93" s="1"/>
  <c r="F71"/>
  <c r="F72" s="1"/>
  <c r="F73" s="1"/>
  <c r="F74" s="1"/>
  <c r="F76" s="1"/>
  <c r="L12" i="11"/>
  <c r="H14" i="15"/>
  <c r="G128" i="2" s="1"/>
  <c r="L10" i="12"/>
  <c r="L9"/>
  <c r="G14" i="15"/>
  <c r="G93" i="2" s="1"/>
  <c r="L8" i="12"/>
  <c r="F14" i="15"/>
  <c r="G58" i="2" s="1"/>
  <c r="I11" i="11"/>
  <c r="G11" i="12" s="1"/>
  <c r="K11" i="11"/>
  <c r="J11" i="44"/>
  <c r="E43" i="15" s="1"/>
  <c r="G168" i="2" s="1"/>
  <c r="I12" i="44"/>
  <c r="D12" i="14"/>
  <c r="D34"/>
  <c r="D72"/>
  <c r="D53"/>
  <c r="G114" i="2" l="1"/>
  <c r="E68" i="19"/>
  <c r="A41"/>
  <c r="E32"/>
  <c r="H7" i="20"/>
  <c r="E29" i="14" s="1"/>
  <c r="E30" s="1"/>
  <c r="G47" i="2"/>
  <c r="E51" i="19"/>
  <c r="E52" s="1"/>
  <c r="G85" i="2" s="1"/>
  <c r="G82"/>
  <c r="H8" i="20"/>
  <c r="E50" i="14" s="1"/>
  <c r="A60" i="19"/>
  <c r="H6" i="20"/>
  <c r="E9" i="14" s="1"/>
  <c r="G9" s="1"/>
  <c r="I9" s="1"/>
  <c r="E7" i="15" s="1"/>
  <c r="G16" i="2" s="1"/>
  <c r="G12"/>
  <c r="E13" i="19"/>
  <c r="E14" s="1"/>
  <c r="G15" i="2" s="1"/>
  <c r="A22" i="19"/>
  <c r="K103"/>
  <c r="A94"/>
  <c r="E84"/>
  <c r="E10" i="14"/>
  <c r="E11" s="1"/>
  <c r="H17" i="15"/>
  <c r="G131" i="2" s="1"/>
  <c r="F92" i="14"/>
  <c r="F93" s="1"/>
  <c r="F94" s="1"/>
  <c r="F95" s="1"/>
  <c r="F97" s="1"/>
  <c r="L11" i="12"/>
  <c r="E38" i="15"/>
  <c r="G163" i="2" s="1"/>
  <c r="G17" i="15"/>
  <c r="G96" i="2" s="1"/>
  <c r="D113" i="14"/>
  <c r="D114" s="1"/>
  <c r="D115" s="1"/>
  <c r="L14" i="11"/>
  <c r="L13"/>
  <c r="J12" i="44"/>
  <c r="F43" i="15" s="1"/>
  <c r="I13" i="44"/>
  <c r="F17" i="15"/>
  <c r="G61" i="2" s="1"/>
  <c r="K12" i="11"/>
  <c r="I12"/>
  <c r="G12" i="12" s="1"/>
  <c r="D14" i="14"/>
  <c r="D73"/>
  <c r="D94"/>
  <c r="D55"/>
  <c r="G29" l="1"/>
  <c r="I29" s="1"/>
  <c r="F7" i="15" s="1"/>
  <c r="G51" i="2" s="1"/>
  <c r="G28" i="42"/>
  <c r="G203" i="2"/>
  <c r="K122" i="19"/>
  <c r="A113"/>
  <c r="E103"/>
  <c r="G117" i="2"/>
  <c r="H9" i="20"/>
  <c r="E70" i="19"/>
  <c r="A79"/>
  <c r="G149" i="2"/>
  <c r="E87" i="19"/>
  <c r="J7" i="20"/>
  <c r="K7" s="1"/>
  <c r="G10" i="8" s="1"/>
  <c r="G10" i="6" s="1"/>
  <c r="G49" i="2"/>
  <c r="J6" i="20"/>
  <c r="K6" s="1"/>
  <c r="G9" i="8" s="1"/>
  <c r="G9" i="6" s="1"/>
  <c r="G14" i="2"/>
  <c r="E33" i="19"/>
  <c r="G50" i="2" s="1"/>
  <c r="J8" i="20"/>
  <c r="K8" s="1"/>
  <c r="G84" i="2"/>
  <c r="G10" i="14"/>
  <c r="I10" s="1"/>
  <c r="E8" i="15" s="1"/>
  <c r="G17" i="2" s="1"/>
  <c r="F38" i="15"/>
  <c r="G198" i="2" s="1"/>
  <c r="L12" i="12"/>
  <c r="K13" i="11"/>
  <c r="I13"/>
  <c r="G13" i="12" s="1"/>
  <c r="G50" i="14"/>
  <c r="I50" s="1"/>
  <c r="G7" i="15" s="1"/>
  <c r="G86" i="2" s="1"/>
  <c r="E51" i="14"/>
  <c r="F113"/>
  <c r="F114" s="1"/>
  <c r="F115" s="1"/>
  <c r="F116" s="1"/>
  <c r="F118" s="1"/>
  <c r="J13" i="44"/>
  <c r="G43" i="15" s="1"/>
  <c r="I15" i="44"/>
  <c r="I14"/>
  <c r="J14" s="1"/>
  <c r="H43" i="15" s="1"/>
  <c r="L15" i="11"/>
  <c r="J17" i="18"/>
  <c r="E158" i="19" s="1"/>
  <c r="E41" i="15"/>
  <c r="G166" i="2" s="1"/>
  <c r="D134" i="14"/>
  <c r="D135" s="1"/>
  <c r="D136" s="1"/>
  <c r="D137" s="1"/>
  <c r="I14" i="11"/>
  <c r="G14" i="12" s="1"/>
  <c r="K14" i="11"/>
  <c r="D74" i="14"/>
  <c r="D116"/>
  <c r="D95"/>
  <c r="E12"/>
  <c r="G11"/>
  <c r="I11" s="1"/>
  <c r="E9" i="15" s="1"/>
  <c r="G18" i="2" s="1"/>
  <c r="E31" i="14"/>
  <c r="G30"/>
  <c r="I30" s="1"/>
  <c r="F8" i="15" s="1"/>
  <c r="G52" i="2" s="1"/>
  <c r="A173" i="19" l="1"/>
  <c r="E164"/>
  <c r="I14" i="20" s="1"/>
  <c r="G238" i="2"/>
  <c r="H28" i="42" s="1"/>
  <c r="G273" i="2"/>
  <c r="I28" i="42" s="1"/>
  <c r="E71" i="14"/>
  <c r="J9" i="20"/>
  <c r="K9" s="1"/>
  <c r="G11" i="43" s="1"/>
  <c r="J11" s="1"/>
  <c r="H18" i="15" s="1"/>
  <c r="G132" i="2" s="1"/>
  <c r="G119"/>
  <c r="G9" i="43"/>
  <c r="J9" s="1"/>
  <c r="F18" i="15" s="1"/>
  <c r="G62" i="2" s="1"/>
  <c r="E122" i="19"/>
  <c r="A132"/>
  <c r="K160"/>
  <c r="E160" s="1"/>
  <c r="G289" i="2" s="1"/>
  <c r="N289" s="1"/>
  <c r="G152"/>
  <c r="A98" i="19"/>
  <c r="E89"/>
  <c r="H10" i="20"/>
  <c r="E92" i="14" s="1"/>
  <c r="G92" s="1"/>
  <c r="I92" s="1"/>
  <c r="E31" i="15" s="1"/>
  <c r="G156" i="2" s="1"/>
  <c r="G184"/>
  <c r="E106" i="19"/>
  <c r="G8" i="43"/>
  <c r="J8" s="1"/>
  <c r="E18" i="15" s="1"/>
  <c r="G27" i="2" s="1"/>
  <c r="E71" i="19"/>
  <c r="G120" i="2" s="1"/>
  <c r="E159" i="19"/>
  <c r="G14" i="20"/>
  <c r="D176" i="14" s="1"/>
  <c r="D177" s="1"/>
  <c r="D178" s="1"/>
  <c r="D179" s="1"/>
  <c r="D181" s="1"/>
  <c r="I16" i="44"/>
  <c r="J15"/>
  <c r="E67" i="15" s="1"/>
  <c r="G308" i="2" s="1"/>
  <c r="N308" s="1"/>
  <c r="F41" i="15"/>
  <c r="G201" i="2" s="1"/>
  <c r="G10" i="43"/>
  <c r="J10" s="1"/>
  <c r="G18" i="15" s="1"/>
  <c r="G97" i="2" s="1"/>
  <c r="G11" i="8"/>
  <c r="G11" i="6" s="1"/>
  <c r="J18" i="18"/>
  <c r="E177" i="19" s="1"/>
  <c r="L16" i="11"/>
  <c r="F134" i="14"/>
  <c r="F135" s="1"/>
  <c r="F136" s="1"/>
  <c r="F137" s="1"/>
  <c r="F139" s="1"/>
  <c r="K15" i="11"/>
  <c r="G15"/>
  <c r="I15" s="1"/>
  <c r="G15" i="12" s="1"/>
  <c r="G38" i="15"/>
  <c r="G233" i="2" s="1"/>
  <c r="L13" i="12"/>
  <c r="L14"/>
  <c r="H38" i="15"/>
  <c r="G268" i="2" s="1"/>
  <c r="E161" i="19"/>
  <c r="G290" i="2" s="1"/>
  <c r="N290" s="1"/>
  <c r="G287"/>
  <c r="N287" s="1"/>
  <c r="A171" i="19"/>
  <c r="A168"/>
  <c r="G51" i="14"/>
  <c r="I51" s="1"/>
  <c r="G8" i="15" s="1"/>
  <c r="G87" i="2" s="1"/>
  <c r="E52" i="14"/>
  <c r="D118"/>
  <c r="E32"/>
  <c r="G31"/>
  <c r="I31" s="1"/>
  <c r="F9" i="15" s="1"/>
  <c r="G53" i="2" s="1"/>
  <c r="D139" i="14"/>
  <c r="D97"/>
  <c r="D76"/>
  <c r="E14"/>
  <c r="G14" s="1"/>
  <c r="I14" s="1"/>
  <c r="E12" i="15" s="1"/>
  <c r="G21" i="2" s="1"/>
  <c r="G12" i="14"/>
  <c r="I12" s="1"/>
  <c r="E183" i="19" l="1"/>
  <c r="I15" i="20" s="1"/>
  <c r="A192" i="19"/>
  <c r="E93" i="14"/>
  <c r="G93" s="1"/>
  <c r="I93" s="1"/>
  <c r="E32" i="15" s="1"/>
  <c r="G157" i="2" s="1"/>
  <c r="J9" i="42"/>
  <c r="J10"/>
  <c r="J28"/>
  <c r="A170" i="19"/>
  <c r="G15" i="20"/>
  <c r="D197" i="14" s="1"/>
  <c r="D198" s="1"/>
  <c r="D199" s="1"/>
  <c r="D200" s="1"/>
  <c r="D202" s="1"/>
  <c r="J10" i="20"/>
  <c r="K10" s="1"/>
  <c r="G13" i="8" s="1"/>
  <c r="G13" i="6" s="1"/>
  <c r="G154" i="2"/>
  <c r="E90" i="19"/>
  <c r="G155" i="2" s="1"/>
  <c r="G219"/>
  <c r="E125" i="19"/>
  <c r="G187" i="2"/>
  <c r="H11" i="20"/>
  <c r="E113" i="14" s="1"/>
  <c r="E108" i="19"/>
  <c r="E109" s="1"/>
  <c r="G190" i="2" s="1"/>
  <c r="A117" i="19"/>
  <c r="E72" i="14"/>
  <c r="G71"/>
  <c r="I71" s="1"/>
  <c r="H7" i="15" s="1"/>
  <c r="G121" i="2" s="1"/>
  <c r="K141" i="19"/>
  <c r="K179"/>
  <c r="G12" i="8"/>
  <c r="G12" i="6" s="1"/>
  <c r="J7" i="42"/>
  <c r="E178" i="19"/>
  <c r="L15" i="12"/>
  <c r="E62" i="15"/>
  <c r="G288" i="2"/>
  <c r="N288" s="1"/>
  <c r="E163" i="19"/>
  <c r="H14" i="20" s="1"/>
  <c r="G41" i="15"/>
  <c r="G236" i="2" s="1"/>
  <c r="L17" i="11"/>
  <c r="J19" i="18"/>
  <c r="E196" i="19" s="1"/>
  <c r="E180"/>
  <c r="G325" i="2" s="1"/>
  <c r="N325" s="1"/>
  <c r="A190" i="19"/>
  <c r="A187"/>
  <c r="G322" i="2"/>
  <c r="N322" s="1"/>
  <c r="A189" i="19"/>
  <c r="E179"/>
  <c r="G324" i="2" s="1"/>
  <c r="N324" s="1"/>
  <c r="G52" i="14"/>
  <c r="I52" s="1"/>
  <c r="G9" i="15" s="1"/>
  <c r="G88" i="2" s="1"/>
  <c r="E53" i="14"/>
  <c r="G293" i="2"/>
  <c r="N293" s="1"/>
  <c r="F176" i="14"/>
  <c r="F177" s="1"/>
  <c r="F178" s="1"/>
  <c r="F179" s="1"/>
  <c r="F181" s="1"/>
  <c r="H41" i="15"/>
  <c r="G271" i="2" s="1"/>
  <c r="I23" i="42"/>
  <c r="K16" i="11"/>
  <c r="G16"/>
  <c r="I16" s="1"/>
  <c r="G16" i="12" s="1"/>
  <c r="J16" i="44"/>
  <c r="F67" i="15" s="1"/>
  <c r="G343" i="2" s="1"/>
  <c r="N343" s="1"/>
  <c r="I17" i="44"/>
  <c r="J17" s="1"/>
  <c r="G67" i="15" s="1"/>
  <c r="G378" i="2" s="1"/>
  <c r="N378" s="1"/>
  <c r="E10" i="15"/>
  <c r="G19" i="2" s="1"/>
  <c r="I13" i="14"/>
  <c r="E11" i="15" s="1"/>
  <c r="G20" i="2" s="1"/>
  <c r="E34" i="14"/>
  <c r="G34" s="1"/>
  <c r="I34" s="1"/>
  <c r="F12" i="15" s="1"/>
  <c r="G56" i="2" s="1"/>
  <c r="G32" i="14"/>
  <c r="I32" s="1"/>
  <c r="E202" i="19" l="1"/>
  <c r="L202" s="1"/>
  <c r="O203" s="1"/>
  <c r="A211"/>
  <c r="E94" i="14"/>
  <c r="G94" s="1"/>
  <c r="I94" s="1"/>
  <c r="E33" i="15" s="1"/>
  <c r="G158" i="2" s="1"/>
  <c r="K28" i="42"/>
  <c r="L28"/>
  <c r="E199" i="19"/>
  <c r="L199" s="1"/>
  <c r="L196"/>
  <c r="J8" i="42"/>
  <c r="G16" i="20"/>
  <c r="D218" i="14" s="1"/>
  <c r="D219" s="1"/>
  <c r="D220" s="1"/>
  <c r="D221" s="1"/>
  <c r="D223" s="1"/>
  <c r="E141" i="19"/>
  <c r="A151"/>
  <c r="A136"/>
  <c r="E127"/>
  <c r="G222" i="2"/>
  <c r="H12" i="20"/>
  <c r="E134" i="14" s="1"/>
  <c r="E135" s="1"/>
  <c r="G135" s="1"/>
  <c r="I135" s="1"/>
  <c r="G32" i="15" s="1"/>
  <c r="G227" i="2" s="1"/>
  <c r="G12" i="43"/>
  <c r="J12" s="1"/>
  <c r="E42" i="15" s="1"/>
  <c r="G167" i="2" s="1"/>
  <c r="G72" i="14"/>
  <c r="I72" s="1"/>
  <c r="H8" i="15" s="1"/>
  <c r="G122" i="2" s="1"/>
  <c r="E73" i="14"/>
  <c r="G189" i="2"/>
  <c r="J11" i="20"/>
  <c r="K11" s="1"/>
  <c r="G14" i="8" s="1"/>
  <c r="G14" i="6" s="1"/>
  <c r="K10" i="42"/>
  <c r="H10"/>
  <c r="K7"/>
  <c r="H7"/>
  <c r="K9"/>
  <c r="H9"/>
  <c r="I26"/>
  <c r="I10"/>
  <c r="E197" i="19"/>
  <c r="L197" s="1"/>
  <c r="I8" i="42"/>
  <c r="J13"/>
  <c r="G323" i="2"/>
  <c r="N323" s="1"/>
  <c r="E182" i="19"/>
  <c r="H15" i="20" s="1"/>
  <c r="F197" i="14"/>
  <c r="F198" s="1"/>
  <c r="F199" s="1"/>
  <c r="F200" s="1"/>
  <c r="F202" s="1"/>
  <c r="G328" i="2"/>
  <c r="N328" s="1"/>
  <c r="G113" i="14"/>
  <c r="I113" s="1"/>
  <c r="F31" i="15" s="1"/>
  <c r="G191" i="2" s="1"/>
  <c r="E114" i="14"/>
  <c r="G17" i="11"/>
  <c r="I17" s="1"/>
  <c r="G17" i="12" s="1"/>
  <c r="K17" i="11"/>
  <c r="F62" i="15"/>
  <c r="L16" i="12"/>
  <c r="A206" i="19"/>
  <c r="A209"/>
  <c r="G357" i="2"/>
  <c r="N357" s="1"/>
  <c r="G359"/>
  <c r="N359" s="1"/>
  <c r="A208" i="19"/>
  <c r="G303" i="2"/>
  <c r="N303" s="1"/>
  <c r="E65" i="15"/>
  <c r="G306" i="2" s="1"/>
  <c r="N306" s="1"/>
  <c r="I7" i="42"/>
  <c r="D155" i="14"/>
  <c r="D156" s="1"/>
  <c r="D157" s="1"/>
  <c r="D158" s="1"/>
  <c r="D160" s="1"/>
  <c r="G53"/>
  <c r="I53" s="1"/>
  <c r="E55"/>
  <c r="G55" s="1"/>
  <c r="I55" s="1"/>
  <c r="G12" i="15" s="1"/>
  <c r="G91" i="2" s="1"/>
  <c r="A174" i="19"/>
  <c r="E165"/>
  <c r="G292" i="2"/>
  <c r="E13" i="15"/>
  <c r="G22" i="2" s="1"/>
  <c r="F10" i="15"/>
  <c r="G54" i="2" s="1"/>
  <c r="I33" i="14"/>
  <c r="F11" i="15" s="1"/>
  <c r="G55" i="2" s="1"/>
  <c r="I16" i="14"/>
  <c r="G360" i="2" l="1"/>
  <c r="N360" s="1"/>
  <c r="G134" i="14"/>
  <c r="I134" s="1"/>
  <c r="G31" i="15" s="1"/>
  <c r="G226" i="2" s="1"/>
  <c r="E95" i="14"/>
  <c r="E97" s="1"/>
  <c r="G97" s="1"/>
  <c r="I97" s="1"/>
  <c r="E36" i="15" s="1"/>
  <c r="G161" i="2" s="1"/>
  <c r="I16" i="20"/>
  <c r="F218" i="14" s="1"/>
  <c r="F219" s="1"/>
  <c r="F220" s="1"/>
  <c r="F221" s="1"/>
  <c r="F223" s="1"/>
  <c r="J23" i="42"/>
  <c r="J26"/>
  <c r="G13" i="43"/>
  <c r="J13" s="1"/>
  <c r="F42" i="15" s="1"/>
  <c r="G202" i="2" s="1"/>
  <c r="E136" i="14"/>
  <c r="G136" s="1"/>
  <c r="I136" s="1"/>
  <c r="G33" i="15" s="1"/>
  <c r="G228" i="2" s="1"/>
  <c r="J12" i="20"/>
  <c r="K12" s="1"/>
  <c r="G14" i="43" s="1"/>
  <c r="J14" s="1"/>
  <c r="G42" i="15" s="1"/>
  <c r="G237" i="2" s="1"/>
  <c r="G224"/>
  <c r="G254"/>
  <c r="I9" i="42" s="1"/>
  <c r="E144" i="19"/>
  <c r="G73" i="14"/>
  <c r="I73" s="1"/>
  <c r="H9" i="15" s="1"/>
  <c r="G123" i="2" s="1"/>
  <c r="E74" i="14"/>
  <c r="E128" i="19"/>
  <c r="G225" i="2" s="1"/>
  <c r="H13" i="42"/>
  <c r="L10"/>
  <c r="L9"/>
  <c r="G9"/>
  <c r="J12"/>
  <c r="K8"/>
  <c r="H8"/>
  <c r="L7"/>
  <c r="G7"/>
  <c r="E166" i="19"/>
  <c r="G295" i="2" s="1"/>
  <c r="N295" s="1"/>
  <c r="J14" i="20"/>
  <c r="K14" s="1"/>
  <c r="K13" i="42"/>
  <c r="L17" i="12"/>
  <c r="G62" i="15"/>
  <c r="I54" i="14"/>
  <c r="G11" i="15" s="1"/>
  <c r="G90" i="2" s="1"/>
  <c r="G10" i="15"/>
  <c r="G89" i="2" s="1"/>
  <c r="A193" i="19"/>
  <c r="G327" i="2"/>
  <c r="E184" i="19"/>
  <c r="J15" i="20" s="1"/>
  <c r="K15" s="1"/>
  <c r="G338" i="2"/>
  <c r="N338" s="1"/>
  <c r="F65" i="15"/>
  <c r="G341" i="2" s="1"/>
  <c r="N341" s="1"/>
  <c r="E176" i="14"/>
  <c r="G363" i="2"/>
  <c r="N363" s="1"/>
  <c r="F155" i="14"/>
  <c r="F156" s="1"/>
  <c r="F157" s="1"/>
  <c r="F158" s="1"/>
  <c r="F160" s="1"/>
  <c r="G358" i="2"/>
  <c r="E201" i="19"/>
  <c r="G294" i="2"/>
  <c r="G114" i="14"/>
  <c r="I114" s="1"/>
  <c r="F32" i="15" s="1"/>
  <c r="G192" i="2" s="1"/>
  <c r="E115" i="14"/>
  <c r="F13" i="15"/>
  <c r="G57" i="2" s="1"/>
  <c r="I36" i="14"/>
  <c r="E20" i="15"/>
  <c r="G29" i="2" s="1"/>
  <c r="G10" i="42" l="1"/>
  <c r="G8"/>
  <c r="N358" i="2"/>
  <c r="G95" i="14"/>
  <c r="I95" s="1"/>
  <c r="I96" s="1"/>
  <c r="E35" i="15" s="1"/>
  <c r="G160" i="2" s="1"/>
  <c r="G15" i="8"/>
  <c r="G15" i="6" s="1"/>
  <c r="J15" i="42"/>
  <c r="J14"/>
  <c r="H16" i="20"/>
  <c r="E137" i="14"/>
  <c r="E139" s="1"/>
  <c r="G139" s="1"/>
  <c r="I139" s="1"/>
  <c r="G36" i="15" s="1"/>
  <c r="G231" i="2" s="1"/>
  <c r="E146" i="19"/>
  <c r="H13" i="20"/>
  <c r="A155" i="19"/>
  <c r="G257" i="2"/>
  <c r="E76" i="14"/>
  <c r="G76" s="1"/>
  <c r="I76" s="1"/>
  <c r="H12" i="15" s="1"/>
  <c r="G126" i="2" s="1"/>
  <c r="G74" i="14"/>
  <c r="I74" s="1"/>
  <c r="G13" i="42"/>
  <c r="G30" i="2"/>
  <c r="K26" i="42"/>
  <c r="H26"/>
  <c r="K12"/>
  <c r="H12"/>
  <c r="L8"/>
  <c r="K23"/>
  <c r="H23"/>
  <c r="L13"/>
  <c r="I57" i="14"/>
  <c r="I13" i="42"/>
  <c r="G17" i="8"/>
  <c r="G17" i="6" s="1"/>
  <c r="G16" i="43"/>
  <c r="J16" s="1"/>
  <c r="E66" i="15" s="1"/>
  <c r="G307" i="2" s="1"/>
  <c r="N307" s="1"/>
  <c r="G115" i="14"/>
  <c r="I115" s="1"/>
  <c r="F33" i="15" s="1"/>
  <c r="G193" i="2" s="1"/>
  <c r="E116" i="14"/>
  <c r="G373" i="2"/>
  <c r="N373" s="1"/>
  <c r="G65" i="15"/>
  <c r="G376" i="2" s="1"/>
  <c r="N376" s="1"/>
  <c r="G176" i="14"/>
  <c r="I176" s="1"/>
  <c r="E55" i="15" s="1"/>
  <c r="G296" i="2" s="1"/>
  <c r="N296" s="1"/>
  <c r="E177" i="14"/>
  <c r="E203" i="19"/>
  <c r="L203" s="1"/>
  <c r="G362" i="2"/>
  <c r="A212" i="19"/>
  <c r="G13" i="15"/>
  <c r="G92" i="2" s="1"/>
  <c r="E197" i="14"/>
  <c r="G329" i="2"/>
  <c r="E185" i="19"/>
  <c r="G330" i="2" s="1"/>
  <c r="N330" s="1"/>
  <c r="F20" i="15"/>
  <c r="G64" i="2" s="1"/>
  <c r="H9" i="8"/>
  <c r="H15" i="42" l="1"/>
  <c r="I99" i="14"/>
  <c r="E34" i="15"/>
  <c r="G159" i="2" s="1"/>
  <c r="J16" i="42"/>
  <c r="J27"/>
  <c r="J16" i="20"/>
  <c r="K16" s="1"/>
  <c r="G137" i="14"/>
  <c r="I137" s="1"/>
  <c r="G34" i="15" s="1"/>
  <c r="G229" i="2" s="1"/>
  <c r="G259"/>
  <c r="I14" i="42" s="1"/>
  <c r="J13" i="20"/>
  <c r="K13" s="1"/>
  <c r="E147" i="19"/>
  <c r="G260" i="2" s="1"/>
  <c r="I15" i="42" s="1"/>
  <c r="I75" i="14"/>
  <c r="H10" i="15"/>
  <c r="G31" i="2"/>
  <c r="G65"/>
  <c r="K14" i="42"/>
  <c r="H14"/>
  <c r="L12"/>
  <c r="G12"/>
  <c r="L23"/>
  <c r="G23"/>
  <c r="L26"/>
  <c r="G26"/>
  <c r="K15"/>
  <c r="I12"/>
  <c r="G17" i="43"/>
  <c r="J17" s="1"/>
  <c r="F66" i="15" s="1"/>
  <c r="G342" i="2" s="1"/>
  <c r="N342" s="1"/>
  <c r="G18" i="8"/>
  <c r="G18" i="6" s="1"/>
  <c r="E204" i="19"/>
  <c r="L204" s="1"/>
  <c r="G364" i="2"/>
  <c r="G197" i="14"/>
  <c r="I197" s="1"/>
  <c r="F55" i="15" s="1"/>
  <c r="G331" i="2" s="1"/>
  <c r="N331" s="1"/>
  <c r="E198" i="14"/>
  <c r="G177"/>
  <c r="I177" s="1"/>
  <c r="E56" i="15" s="1"/>
  <c r="G297" i="2" s="1"/>
  <c r="N297" s="1"/>
  <c r="E178" i="14"/>
  <c r="E218"/>
  <c r="G116"/>
  <c r="I116" s="1"/>
  <c r="E118"/>
  <c r="G118" s="1"/>
  <c r="I118" s="1"/>
  <c r="F36" i="15" s="1"/>
  <c r="G196" i="2" s="1"/>
  <c r="E155" i="14"/>
  <c r="G20" i="15"/>
  <c r="G99" i="2" s="1"/>
  <c r="H10" i="8"/>
  <c r="H9" i="6"/>
  <c r="I9" i="8"/>
  <c r="K9" s="1"/>
  <c r="I9" i="6" s="1"/>
  <c r="E37" i="15"/>
  <c r="G162" i="2" s="1"/>
  <c r="J17" i="42" l="1"/>
  <c r="G365" i="2"/>
  <c r="N365" s="1"/>
  <c r="I138" i="14"/>
  <c r="G35" i="15" s="1"/>
  <c r="G230" i="2" s="1"/>
  <c r="G124"/>
  <c r="H11" i="15"/>
  <c r="G125" i="2" s="1"/>
  <c r="I78" i="14"/>
  <c r="G100" i="2"/>
  <c r="G32"/>
  <c r="G33" s="1"/>
  <c r="G66"/>
  <c r="K27" i="42"/>
  <c r="H27"/>
  <c r="L14"/>
  <c r="G14"/>
  <c r="K16"/>
  <c r="H16"/>
  <c r="G15" i="43"/>
  <c r="J15" s="1"/>
  <c r="H42" i="15" s="1"/>
  <c r="G16" i="8"/>
  <c r="G16" i="6" s="1"/>
  <c r="G178" i="14"/>
  <c r="I178" s="1"/>
  <c r="E57" i="15" s="1"/>
  <c r="G298" i="2" s="1"/>
  <c r="N298" s="1"/>
  <c r="E179" i="14"/>
  <c r="G19" i="8"/>
  <c r="G19" i="6" s="1"/>
  <c r="G18" i="43"/>
  <c r="J18" s="1"/>
  <c r="G66" i="15" s="1"/>
  <c r="G377" i="2" s="1"/>
  <c r="N377" s="1"/>
  <c r="H11" i="8"/>
  <c r="G218" i="14"/>
  <c r="I218" s="1"/>
  <c r="G55" i="15" s="1"/>
  <c r="G366" i="2" s="1"/>
  <c r="N366" s="1"/>
  <c r="E219" i="14"/>
  <c r="I117"/>
  <c r="F34" i="15"/>
  <c r="G194" i="2" s="1"/>
  <c r="G198" i="14"/>
  <c r="I198" s="1"/>
  <c r="F56" i="15" s="1"/>
  <c r="G332" i="2" s="1"/>
  <c r="N332" s="1"/>
  <c r="E199" i="14"/>
  <c r="G155"/>
  <c r="I155" s="1"/>
  <c r="H31" i="15" s="1"/>
  <c r="E156" i="14"/>
  <c r="J9" i="6"/>
  <c r="L9" s="1"/>
  <c r="H10"/>
  <c r="I10" i="8"/>
  <c r="K10" s="1"/>
  <c r="I10" i="6" s="1"/>
  <c r="E44" i="15"/>
  <c r="G169" i="2" s="1"/>
  <c r="H13" i="15" l="1"/>
  <c r="H20" s="1"/>
  <c r="G15" i="42"/>
  <c r="J18"/>
  <c r="L15"/>
  <c r="I141" i="14"/>
  <c r="G37" i="15"/>
  <c r="G232" i="2" s="1"/>
  <c r="I15"/>
  <c r="I33"/>
  <c r="G34"/>
  <c r="G35" s="1"/>
  <c r="J7" i="1" s="1"/>
  <c r="K7" s="1"/>
  <c r="N7" s="1"/>
  <c r="I29" i="2"/>
  <c r="I30"/>
  <c r="G101"/>
  <c r="I31"/>
  <c r="G261"/>
  <c r="I16" i="42" s="1"/>
  <c r="G272" i="2"/>
  <c r="I27" i="42" s="1"/>
  <c r="G170" i="2"/>
  <c r="G67"/>
  <c r="G68" s="1"/>
  <c r="I32"/>
  <c r="K17" i="42"/>
  <c r="H17"/>
  <c r="L27"/>
  <c r="G27"/>
  <c r="L16"/>
  <c r="G16"/>
  <c r="G219" i="14"/>
  <c r="I219" s="1"/>
  <c r="G56" i="15" s="1"/>
  <c r="G367" i="2" s="1"/>
  <c r="N367" s="1"/>
  <c r="E220" i="14"/>
  <c r="F35" i="15"/>
  <c r="G195" i="2" s="1"/>
  <c r="I120" i="14"/>
  <c r="E181"/>
  <c r="G181" s="1"/>
  <c r="I181" s="1"/>
  <c r="E60" i="15" s="1"/>
  <c r="G301" i="2" s="1"/>
  <c r="N301" s="1"/>
  <c r="G179" i="14"/>
  <c r="I179" s="1"/>
  <c r="I11" i="8"/>
  <c r="K11" s="1"/>
  <c r="I11" i="6" s="1"/>
  <c r="H11"/>
  <c r="G199" i="14"/>
  <c r="I199" s="1"/>
  <c r="F57" i="15" s="1"/>
  <c r="G333" i="2" s="1"/>
  <c r="N333" s="1"/>
  <c r="E200" i="14"/>
  <c r="G156"/>
  <c r="I156" s="1"/>
  <c r="H32" i="15" s="1"/>
  <c r="E157" i="14"/>
  <c r="J10" i="6"/>
  <c r="L10" s="1"/>
  <c r="H13" i="8"/>
  <c r="G127" i="2" l="1"/>
  <c r="J21" i="42"/>
  <c r="G44" i="15"/>
  <c r="G239" i="2" s="1"/>
  <c r="G240" s="1"/>
  <c r="G134"/>
  <c r="G135" s="1"/>
  <c r="G136" s="1"/>
  <c r="H12" i="8"/>
  <c r="I50" i="2"/>
  <c r="I68"/>
  <c r="G69"/>
  <c r="G70" s="1"/>
  <c r="J8" i="1" s="1"/>
  <c r="K8" s="1"/>
  <c r="N8" s="1"/>
  <c r="I64" i="2"/>
  <c r="I65"/>
  <c r="G171"/>
  <c r="G102"/>
  <c r="I67"/>
  <c r="G262"/>
  <c r="I17" i="42" s="1"/>
  <c r="I66" i="2"/>
  <c r="K18" i="42"/>
  <c r="H18"/>
  <c r="L17"/>
  <c r="G17"/>
  <c r="F37" i="15"/>
  <c r="J11" i="6"/>
  <c r="L11" s="1"/>
  <c r="G220" i="14"/>
  <c r="I220" s="1"/>
  <c r="G57" i="15" s="1"/>
  <c r="G368" i="2" s="1"/>
  <c r="N368" s="1"/>
  <c r="E221" i="14"/>
  <c r="G200"/>
  <c r="I200" s="1"/>
  <c r="E202"/>
  <c r="G202" s="1"/>
  <c r="I202" s="1"/>
  <c r="F60" i="15" s="1"/>
  <c r="G336" i="2" s="1"/>
  <c r="N336" s="1"/>
  <c r="G157" i="14"/>
  <c r="I157" s="1"/>
  <c r="H33" i="15" s="1"/>
  <c r="E158" i="14"/>
  <c r="I180"/>
  <c r="E58" i="15"/>
  <c r="H13" i="6"/>
  <c r="I13" i="8"/>
  <c r="K13" s="1"/>
  <c r="I13" i="6" s="1"/>
  <c r="H15" i="8" l="1"/>
  <c r="H15" i="6" s="1"/>
  <c r="I12" i="8"/>
  <c r="K12" s="1"/>
  <c r="I12" i="6" s="1"/>
  <c r="H12"/>
  <c r="G137" i="2"/>
  <c r="G138" s="1"/>
  <c r="I134" s="1"/>
  <c r="F44" i="15"/>
  <c r="G204" i="2" s="1"/>
  <c r="G197"/>
  <c r="G241"/>
  <c r="G172"/>
  <c r="G173" s="1"/>
  <c r="G263"/>
  <c r="I18" i="42" s="1"/>
  <c r="G103" i="2"/>
  <c r="K21" i="42"/>
  <c r="H21"/>
  <c r="L18"/>
  <c r="G18"/>
  <c r="E223" i="14"/>
  <c r="G223" s="1"/>
  <c r="I223" s="1"/>
  <c r="G60" i="15" s="1"/>
  <c r="G371" i="2" s="1"/>
  <c r="N371" s="1"/>
  <c r="G221" i="14"/>
  <c r="I221" s="1"/>
  <c r="I201"/>
  <c r="F59" i="15" s="1"/>
  <c r="G335" i="2" s="1"/>
  <c r="N335" s="1"/>
  <c r="F58" i="15"/>
  <c r="E59"/>
  <c r="G300" i="2" s="1"/>
  <c r="N300" s="1"/>
  <c r="I183" i="14"/>
  <c r="G299" i="2"/>
  <c r="N299" s="1"/>
  <c r="G158" i="14"/>
  <c r="I158" s="1"/>
  <c r="E160"/>
  <c r="G160" s="1"/>
  <c r="I160" s="1"/>
  <c r="H36" i="15" s="1"/>
  <c r="J13" i="6"/>
  <c r="L13" s="1"/>
  <c r="J19" i="42" l="1"/>
  <c r="J20"/>
  <c r="I15" i="8"/>
  <c r="K15" s="1"/>
  <c r="I15" i="6" s="1"/>
  <c r="J15" s="1"/>
  <c r="L15" s="1"/>
  <c r="I135" i="2"/>
  <c r="I136"/>
  <c r="J12" i="6"/>
  <c r="L12" s="1"/>
  <c r="I120" i="2"/>
  <c r="I137"/>
  <c r="I138"/>
  <c r="G139"/>
  <c r="G140" s="1"/>
  <c r="J10" i="1" s="1"/>
  <c r="K10" s="1"/>
  <c r="N10" s="1"/>
  <c r="G205" i="2"/>
  <c r="I172"/>
  <c r="I155"/>
  <c r="G174"/>
  <c r="G175" s="1"/>
  <c r="J11" i="1" s="1"/>
  <c r="K11" s="1"/>
  <c r="N11" s="1"/>
  <c r="I173" i="2"/>
  <c r="I169"/>
  <c r="I170"/>
  <c r="I171"/>
  <c r="G242"/>
  <c r="G243" s="1"/>
  <c r="G266"/>
  <c r="I21" i="42" s="1"/>
  <c r="I85" i="2"/>
  <c r="G104"/>
  <c r="G105" s="1"/>
  <c r="J9" i="1" s="1"/>
  <c r="K9" s="1"/>
  <c r="N9" s="1"/>
  <c r="I103" i="2"/>
  <c r="I99"/>
  <c r="I100"/>
  <c r="I101"/>
  <c r="H14" i="8"/>
  <c r="I14" s="1"/>
  <c r="K14" s="1"/>
  <c r="I14" i="6" s="1"/>
  <c r="I102" i="2"/>
  <c r="L21" i="42"/>
  <c r="G21"/>
  <c r="K20"/>
  <c r="H20"/>
  <c r="E61" i="15"/>
  <c r="E68" s="1"/>
  <c r="I204" i="14"/>
  <c r="G58" i="15"/>
  <c r="I222" i="14"/>
  <c r="I159"/>
  <c r="H35" i="15" s="1"/>
  <c r="H34"/>
  <c r="G264" i="2" s="1"/>
  <c r="F61" i="15"/>
  <c r="G334" i="2"/>
  <c r="N334" s="1"/>
  <c r="H14" i="6" l="1"/>
  <c r="J14" s="1"/>
  <c r="L14" s="1"/>
  <c r="I243" i="2"/>
  <c r="G244"/>
  <c r="G245" s="1"/>
  <c r="I225"/>
  <c r="I239"/>
  <c r="I240"/>
  <c r="I241"/>
  <c r="G206"/>
  <c r="G265"/>
  <c r="I20" i="42" s="1"/>
  <c r="I242" i="2"/>
  <c r="K19" i="42"/>
  <c r="H19"/>
  <c r="G302" i="2"/>
  <c r="N302" s="1"/>
  <c r="G369"/>
  <c r="N369" s="1"/>
  <c r="G59" i="15"/>
  <c r="G370" i="2" s="1"/>
  <c r="N370" s="1"/>
  <c r="I225" i="14"/>
  <c r="I19" i="42"/>
  <c r="H37" i="15"/>
  <c r="G267" i="2" s="1"/>
  <c r="G309"/>
  <c r="N309" s="1"/>
  <c r="H17" i="8"/>
  <c r="I162" i="14"/>
  <c r="F68" i="15"/>
  <c r="G337" i="2"/>
  <c r="N337" s="1"/>
  <c r="J22" i="42" l="1"/>
  <c r="G207" i="2"/>
  <c r="G208" s="1"/>
  <c r="L20" i="42"/>
  <c r="G20"/>
  <c r="L19"/>
  <c r="G19"/>
  <c r="K22"/>
  <c r="H22"/>
  <c r="G61" i="15"/>
  <c r="G68" s="1"/>
  <c r="H44"/>
  <c r="G274" i="2" s="1"/>
  <c r="I22" i="42"/>
  <c r="G310" i="2"/>
  <c r="N310" s="1"/>
  <c r="J29" i="42"/>
  <c r="I17" i="8"/>
  <c r="K17" s="1"/>
  <c r="I17" i="6" s="1"/>
  <c r="H17"/>
  <c r="H18" i="8"/>
  <c r="G344" i="2"/>
  <c r="N344" s="1"/>
  <c r="G311" l="1"/>
  <c r="N311" s="1"/>
  <c r="H29" i="42"/>
  <c r="I207" i="2"/>
  <c r="I190"/>
  <c r="G209"/>
  <c r="G210" s="1"/>
  <c r="I208"/>
  <c r="I204"/>
  <c r="I205"/>
  <c r="I206"/>
  <c r="G275"/>
  <c r="G372"/>
  <c r="N372" s="1"/>
  <c r="H19" i="8"/>
  <c r="G379" i="2"/>
  <c r="N379" s="1"/>
  <c r="H16" i="8"/>
  <c r="H18" i="6"/>
  <c r="I18" i="8"/>
  <c r="K18" s="1"/>
  <c r="I18" i="6" s="1"/>
  <c r="J17"/>
  <c r="L17" s="1"/>
  <c r="G345" i="2"/>
  <c r="N345" s="1"/>
  <c r="K29" i="42"/>
  <c r="J30"/>
  <c r="H30" l="1"/>
  <c r="G346" i="2"/>
  <c r="N346" s="1"/>
  <c r="G312"/>
  <c r="N312" s="1"/>
  <c r="G29" i="42"/>
  <c r="G276" i="2"/>
  <c r="L22" i="42"/>
  <c r="G22"/>
  <c r="K30"/>
  <c r="H19" i="6"/>
  <c r="I19" i="8"/>
  <c r="K19" s="1"/>
  <c r="I19" i="6" s="1"/>
  <c r="G380" i="2"/>
  <c r="N380" s="1"/>
  <c r="L29" i="42"/>
  <c r="J31"/>
  <c r="I29"/>
  <c r="I16" i="8"/>
  <c r="K16" s="1"/>
  <c r="I16" i="6" s="1"/>
  <c r="H16"/>
  <c r="J18"/>
  <c r="L18" s="1"/>
  <c r="G30" i="42" l="1"/>
  <c r="G381" i="2"/>
  <c r="N381" s="1"/>
  <c r="H31" i="42"/>
  <c r="G347" i="2"/>
  <c r="N347" s="1"/>
  <c r="G277"/>
  <c r="I30" i="42"/>
  <c r="G313" i="2"/>
  <c r="N313" s="1"/>
  <c r="J32" i="42"/>
  <c r="K31"/>
  <c r="J19" i="6"/>
  <c r="L19" s="1"/>
  <c r="J16"/>
  <c r="L16" s="1"/>
  <c r="L30" i="42"/>
  <c r="H32" l="1"/>
  <c r="I312" i="2"/>
  <c r="G31" i="42"/>
  <c r="G382" i="2"/>
  <c r="N382" s="1"/>
  <c r="G278"/>
  <c r="I277" s="1"/>
  <c r="I31" i="42"/>
  <c r="I313" i="2"/>
  <c r="I309"/>
  <c r="G314"/>
  <c r="N314" s="1"/>
  <c r="J33" i="42"/>
  <c r="I310" i="2"/>
  <c r="I295"/>
  <c r="I311"/>
  <c r="L31" i="42"/>
  <c r="G348" i="2"/>
  <c r="N348" s="1"/>
  <c r="K32" i="42"/>
  <c r="G32" l="1"/>
  <c r="J34"/>
  <c r="I278" i="2"/>
  <c r="G279"/>
  <c r="G280" s="1"/>
  <c r="I260"/>
  <c r="I274"/>
  <c r="I275"/>
  <c r="I276"/>
  <c r="I347"/>
  <c r="H33" i="42"/>
  <c r="G315" i="2"/>
  <c r="N315" s="1"/>
  <c r="I32" i="42"/>
  <c r="I33"/>
  <c r="L32"/>
  <c r="G383" i="2"/>
  <c r="N383" s="1"/>
  <c r="G349"/>
  <c r="N349" s="1"/>
  <c r="I345"/>
  <c r="I330"/>
  <c r="I348"/>
  <c r="K33" i="42"/>
  <c r="I344" i="2"/>
  <c r="I346"/>
  <c r="J35" i="42" l="1"/>
  <c r="I382" i="2"/>
  <c r="G33" i="42"/>
  <c r="K34"/>
  <c r="H34"/>
  <c r="I34"/>
  <c r="G350" i="2"/>
  <c r="N350" s="1"/>
  <c r="I383"/>
  <c r="L33" i="42"/>
  <c r="I379" i="2"/>
  <c r="G384"/>
  <c r="N384" s="1"/>
  <c r="I380"/>
  <c r="I365"/>
  <c r="I381"/>
  <c r="I35" i="42"/>
  <c r="J12" i="1" l="1"/>
  <c r="K12" s="1"/>
  <c r="N12" s="1"/>
  <c r="L34" i="42"/>
  <c r="G34"/>
  <c r="K35"/>
  <c r="H35"/>
  <c r="N385" i="2"/>
  <c r="J13" i="1" l="1"/>
  <c r="K13" s="1"/>
  <c r="N13" s="1"/>
  <c r="L35" i="42"/>
  <c r="J15" i="1" s="1"/>
  <c r="K15" s="1"/>
  <c r="N15" s="1"/>
  <c r="J14" l="1"/>
  <c r="K14" s="1"/>
  <c r="N14" s="1"/>
  <c r="N16" s="1"/>
</calcChain>
</file>

<file path=xl/sharedStrings.xml><?xml version="1.0" encoding="utf-8"?>
<sst xmlns="http://schemas.openxmlformats.org/spreadsheetml/2006/main" count="1786" uniqueCount="645">
  <si>
    <t>연장근로수당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</si>
  <si>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</si>
  <si>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</si>
  <si>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</si>
  <si>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</si>
  <si>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</si>
  <si>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</si>
  <si>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</si>
  <si>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</si>
  <si>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</si>
  <si>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</si>
  <si>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</si>
  <si>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</si>
  <si>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</si>
  <si>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</si>
  <si>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</si>
  <si>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</si>
  <si>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</si>
  <si>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</si>
  <si>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</si>
  <si>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</si>
  <si>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</si>
  <si>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년차수당</t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</si>
  <si>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</si>
  <si>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</si>
  <si>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</si>
  <si>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</si>
  <si>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</si>
  <si>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</si>
  <si>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</si>
  <si>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</si>
  <si>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</si>
  <si>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</si>
  <si>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</si>
  <si>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</si>
  <si>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</si>
  <si>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</si>
  <si>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</si>
  <si>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</si>
  <si>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</si>
  <si>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</si>
  <si>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</si>
  <si>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</si>
  <si>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</si>
  <si>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</si>
  <si>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</si>
  <si>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</si>
  <si>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</si>
  <si>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</si>
  <si>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</si>
  <si>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</si>
  <si>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</si>
  <si>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</si>
  <si>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</si>
  <si>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</si>
  <si>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</si>
  <si>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</si>
  <si>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</si>
  <si>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</si>
  <si>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</si>
  <si>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적용직종 및 소요인원산정표</t>
    <phoneticPr fontId="16" type="noConversion"/>
  </si>
  <si>
    <t>구  분</t>
    <phoneticPr fontId="7" type="noConversion"/>
  </si>
  <si>
    <t>주     요     업     무</t>
    <phoneticPr fontId="16" type="noConversion"/>
  </si>
  <si>
    <t>계</t>
    <phoneticPr fontId="16" type="noConversion"/>
  </si>
  <si>
    <t>경비집계표</t>
    <phoneticPr fontId="7" type="noConversion"/>
  </si>
  <si>
    <t>비          목</t>
    <phoneticPr fontId="5" type="noConversion"/>
  </si>
  <si>
    <t>보  험  료</t>
    <phoneticPr fontId="5" type="noConversion"/>
  </si>
  <si>
    <t>주 1)</t>
    <phoneticPr fontId="5" type="noConversion"/>
  </si>
  <si>
    <t>복리후생비</t>
    <phoneticPr fontId="5" type="noConversion"/>
  </si>
  <si>
    <t>식대</t>
    <phoneticPr fontId="5" type="noConversion"/>
  </si>
  <si>
    <t>주 2)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</si>
  <si>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</si>
  <si>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</si>
  <si>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</si>
  <si>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</si>
  <si>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</si>
  <si>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</si>
  <si>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</si>
  <si>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</si>
  <si>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</si>
  <si>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</si>
  <si>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</si>
  <si>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 xml:space="preserve">   석탄광업</t>
  </si>
  <si>
    <t xml:space="preserve">   금속 및 비금속광업</t>
  </si>
  <si>
    <t xml:space="preserve">   선박건조 및 수리업</t>
  </si>
  <si>
    <t xml:space="preserve">   석회석광업</t>
  </si>
  <si>
    <t xml:space="preserve">   수제품 제조업</t>
  </si>
  <si>
    <t xml:space="preserve">   기타제조업</t>
  </si>
  <si>
    <t>2. 제조업</t>
  </si>
  <si>
    <t xml:space="preserve">   식료품제조업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</si>
  <si>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</si>
  <si>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</si>
  <si>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</si>
  <si>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</si>
  <si>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</si>
  <si>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</si>
  <si>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</si>
  <si>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</si>
  <si>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항공운수업</t>
  </si>
  <si>
    <t xml:space="preserve">   운수관련 서비스업</t>
  </si>
  <si>
    <t xml:space="preserve">   화학제품 제조업</t>
  </si>
  <si>
    <t xml:space="preserve">   의약품 및 화장품 향료 제조업</t>
  </si>
  <si>
    <t xml:space="preserve">   코크스 및 석탄가스 제조업</t>
  </si>
  <si>
    <t xml:space="preserve">   고무제품 제조업</t>
  </si>
  <si>
    <t xml:space="preserve">   유리 제조업</t>
  </si>
  <si>
    <t>9. 기타의사업</t>
  </si>
  <si>
    <t xml:space="preserve">   시멘트 제조업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</si>
  <si>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</si>
  <si>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</si>
  <si>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</si>
  <si>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</si>
  <si>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기계기구 제조업</t>
  </si>
  <si>
    <t xml:space="preserve">   기타의 각종사업</t>
  </si>
  <si>
    <t xml:space="preserve">   전기기계기구 제조업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</si>
  <si>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</si>
  <si>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</si>
  <si>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</si>
  <si>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</si>
  <si>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</si>
  <si>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</si>
  <si>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</si>
  <si>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</si>
  <si>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</si>
  <si>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</si>
  <si>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</si>
  <si>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-</t>
  </si>
  <si>
    <t>이윤비율표</t>
    <phoneticPr fontId="21" type="noConversion"/>
  </si>
  <si>
    <t>구          분</t>
    <phoneticPr fontId="7" type="noConversion"/>
  </si>
  <si>
    <t>조사적용
비율(%)</t>
    <phoneticPr fontId="7" type="noConversion"/>
  </si>
  <si>
    <t>비       고</t>
    <phoneticPr fontId="19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</si>
  <si>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</si>
  <si>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</si>
  <si>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</si>
  <si>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</si>
  <si>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</si>
  <si>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CODE NO.</t>
  </si>
  <si>
    <t>금     액</t>
  </si>
  <si>
    <t>"</t>
  </si>
  <si>
    <t>매출원가</t>
    <phoneticPr fontId="7" type="noConversion"/>
  </si>
  <si>
    <t>판매비와일반관리비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</si>
  <si>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</si>
  <si>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</si>
  <si>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</si>
  <si>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</si>
  <si>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</si>
  <si>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</si>
  <si>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</si>
  <si>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</si>
  <si>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</si>
  <si>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</si>
  <si>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</si>
  <si>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</si>
  <si>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</si>
  <si>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일반관리비율산출표</t>
    <phoneticPr fontId="7" type="noConversion"/>
  </si>
  <si>
    <t>비                  목</t>
    <phoneticPr fontId="14" type="noConversion"/>
  </si>
  <si>
    <t>비    고</t>
    <phoneticPr fontId="14" type="noConversion"/>
  </si>
  <si>
    <t>1)</t>
    <phoneticPr fontId="7" type="noConversion"/>
  </si>
  <si>
    <t xml:space="preserve"> 주 1)</t>
    <phoneticPr fontId="7" type="noConversion"/>
  </si>
  <si>
    <t>2)</t>
    <phoneticPr fontId="7" type="noConversion"/>
  </si>
  <si>
    <t>동기간의 일반관리비</t>
    <phoneticPr fontId="7" type="noConversion"/>
  </si>
  <si>
    <t>불인금액</t>
    <phoneticPr fontId="7" type="noConversion"/>
  </si>
  <si>
    <t>① 접대비</t>
    <phoneticPr fontId="7" type="noConversion"/>
  </si>
  <si>
    <t>② 광고선전비</t>
    <phoneticPr fontId="7" type="noConversion"/>
  </si>
  <si>
    <t>③ 운반비</t>
    <phoneticPr fontId="7" type="noConversion"/>
  </si>
  <si>
    <t>④ 대손상각비</t>
    <phoneticPr fontId="7" type="noConversion"/>
  </si>
  <si>
    <t>⑤ 무형자산상각비</t>
    <phoneticPr fontId="7" type="noConversion"/>
  </si>
  <si>
    <t>⑥ 기타판매비와관리비</t>
    <phoneticPr fontId="7" type="noConversion"/>
  </si>
  <si>
    <t>3)</t>
    <phoneticPr fontId="7" type="noConversion"/>
  </si>
  <si>
    <t>일반관리비율(%)</t>
    <phoneticPr fontId="7" type="noConversion"/>
  </si>
  <si>
    <t xml:space="preserve"> 주 2)</t>
    <phoneticPr fontId="7" type="noConversion"/>
  </si>
  <si>
    <t>기업경영분석
자료(백만원)</t>
    <phoneticPr fontId="14" type="noConversion"/>
  </si>
  <si>
    <t>비    목</t>
    <phoneticPr fontId="7" type="noConversion"/>
  </si>
  <si>
    <t xml:space="preserve">   2) 단가 : 시중유통거래가격 참조</t>
    <phoneticPr fontId="7" type="noConversion"/>
  </si>
  <si>
    <t>3. 전기·가스 및 상수도업</t>
  </si>
  <si>
    <t xml:space="preserve">   어업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</si>
  <si>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</si>
  <si>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</si>
  <si>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</si>
  <si>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</si>
  <si>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적용직종</t>
    <phoneticPr fontId="16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</si>
  <si>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</si>
  <si>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</si>
  <si>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</si>
  <si>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단위 : 원</t>
    <phoneticPr fontId="5" type="noConversion"/>
  </si>
  <si>
    <t xml:space="preserve">   5) 년간용역비 : 월간용역비 × 적용개월수</t>
    <phoneticPr fontId="5" type="noConversion"/>
  </si>
  <si>
    <t>목       차</t>
    <phoneticPr fontId="6" type="noConversion"/>
  </si>
  <si>
    <t>Ⅰ.</t>
    <phoneticPr fontId="6" type="noConversion"/>
  </si>
  <si>
    <t>예정원가조사보고서 ----------------------------------------------------</t>
    <phoneticPr fontId="6" type="noConversion"/>
  </si>
  <si>
    <t>Ⅱ.</t>
    <phoneticPr fontId="6" type="noConversion"/>
  </si>
  <si>
    <t>원가조사의 개요 -------------------------------------------------------</t>
    <phoneticPr fontId="6" type="noConversion"/>
  </si>
  <si>
    <t>Ⅲ.</t>
    <phoneticPr fontId="6" type="noConversion"/>
  </si>
  <si>
    <t>Ⅳ.</t>
    <phoneticPr fontId="6" type="noConversion"/>
  </si>
  <si>
    <t>원가비목별계산기준 ----------------------------------------------------</t>
    <phoneticPr fontId="6" type="noConversion"/>
  </si>
  <si>
    <t>비       목</t>
    <phoneticPr fontId="7" type="noConversion"/>
  </si>
  <si>
    <t>관  련  법  규</t>
    <phoneticPr fontId="7" type="noConversion"/>
  </si>
  <si>
    <t>산     정     기     준</t>
    <phoneticPr fontId="7" type="noConversion"/>
  </si>
  <si>
    <t>적  용  방  법</t>
    <phoneticPr fontId="7" type="noConversion"/>
  </si>
  <si>
    <t>기     본     급</t>
    <phoneticPr fontId="7" type="noConversion"/>
  </si>
  <si>
    <t>상       여       금</t>
    <phoneticPr fontId="6" type="noConversion"/>
  </si>
  <si>
    <t>퇴 직 급 여 충 당 금</t>
    <phoneticPr fontId="6" type="noConversion"/>
  </si>
  <si>
    <t>인건비산정기준 및 관련법규</t>
    <phoneticPr fontId="16" type="noConversion"/>
  </si>
  <si>
    <t>고용보험료</t>
  </si>
  <si>
    <t>근로기준법 제60조</t>
    <phoneticPr fontId="7" type="noConversion"/>
  </si>
  <si>
    <t>근로기준법 제56조</t>
    <phoneticPr fontId="7" type="noConversion"/>
  </si>
  <si>
    <t>인
건
비</t>
    <phoneticPr fontId="6" type="noConversion"/>
  </si>
  <si>
    <t>인
건
비</t>
    <phoneticPr fontId="6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</si>
  <si>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</si>
  <si>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</si>
  <si>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</si>
  <si>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</si>
  <si>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비  고</t>
    <phoneticPr fontId="7" type="noConversion"/>
  </si>
  <si>
    <t>보험료산출표</t>
    <phoneticPr fontId="15" type="noConversion"/>
  </si>
  <si>
    <t>경
비</t>
    <phoneticPr fontId="6" type="noConversion"/>
  </si>
  <si>
    <t>제
수
당</t>
    <phoneticPr fontId="7" type="noConversion"/>
  </si>
  <si>
    <t>휴일근로수당</t>
    <phoneticPr fontId="5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</si>
  <si>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</si>
  <si>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</si>
  <si>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</si>
  <si>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</si>
  <si>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</si>
  <si>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</si>
  <si>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</si>
  <si>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</si>
  <si>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</si>
  <si>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</si>
  <si>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</si>
  <si>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</si>
  <si>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 xml:space="preserve">   자동차 및 모터사이클 수리업</t>
  </si>
  <si>
    <t xml:space="preserve">   전문기술서비스업</t>
  </si>
  <si>
    <t>휴일근로수당</t>
    <phoneticPr fontId="5" type="noConversion"/>
  </si>
  <si>
    <t xml:space="preserve">   2) 일반관리비율 = (동기간의 일반관리비 ÷ 매출원가) × 100</t>
    <phoneticPr fontId="7" type="noConversion"/>
  </si>
  <si>
    <t>2. 일반관리비 적용비율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</si>
  <si>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</si>
  <si>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</si>
  <si>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</si>
  <si>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자격기준</t>
    <phoneticPr fontId="5" type="noConversion"/>
  </si>
  <si>
    <t>소요
인원</t>
    <phoneticPr fontId="16" type="noConversion"/>
  </si>
  <si>
    <t>노인장기요양보험료</t>
    <phoneticPr fontId="5" type="noConversion"/>
  </si>
  <si>
    <t>사     업     소     세</t>
    <phoneticPr fontId="5" type="noConversion"/>
  </si>
  <si>
    <t>적용직종명</t>
    <phoneticPr fontId="7" type="noConversion"/>
  </si>
  <si>
    <t>금  액</t>
    <phoneticPr fontId="7" type="noConversion"/>
  </si>
  <si>
    <t>사업소세산출표</t>
    <phoneticPr fontId="21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</si>
  <si>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</si>
  <si>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</si>
  <si>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</si>
  <si>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비    고</t>
    <phoneticPr fontId="7" type="noConversion"/>
  </si>
  <si>
    <t>주 2)</t>
    <phoneticPr fontId="7" type="noConversion"/>
  </si>
  <si>
    <t>비  고</t>
    <phoneticPr fontId="5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</si>
  <si>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</si>
  <si>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</si>
  <si>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</si>
  <si>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주 1)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</si>
  <si>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</si>
  <si>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</si>
  <si>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</si>
  <si>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</si>
  <si>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</si>
  <si>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직책수당</t>
    <phoneticPr fontId="5" type="noConversion"/>
  </si>
  <si>
    <t>제
수
당</t>
    <phoneticPr fontId="6" type="noConversion"/>
  </si>
  <si>
    <t>교         육        비</t>
    <phoneticPr fontId="5" type="noConversion"/>
  </si>
  <si>
    <t>기
타</t>
    <phoneticPr fontId="7" type="noConversion"/>
  </si>
  <si>
    <t>교육비</t>
    <phoneticPr fontId="7" type="noConversion"/>
  </si>
  <si>
    <t>사업소세</t>
    <phoneticPr fontId="7" type="noConversion"/>
  </si>
  <si>
    <t>교육비산출표</t>
    <phoneticPr fontId="21" type="noConversion"/>
  </si>
  <si>
    <t>적용
개월수</t>
    <phoneticPr fontId="18" type="noConversion"/>
  </si>
  <si>
    <t>년간비용</t>
    <phoneticPr fontId="7" type="noConversion"/>
  </si>
  <si>
    <t>월간비용</t>
    <phoneticPr fontId="7" type="noConversion"/>
  </si>
  <si>
    <t>주 6)</t>
    <phoneticPr fontId="7" type="noConversion"/>
  </si>
  <si>
    <t>주 7)</t>
  </si>
  <si>
    <t xml:space="preserve">   5) 직책수당 : 적용직종별 등급을 감안</t>
    <phoneticPr fontId="5" type="noConversion"/>
  </si>
  <si>
    <t xml:space="preserve">                    월근로시간 = {(40시간(월~금)+8시간(일요일))÷7일}×(365일/12개월) = 209시간</t>
    <phoneticPr fontId="5" type="noConversion"/>
  </si>
  <si>
    <t>순용역원가 + 일반관리비 + 이윤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</si>
  <si>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</si>
  <si>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</si>
  <si>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</si>
  <si>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</si>
  <si>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1 &gt; </t>
    <phoneticPr fontId="6" type="noConversion"/>
  </si>
  <si>
    <t>보     험     료</t>
    <phoneticPr fontId="5" type="noConversion"/>
  </si>
  <si>
    <t>주) 년간비용 : 적용대상자별 직무교육에 필요한 교육비용 적용</t>
    <phoneticPr fontId="7" type="noConversion"/>
  </si>
  <si>
    <t>단위 : 원/월</t>
    <phoneticPr fontId="5" type="noConversion"/>
  </si>
  <si>
    <t>제
수
당</t>
    <phoneticPr fontId="7" type="noConversion"/>
  </si>
  <si>
    <t>인건비 + 경비</t>
    <phoneticPr fontId="7" type="noConversion"/>
  </si>
  <si>
    <t>연장근로시간산출표</t>
    <phoneticPr fontId="15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</si>
  <si>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</si>
  <si>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</si>
  <si>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</si>
  <si>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주당연장
근로시간</t>
    <phoneticPr fontId="7" type="noConversion"/>
  </si>
  <si>
    <t xml:space="preserve">   3) 월간연장근로시간 : 주당연장근로시간 × 월간주수</t>
    <phoneticPr fontId="7" type="noConversion"/>
  </si>
  <si>
    <t>휴일근로시간산출표</t>
    <phoneticPr fontId="15" type="noConversion"/>
  </si>
  <si>
    <t>월간휴일
근로시간</t>
    <phoneticPr fontId="7" type="noConversion"/>
  </si>
  <si>
    <t>기본</t>
    <phoneticPr fontId="5" type="noConversion"/>
  </si>
  <si>
    <t>휴일</t>
    <phoneticPr fontId="5" type="noConversion"/>
  </si>
  <si>
    <t>연장</t>
    <phoneticPr fontId="5" type="noConversion"/>
  </si>
  <si>
    <t>식비산출표</t>
    <phoneticPr fontId="5" type="noConversion"/>
  </si>
  <si>
    <t>합계</t>
    <phoneticPr fontId="6" type="noConversion"/>
  </si>
  <si>
    <t>합계</t>
    <phoneticPr fontId="6" type="noConversion"/>
  </si>
  <si>
    <t>부가가치세(10%)</t>
    <phoneticPr fontId="5" type="noConversion"/>
  </si>
  <si>
    <t>총계</t>
    <phoneticPr fontId="5" type="noConversion"/>
  </si>
  <si>
    <t>부가가치세(10%)</t>
    <phoneticPr fontId="6" type="noConversion"/>
  </si>
  <si>
    <t>총계</t>
    <phoneticPr fontId="6" type="noConversion"/>
  </si>
  <si>
    <t>합계 × 10%</t>
    <phoneticPr fontId="5" type="noConversion"/>
  </si>
  <si>
    <t>합계 + 부가가치세</t>
    <phoneticPr fontId="5" type="noConversion"/>
  </si>
  <si>
    <t>식  대</t>
    <phoneticPr fontId="5" type="noConversion"/>
  </si>
  <si>
    <t>복리
후생비</t>
    <phoneticPr fontId="7" type="noConversion"/>
  </si>
  <si>
    <t>복리
후생비</t>
    <phoneticPr fontId="7" type="noConversion"/>
  </si>
  <si>
    <t>용역원가계산서</t>
    <phoneticPr fontId="6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</si>
  <si>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</si>
  <si>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</si>
  <si>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7 &gt; </t>
    <phoneticPr fontId="7" type="noConversion"/>
  </si>
  <si>
    <t xml:space="preserve">&lt; 표 : 22 &gt; </t>
    <phoneticPr fontId="7" type="noConversion"/>
  </si>
  <si>
    <t>기업경영분석자료</t>
    <phoneticPr fontId="14" type="noConversion"/>
  </si>
  <si>
    <t>* 손익산출서</t>
    <phoneticPr fontId="17" type="noConversion"/>
  </si>
  <si>
    <t>(단위 : 백만원)</t>
    <phoneticPr fontId="17" type="noConversion"/>
  </si>
  <si>
    <t>내역</t>
  </si>
  <si>
    <t>구성비(%)</t>
  </si>
  <si>
    <t>매출액</t>
    <phoneticPr fontId="5" type="noConversion"/>
  </si>
  <si>
    <t>매출원가</t>
    <phoneticPr fontId="5" type="noConversion"/>
  </si>
  <si>
    <t>매출총손익</t>
  </si>
  <si>
    <t>판매비와관리비</t>
    <phoneticPr fontId="5" type="noConversion"/>
  </si>
  <si>
    <t>급여</t>
    <phoneticPr fontId="7" type="noConversion"/>
  </si>
  <si>
    <t>퇴직급여</t>
    <phoneticPr fontId="7" type="noConversion"/>
  </si>
  <si>
    <t>복리후생비</t>
    <phoneticPr fontId="5" type="noConversion"/>
  </si>
  <si>
    <t>수도광열비</t>
    <phoneticPr fontId="5" type="noConversion"/>
  </si>
  <si>
    <t>세금과공과</t>
    <phoneticPr fontId="5" type="noConversion"/>
  </si>
  <si>
    <t>임차료</t>
    <phoneticPr fontId="7" type="noConversion"/>
  </si>
  <si>
    <t>감가상각비</t>
    <phoneticPr fontId="5" type="noConversion"/>
  </si>
  <si>
    <t>접대비</t>
    <phoneticPr fontId="7" type="noConversion"/>
  </si>
  <si>
    <t>불 인 금 액</t>
    <phoneticPr fontId="5" type="noConversion"/>
  </si>
  <si>
    <t>광고선전비</t>
    <phoneticPr fontId="5" type="noConversion"/>
  </si>
  <si>
    <t>경상개발비.연구비</t>
    <phoneticPr fontId="5" type="noConversion"/>
  </si>
  <si>
    <t>보험료</t>
    <phoneticPr fontId="5" type="noConversion"/>
  </si>
  <si>
    <t>운반.하역.보관.포장비</t>
    <phoneticPr fontId="5" type="noConversion"/>
  </si>
  <si>
    <t>대손상각비</t>
    <phoneticPr fontId="7" type="noConversion"/>
  </si>
  <si>
    <t>"</t>
    <phoneticPr fontId="8" type="noConversion"/>
  </si>
  <si>
    <t>무형자산상각비</t>
    <phoneticPr fontId="8" type="noConversion"/>
  </si>
  <si>
    <t>(개발비상각)</t>
    <phoneticPr fontId="8" type="noConversion"/>
  </si>
  <si>
    <t>지급수수료</t>
    <phoneticPr fontId="8" type="noConversion"/>
  </si>
  <si>
    <t>기타판매비와관리비</t>
    <phoneticPr fontId="7" type="noConversion"/>
  </si>
  <si>
    <t>영업손익</t>
    <phoneticPr fontId="14" type="noConversion"/>
  </si>
  <si>
    <t>영업외수익</t>
    <phoneticPr fontId="5" type="noConversion"/>
  </si>
  <si>
    <t>이자수익</t>
    <phoneticPr fontId="14" type="noConversion"/>
  </si>
  <si>
    <t>배당금수익</t>
    <phoneticPr fontId="14" type="noConversion"/>
  </si>
  <si>
    <t>외환차익</t>
    <phoneticPr fontId="5" type="noConversion"/>
  </si>
  <si>
    <t>외화환산이익</t>
    <phoneticPr fontId="7" type="noConversion"/>
  </si>
  <si>
    <t>파생금융상품거래이익</t>
    <phoneticPr fontId="7" type="noConversion"/>
  </si>
  <si>
    <t>파생금융상품평가이익</t>
    <phoneticPr fontId="7" type="noConversion"/>
  </si>
  <si>
    <t>투자·유형자산처분이익</t>
    <phoneticPr fontId="8" type="noConversion"/>
  </si>
  <si>
    <t>지분법평가이익</t>
    <phoneticPr fontId="5" type="noConversion"/>
  </si>
  <si>
    <t>기타영업외수익</t>
    <phoneticPr fontId="5" type="noConversion"/>
  </si>
  <si>
    <t>영업외비용</t>
    <phoneticPr fontId="5" type="noConversion"/>
  </si>
  <si>
    <t>이자비용</t>
    <phoneticPr fontId="14" type="noConversion"/>
  </si>
  <si>
    <t>외환차손</t>
    <phoneticPr fontId="14" type="noConversion"/>
  </si>
  <si>
    <t>외화환산손실</t>
    <phoneticPr fontId="14" type="noConversion"/>
  </si>
  <si>
    <t>파생금융상품거래손실</t>
    <phoneticPr fontId="8" type="noConversion"/>
  </si>
  <si>
    <t>파생금융상품평가손실</t>
    <phoneticPr fontId="7" type="noConversion"/>
  </si>
  <si>
    <t>투자·유형자산처분손실</t>
    <phoneticPr fontId="8" type="noConversion"/>
  </si>
  <si>
    <t>지분법평가손실</t>
    <phoneticPr fontId="5" type="noConversion"/>
  </si>
  <si>
    <t>자산재평가손실</t>
    <phoneticPr fontId="5" type="noConversion"/>
  </si>
  <si>
    <t>기타영업외비용</t>
    <phoneticPr fontId="5" type="noConversion"/>
  </si>
  <si>
    <t>법인세차감전순손익</t>
  </si>
  <si>
    <t>법인세비용</t>
    <phoneticPr fontId="7" type="noConversion"/>
  </si>
  <si>
    <t>계속사업이익</t>
    <phoneticPr fontId="7" type="noConversion"/>
  </si>
  <si>
    <t>중단사업손익</t>
    <phoneticPr fontId="7" type="noConversion"/>
  </si>
  <si>
    <t>당기순손익</t>
    <phoneticPr fontId="7" type="noConversion"/>
  </si>
  <si>
    <t xml:space="preserve">    CODE NO. N.『사업시설관리 및 사업지원 서비스업』</t>
    <phoneticPr fontId="7" type="noConversion"/>
  </si>
  <si>
    <t xml:space="preserve">&lt; 표 : 18 &gt; </t>
    <phoneticPr fontId="7" type="noConversion"/>
  </si>
  <si>
    <t>산출근거 --------------------------------------------------------</t>
    <phoneticPr fontId="6" type="noConversion"/>
  </si>
  <si>
    <t>일근로시간</t>
    <phoneticPr fontId="7" type="noConversion"/>
  </si>
  <si>
    <t>주 1) 일근로시간 : 일 기본근로시간 8시간 적용</t>
    <phoneticPr fontId="7" type="noConversion"/>
  </si>
  <si>
    <t>(일)</t>
    <phoneticPr fontId="7" type="noConversion"/>
  </si>
  <si>
    <t>(M/M)</t>
    <phoneticPr fontId="7" type="noConversion"/>
  </si>
  <si>
    <t>(M/D)</t>
    <phoneticPr fontId="7" type="noConversion"/>
  </si>
  <si>
    <t>(HR)</t>
    <phoneticPr fontId="7" type="noConversion"/>
  </si>
  <si>
    <t>(회)</t>
    <phoneticPr fontId="7" type="noConversion"/>
  </si>
  <si>
    <t>단위 : 원</t>
    <phoneticPr fontId="7" type="noConversion"/>
  </si>
  <si>
    <t>(주)</t>
    <phoneticPr fontId="7" type="noConversion"/>
  </si>
  <si>
    <t xml:space="preserve">   2) 월간주수 : 365일/년 ÷ 7일/주 ÷ 12개월 = 4.34주</t>
    <phoneticPr fontId="7" type="noConversion"/>
  </si>
  <si>
    <t>통계청승인기관 발표</t>
    <phoneticPr fontId="5" type="noConversion"/>
  </si>
  <si>
    <t>시중유통거래가격</t>
    <phoneticPr fontId="5" type="noConversion"/>
  </si>
  <si>
    <t>안내</t>
    <phoneticPr fontId="5" type="noConversion"/>
  </si>
  <si>
    <t>단위(1인)당
월간용역비</t>
    <phoneticPr fontId="7" type="noConversion"/>
  </si>
  <si>
    <t>투입
인원</t>
    <phoneticPr fontId="7" type="noConversion"/>
  </si>
  <si>
    <t xml:space="preserve">   * 부가가치세 포함임</t>
    <phoneticPr fontId="5" type="noConversion"/>
  </si>
  <si>
    <t xml:space="preserve">   3) 월간용역비 : 소요인원 × 단위(1인)당월간용역비</t>
    <phoneticPr fontId="5" type="noConversion"/>
  </si>
  <si>
    <t>경력 1년 이상자</t>
    <phoneticPr fontId="5" type="noConversion"/>
  </si>
  <si>
    <t>주) 소요인원 : 제시된 과업지시서 참조</t>
    <phoneticPr fontId="16" type="noConversion"/>
  </si>
  <si>
    <t>경비산정기준표</t>
    <phoneticPr fontId="16" type="noConversion"/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</si>
  <si>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</si>
  <si>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</si>
  <si>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</si>
  <si>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</si>
  <si>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</si>
  <si>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</si>
  <si>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>고용보험및산업재해보상보험의보험료징수 등에관한법률 제14조 3항,4항</t>
  </si>
  <si>
    <t xml:space="preserve">사업장가입자의 연금보험료중 기여금은 사업장가입자 본인이, 부담금은 사용자가 부담하되, 그 금액은 각각 표준소득월액의 1천분의 45에 해당하는 액으로 한다. </t>
  </si>
  <si>
    <t>(기본급+제수당+상여금)×4.5%</t>
  </si>
  <si>
    <t>노인장기요양보험료</t>
  </si>
  <si>
    <t xml:space="preserve">(보헙료의 납부의무) 직장가입자의 보험료는 사용자가 납부한다.
 노인장기요양보험법에 의한 보험요율은 국민건강보험료의 6.55% </t>
  </si>
  <si>
    <t>산출건강보험료 × 6.55%</t>
  </si>
  <si>
    <t>(기본급+제수당+상여금)×0.08%</t>
  </si>
  <si>
    <t>산업재해보상보험요율</t>
    <phoneticPr fontId="21" type="noConversion"/>
  </si>
  <si>
    <t>(단위 : 1000분율)</t>
    <phoneticPr fontId="7" type="noConversion"/>
  </si>
  <si>
    <t>사   업   종   류</t>
    <phoneticPr fontId="7" type="noConversion"/>
  </si>
  <si>
    <t>보험요율</t>
    <phoneticPr fontId="7" type="noConversion"/>
  </si>
  <si>
    <t>1. 광업</t>
  </si>
  <si>
    <t xml:space="preserve">   채 석 업</t>
  </si>
  <si>
    <t xml:space="preserve">   기타 광업</t>
  </si>
  <si>
    <t>4. 건 설 업</t>
  </si>
  <si>
    <t xml:space="preserve">   수상운수업, 항만하역 및 화물</t>
  </si>
  <si>
    <t xml:space="preserve">   펄프․지류제조업 및 제본 또는 </t>
  </si>
  <si>
    <t xml:space="preserve">   취급사업</t>
  </si>
  <si>
    <t xml:space="preserve">   인쇄물 가공업</t>
  </si>
  <si>
    <t xml:space="preserve">   신문·화폐발행, 출판업 및 경인쇄업</t>
  </si>
  <si>
    <t xml:space="preserve">   인 쇄 업</t>
  </si>
  <si>
    <t xml:space="preserve">   창 고 업</t>
  </si>
  <si>
    <t xml:space="preserve">   통 신 업</t>
  </si>
  <si>
    <t>6. 임 업</t>
  </si>
  <si>
    <t>7. 어 업</t>
  </si>
  <si>
    <t xml:space="preserve">   연탄 및 응집고체 연료생산업</t>
  </si>
  <si>
    <t xml:space="preserve">   양식어업및어업관련서비스업</t>
  </si>
  <si>
    <t>8. 농 업</t>
  </si>
  <si>
    <t xml:space="preserve">   비금속광물제품 및 금속제품
   제조업 또는 금속가공업</t>
    <phoneticPr fontId="7" type="noConversion"/>
  </si>
  <si>
    <t xml:space="preserve">   도 금 업</t>
  </si>
  <si>
    <t xml:space="preserve">   도소매 및 소비자용품수리업</t>
  </si>
  <si>
    <t xml:space="preserve">   부동산업 및 임대업</t>
  </si>
  <si>
    <t>10. 금융 보험업</t>
  </si>
  <si>
    <t xml:space="preserve">   * 해외파견자 : 17/1000</t>
  </si>
  <si>
    <t xml:space="preserve">   3) 노인장기요양보험료 : 국민건강보험료 × 6.55%</t>
    <phoneticPr fontId="5" type="noConversion"/>
  </si>
  <si>
    <t>주) 2011년 한국은행발간 기업경영분석자료 참조</t>
    <phoneticPr fontId="7" type="noConversion"/>
  </si>
  <si>
    <t xml:space="preserve">&lt; 표 : 20 &gt; </t>
    <phoneticPr fontId="7" type="noConversion"/>
  </si>
  <si>
    <t xml:space="preserve">&lt; 표 : 21 &gt; </t>
    <phoneticPr fontId="7" type="noConversion"/>
  </si>
  <si>
    <t>주 1) 주당연장근로시간 : 근로기준법 제 56조에 의거 적용</t>
    <phoneticPr fontId="7" type="noConversion"/>
  </si>
  <si>
    <t>전문용역업체 실적기준</t>
    <phoneticPr fontId="7" type="noConversion"/>
  </si>
  <si>
    <t xml:space="preserve">&lt; 표 : 19 &gt; </t>
    <phoneticPr fontId="7" type="noConversion"/>
  </si>
  <si>
    <t>Ⅰ. 예정원가조사보고서</t>
    <phoneticPr fontId="7" type="noConversion"/>
  </si>
  <si>
    <t>Ⅱ. 원가조사의 개요</t>
    <phoneticPr fontId="7" type="noConversion"/>
  </si>
  <si>
    <t>Ⅲ. 원가비목별계산기준</t>
    <phoneticPr fontId="7" type="noConversion"/>
  </si>
  <si>
    <t>&lt; 표 : 2 &gt;</t>
  </si>
  <si>
    <t>&lt; 표 : 3 &gt;</t>
  </si>
  <si>
    <t>&lt; 표 : 4 &gt;</t>
  </si>
  <si>
    <t>&lt; 표 : 5 &gt;</t>
  </si>
  <si>
    <t>&lt; 표 : 6 &gt;</t>
  </si>
  <si>
    <t>&lt; 표 : 7 &gt;</t>
  </si>
  <si>
    <t>&lt; 표 : 8 &gt;</t>
  </si>
  <si>
    <t>&lt; 표 : 9 &gt;</t>
  </si>
  <si>
    <t>&lt; 표 : 10 &gt;</t>
  </si>
  <si>
    <t>&lt; 표 : 11 &gt;</t>
  </si>
  <si>
    <t>&lt; 표 : 12 &gt;</t>
  </si>
  <si>
    <t>&lt; 표 : 13 &gt;</t>
  </si>
  <si>
    <t>&lt; 표 : 14 &gt;</t>
  </si>
  <si>
    <t>&lt; 표 : 15 &gt;</t>
  </si>
  <si>
    <t>&lt; 표 : 16 &gt;</t>
  </si>
  <si>
    <t>&lt; 표 : 17 &gt;</t>
  </si>
  <si>
    <t>&lt; 표 : 18 &gt;</t>
  </si>
  <si>
    <t>&lt; 표 : 19 &gt;</t>
  </si>
  <si>
    <t>&lt; 표 : 20 &gt;</t>
  </si>
  <si>
    <t>Ⅴ. 산출근거</t>
    <phoneticPr fontId="7" type="noConversion"/>
  </si>
  <si>
    <t>&lt; 표 : 22 &gt;</t>
  </si>
  <si>
    <t>&lt; 표 : 24 &gt;</t>
  </si>
  <si>
    <t>피복비</t>
    <phoneticPr fontId="5" type="noConversion"/>
  </si>
  <si>
    <t>피복비산출표</t>
    <phoneticPr fontId="5" type="noConversion"/>
  </si>
  <si>
    <t>인원</t>
    <phoneticPr fontId="5" type="noConversion"/>
  </si>
  <si>
    <t>피복비</t>
    <phoneticPr fontId="7" type="noConversion"/>
  </si>
  <si>
    <t>체력단련비</t>
    <phoneticPr fontId="5" type="noConversion"/>
  </si>
  <si>
    <t>체력단련비산출표</t>
    <phoneticPr fontId="5" type="noConversion"/>
  </si>
  <si>
    <t>체력단련비</t>
    <phoneticPr fontId="7" type="noConversion"/>
  </si>
  <si>
    <t>2.</t>
  </si>
  <si>
    <t>3.</t>
  </si>
  <si>
    <t>4.</t>
  </si>
  <si>
    <t>5.</t>
  </si>
  <si>
    <t>6.</t>
  </si>
  <si>
    <t>Ⅳ. 용역원가집계표</t>
    <phoneticPr fontId="7" type="noConversion"/>
  </si>
  <si>
    <t>Ⅳ. 용역원가집계표</t>
    <phoneticPr fontId="6" type="noConversion"/>
  </si>
  <si>
    <t>1.</t>
    <phoneticPr fontId="7" type="noConversion"/>
  </si>
  <si>
    <t>용역원가계산서</t>
    <phoneticPr fontId="7" type="noConversion"/>
  </si>
  <si>
    <t>직종별용역원가계산서</t>
  </si>
  <si>
    <t>인건비</t>
    <phoneticPr fontId="7" type="noConversion"/>
  </si>
  <si>
    <t>경비</t>
    <phoneticPr fontId="7" type="noConversion"/>
  </si>
  <si>
    <t>일반관리비</t>
    <phoneticPr fontId="7" type="noConversion"/>
  </si>
  <si>
    <t>이윤</t>
    <phoneticPr fontId="7" type="noConversion"/>
  </si>
  <si>
    <t>기업경영분석자료</t>
    <phoneticPr fontId="7" type="noConversion"/>
  </si>
  <si>
    <t xml:space="preserve">&lt; 표 : 4 &gt; </t>
    <phoneticPr fontId="13" type="noConversion"/>
  </si>
  <si>
    <t xml:space="preserve">&lt; 표 : 5 &gt; </t>
    <phoneticPr fontId="6" type="noConversion"/>
  </si>
  <si>
    <t xml:space="preserve">&lt; 표 : 6 &gt; </t>
    <phoneticPr fontId="7" type="noConversion"/>
  </si>
  <si>
    <t xml:space="preserve">&lt; 표 : 8 &gt; </t>
    <phoneticPr fontId="16" type="noConversion"/>
  </si>
  <si>
    <t xml:space="preserve">&lt; 표 : 10 &gt; </t>
    <phoneticPr fontId="16" type="noConversion"/>
  </si>
  <si>
    <t xml:space="preserve">&lt; 표 : 11 &gt; </t>
    <phoneticPr fontId="8" type="noConversion"/>
  </si>
  <si>
    <t xml:space="preserve">&lt; 표 : 12 &gt; </t>
    <phoneticPr fontId="13" type="noConversion"/>
  </si>
  <si>
    <t xml:space="preserve">&lt; 표 : 13 &gt; </t>
    <phoneticPr fontId="16" type="noConversion"/>
  </si>
  <si>
    <t xml:space="preserve">&lt; 표 : 14 &gt; </t>
    <phoneticPr fontId="19" type="noConversion"/>
  </si>
  <si>
    <t xml:space="preserve">&lt; 표 : 15 &gt; </t>
    <phoneticPr fontId="8" type="noConversion"/>
  </si>
  <si>
    <t xml:space="preserve">&lt; 표 : 16 &gt; </t>
    <phoneticPr fontId="7" type="noConversion"/>
  </si>
  <si>
    <t xml:space="preserve">&lt; 표 : 17 &gt; </t>
    <phoneticPr fontId="7" type="noConversion"/>
  </si>
  <si>
    <t xml:space="preserve">&lt; 표 : 23 &gt; </t>
    <phoneticPr fontId="7" type="noConversion"/>
  </si>
  <si>
    <t xml:space="preserve">&lt; 표 : 24 &gt; </t>
    <phoneticPr fontId="7" type="noConversion"/>
  </si>
  <si>
    <t xml:space="preserve">&lt; 표 : 25 &gt; </t>
    <phoneticPr fontId="17" type="noConversion"/>
  </si>
  <si>
    <t>1. 용역원가계산서</t>
    <phoneticPr fontId="7" type="noConversion"/>
  </si>
  <si>
    <t>&lt; 표 : 1 &gt;</t>
    <phoneticPr fontId="5" type="noConversion"/>
  </si>
  <si>
    <t>2. 인건비</t>
    <phoneticPr fontId="7" type="noConversion"/>
  </si>
  <si>
    <t>3. 경비</t>
    <phoneticPr fontId="7" type="noConversion"/>
  </si>
  <si>
    <t>4. 일반관리비</t>
    <phoneticPr fontId="7" type="noConversion"/>
  </si>
  <si>
    <t>&lt; 표 : 21 &gt;</t>
    <phoneticPr fontId="5" type="noConversion"/>
  </si>
  <si>
    <t>5. 이윤</t>
    <phoneticPr fontId="7" type="noConversion"/>
  </si>
  <si>
    <t>&lt; 표 : 23 &gt;</t>
    <phoneticPr fontId="5" type="noConversion"/>
  </si>
  <si>
    <t>6. 기업경영분석자료</t>
    <phoneticPr fontId="7" type="noConversion"/>
  </si>
  <si>
    <t>&lt; 표 : 25 &gt;</t>
    <phoneticPr fontId="5" type="noConversion"/>
  </si>
  <si>
    <t>1. 용역원가계산서 --------------------------------------------------------</t>
    <phoneticPr fontId="6" type="noConversion"/>
  </si>
  <si>
    <t>Ⅴ.</t>
    <phoneticPr fontId="6" type="noConversion"/>
  </si>
  <si>
    <t>2. 인건비 --------------------------------------------------------</t>
    <phoneticPr fontId="7" type="noConversion"/>
  </si>
  <si>
    <t>3. 경비 --------------------------------------------------------</t>
    <phoneticPr fontId="7" type="noConversion"/>
  </si>
  <si>
    <t>4. 일반관리비 --------------------------------------------------------</t>
    <phoneticPr fontId="7" type="noConversion"/>
  </si>
  <si>
    <t>5. 이윤 --------------------------------------------------------</t>
    <phoneticPr fontId="7" type="noConversion"/>
  </si>
  <si>
    <t>6. 기업경영분석자료 --------------------------------------------------------</t>
    <phoneticPr fontId="7" type="noConversion"/>
  </si>
  <si>
    <t>용역원가집계표 ----------------------------------------------------</t>
    <phoneticPr fontId="6" type="noConversion"/>
  </si>
  <si>
    <t>행정안전부예규
기준비율(%)</t>
    <phoneticPr fontId="7" type="noConversion"/>
  </si>
  <si>
    <t>주) 지방자치단체 원가계산 및 예정가격 작성요령(행정안전부예규 제404호, 2012.3.22)</t>
    <phoneticPr fontId="7" type="noConversion"/>
  </si>
  <si>
    <t>행정안전부
예규기준</t>
  </si>
  <si>
    <t xml:space="preserve">   2) 비율(%) : 지방세법 제100조 종업원할(급여총액의 1,000분의 5)</t>
    <phoneticPr fontId="7" type="noConversion"/>
  </si>
  <si>
    <t xml:space="preserve">   계량기·광학기계·기타정밀 기구제조업</t>
    <phoneticPr fontId="5" type="noConversion"/>
  </si>
  <si>
    <t xml:space="preserve">   여객자동차운수업</t>
    <phoneticPr fontId="5" type="noConversion"/>
  </si>
  <si>
    <t xml:space="preserve">   소형화물운수업 및 택배업·퀵서비스업</t>
    <phoneticPr fontId="5" type="noConversion"/>
  </si>
  <si>
    <t xml:space="preserve">   도자기 및 기타 요업제품 제조업</t>
    <phoneticPr fontId="5" type="noConversion"/>
  </si>
  <si>
    <t xml:space="preserve">   수송용기계기구제조업</t>
    <phoneticPr fontId="5" type="noConversion"/>
  </si>
  <si>
    <t>1. 행정안전부예규기준 및 기업경영분석자료 비교</t>
    <phoneticPr fontId="5" type="noConversion"/>
  </si>
  <si>
    <t>유경험자</t>
  </si>
  <si>
    <t>단위 : 원/월</t>
    <phoneticPr fontId="7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</si>
  <si>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</si>
  <si>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</si>
  <si>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</si>
  <si>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관  련  법  규</t>
    <phoneticPr fontId="7" type="noConversion"/>
  </si>
  <si>
    <t>비   고</t>
    <phoneticPr fontId="7" type="noConversion"/>
  </si>
  <si>
    <t>기       본       급</t>
    <phoneticPr fontId="6" type="noConversion"/>
  </si>
  <si>
    <t>통계청승인기관 발표</t>
    <phoneticPr fontId="5" type="noConversion"/>
  </si>
  <si>
    <t>제
수
당</t>
    <phoneticPr fontId="6" type="noConversion"/>
  </si>
  <si>
    <t>연장근로수당</t>
    <phoneticPr fontId="5" type="noConversion"/>
  </si>
  <si>
    <t>근로기준법 제56조</t>
    <phoneticPr fontId="7" type="noConversion"/>
  </si>
  <si>
    <t>휴일근로수당</t>
    <phoneticPr fontId="5" type="noConversion"/>
  </si>
  <si>
    <t>년차수당</t>
    <phoneticPr fontId="7" type="noConversion"/>
  </si>
  <si>
    <t>근로기준법 제60조</t>
    <phoneticPr fontId="7" type="noConversion"/>
  </si>
  <si>
    <t>직책수당</t>
    <phoneticPr fontId="5" type="noConversion"/>
  </si>
  <si>
    <t>시중유통거래가격</t>
    <phoneticPr fontId="5" type="noConversion"/>
  </si>
  <si>
    <t>소계</t>
    <phoneticPr fontId="7" type="noConversion"/>
  </si>
  <si>
    <t>상       여       금</t>
    <phoneticPr fontId="6" type="noConversion"/>
  </si>
  <si>
    <t>전문용역업체 실적기준</t>
    <phoneticPr fontId="7" type="noConversion"/>
  </si>
  <si>
    <t>주 6)</t>
    <phoneticPr fontId="7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</si>
  <si>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</si>
  <si>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</si>
  <si>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</si>
  <si>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</si>
  <si>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   5) 직책수당 : 적용직종별 등급을 감안</t>
    <phoneticPr fontId="5" type="noConversion"/>
  </si>
  <si>
    <t>인건비 + 경비</t>
    <phoneticPr fontId="7" type="noConversion"/>
  </si>
  <si>
    <t>단위 : 원</t>
  </si>
  <si>
    <t>월간
휴일근무횟수</t>
    <phoneticPr fontId="7" type="noConversion"/>
  </si>
  <si>
    <t xml:space="preserve">   2) 월간휴일근무횟수 : 월 1회 휴일근무 기준</t>
    <phoneticPr fontId="7" type="noConversion"/>
  </si>
  <si>
    <t xml:space="preserve">   3) 월간휴일근로시간 : 휴일근로시간 × 월간휴일근무횟수</t>
    <phoneticPr fontId="7" type="noConversion"/>
  </si>
  <si>
    <t>일반관리비(4%)</t>
    <phoneticPr fontId="6" type="noConversion"/>
  </si>
  <si>
    <t>이                 윤(6%)</t>
    <phoneticPr fontId="6" type="noConversion"/>
  </si>
  <si>
    <t>순용역원가 × 4%</t>
    <phoneticPr fontId="5" type="noConversion"/>
  </si>
  <si>
    <t>(인건비+경비+일반관리비)×6%</t>
    <phoneticPr fontId="5" type="noConversion"/>
  </si>
  <si>
    <t>고용노동부고시 제2013-56호(2014.1.1)</t>
  </si>
  <si>
    <t>국민연금법 제88조 2항, 3항</t>
  </si>
  <si>
    <t>고용보험 및 산업재해보상보험의 보험료징수등에 관한 법률 제14조 1항, 시행령 제12조</t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</si>
  <si>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13(사업주 부담 0.65%)
 * 산출식 : 0.25%(고용안정.직업능력개발사업요율)+0.65%(실업급여의 보험율)</t>
  </si>
  <si>
    <t>국민건강보험법 제73조, 시행령 제44조</t>
  </si>
  <si>
    <t>노인장기요양보험법 제9조 1항, 시행령 제4조</t>
  </si>
  <si>
    <t>임금채권보장법 제9조 2항 시행령 제13조</t>
  </si>
  <si>
    <t>고용노동부고시 제2013-67호(2013.12.26)의 규정에 의하여 임금채권보장기금 사업주부담금비율은 0.8/1000(전업종공통)</t>
  </si>
  <si>
    <t>(기본급+제수당+상여금)×1.8%</t>
    <phoneticPr fontId="7" type="noConversion"/>
  </si>
  <si>
    <t>(기본급+제수당+상여금)×0.9%</t>
    <phoneticPr fontId="5" type="noConversion"/>
  </si>
  <si>
    <r>
      <t>1</t>
    </r>
    <r>
      <rPr>
        <sz val="10"/>
        <rFont val="바탕체"/>
        <family val="1"/>
        <charset val="129"/>
      </rPr>
      <t>.</t>
    </r>
    <phoneticPr fontId="5" type="noConversion"/>
  </si>
  <si>
    <r>
      <t>2</t>
    </r>
    <r>
      <rPr>
        <sz val="10"/>
        <rFont val="바탕체"/>
        <family val="1"/>
        <charset val="129"/>
      </rPr>
      <t>.</t>
    </r>
    <phoneticPr fontId="5" type="noConversion"/>
  </si>
  <si>
    <t>다산홀</t>
    <phoneticPr fontId="5" type="noConversion"/>
  </si>
  <si>
    <t>다산홀운영</t>
    <phoneticPr fontId="5" type="noConversion"/>
  </si>
  <si>
    <t>운전사무</t>
    <phoneticPr fontId="5" type="noConversion"/>
  </si>
  <si>
    <t>운전원</t>
    <phoneticPr fontId="5" type="noConversion"/>
  </si>
  <si>
    <r>
      <t>＊다산홀 대관</t>
    </r>
    <r>
      <rPr>
        <sz val="10"/>
        <rFont val="바탕체"/>
        <family val="1"/>
        <charset val="129"/>
      </rPr>
      <t xml:space="preserve"> 등의 운영업무</t>
    </r>
    <phoneticPr fontId="5" type="noConversion"/>
  </si>
  <si>
    <t>＊승용차 운전업무</t>
    <phoneticPr fontId="5" type="noConversion"/>
  </si>
  <si>
    <t>＊비서업무 등의 사무보조업무</t>
    <phoneticPr fontId="5" type="noConversion"/>
  </si>
  <si>
    <t>사무보조원</t>
    <phoneticPr fontId="5" type="noConversion"/>
  </si>
  <si>
    <t>다산홀운영</t>
    <phoneticPr fontId="7" type="noConversion"/>
  </si>
  <si>
    <t>운전원</t>
    <phoneticPr fontId="7" type="noConversion"/>
  </si>
  <si>
    <t>사무보조원</t>
    <phoneticPr fontId="7" type="noConversion"/>
  </si>
  <si>
    <t>다산홀</t>
    <phoneticPr fontId="7" type="noConversion"/>
  </si>
  <si>
    <t>운전</t>
    <phoneticPr fontId="7" type="noConversion"/>
  </si>
  <si>
    <t>사무</t>
    <phoneticPr fontId="5" type="noConversion"/>
  </si>
  <si>
    <r>
      <t>경력 3</t>
    </r>
    <r>
      <rPr>
        <sz val="10"/>
        <rFont val="바탕체"/>
        <family val="1"/>
        <charset val="129"/>
      </rPr>
      <t>년 이상자</t>
    </r>
    <phoneticPr fontId="5" type="noConversion"/>
  </si>
  <si>
    <r>
      <t xml:space="preserve">(보헙료의 납부의무) 직장가입자의 보험료는 사용자가 납부한다.
 국민건강보험법 시행령 제44조에 의한 보험요율의 표준보수월액의 </t>
    </r>
    <r>
      <rPr>
        <sz val="10"/>
        <rFont val="바탕체"/>
        <family val="1"/>
        <charset val="129"/>
      </rPr>
      <t>6.07</t>
    </r>
    <r>
      <rPr>
        <sz val="10"/>
        <rFont val="바탕체"/>
        <family val="1"/>
        <charset val="129"/>
      </rPr>
      <t>%(사용자부담 50%,근로자부담 50%)</t>
    </r>
    <phoneticPr fontId="5" type="noConversion"/>
  </si>
  <si>
    <r>
      <t>(기본급+제수당+상여금)×</t>
    </r>
    <r>
      <rPr>
        <sz val="10"/>
        <rFont val="바탕체"/>
        <family val="1"/>
        <charset val="129"/>
      </rPr>
      <t>3.035</t>
    </r>
    <r>
      <rPr>
        <sz val="10"/>
        <rFont val="바탕체"/>
        <family val="1"/>
        <charset val="129"/>
      </rPr>
      <t>%</t>
    </r>
    <phoneticPr fontId="5" type="noConversion"/>
  </si>
  <si>
    <t>[ 경기문화재단 2016년도 파견용역 ]</t>
    <phoneticPr fontId="7" type="noConversion"/>
  </si>
  <si>
    <t>17</t>
  </si>
  <si>
    <t>246</t>
  </si>
  <si>
    <t>76</t>
  </si>
  <si>
    <t>72</t>
  </si>
  <si>
    <t>37</t>
  </si>
  <si>
    <t>20</t>
  </si>
  <si>
    <t>89</t>
  </si>
  <si>
    <t>32</t>
  </si>
  <si>
    <t>51</t>
  </si>
  <si>
    <t>16</t>
  </si>
  <si>
    <t>12</t>
  </si>
  <si>
    <t>27</t>
  </si>
  <si>
    <t>314</t>
  </si>
  <si>
    <t>85</t>
  </si>
  <si>
    <t>15</t>
  </si>
  <si>
    <t>24</t>
  </si>
  <si>
    <t>29</t>
  </si>
  <si>
    <r>
      <t>1</t>
    </r>
    <r>
      <rPr>
        <sz val="10"/>
        <rFont val="바탕체"/>
        <family val="1"/>
        <charset val="129"/>
      </rPr>
      <t>7</t>
    </r>
  </si>
  <si>
    <t>26</t>
  </si>
  <si>
    <t>46</t>
  </si>
  <si>
    <t>18</t>
  </si>
  <si>
    <t>11</t>
  </si>
  <si>
    <t>9</t>
  </si>
  <si>
    <t>31</t>
  </si>
  <si>
    <t>7</t>
  </si>
  <si>
    <t>21</t>
  </si>
  <si>
    <r>
      <t>주) 노동부 고시 제201</t>
    </r>
    <r>
      <rPr>
        <sz val="10"/>
        <rFont val="바탕체"/>
        <family val="1"/>
        <charset val="129"/>
      </rPr>
      <t>4-58호</t>
    </r>
    <phoneticPr fontId="7" type="noConversion"/>
  </si>
  <si>
    <t>기본급÷월근로시간×연장근로시간×연장할증</t>
  </si>
  <si>
    <t>근로기준법 제55조</t>
  </si>
  <si>
    <t>1일 8시간과 주40시간을 적용하고 근로기준법 제55조에 의한 유급 휴가일을 포함하여 월 26일을 기준으로 산출</t>
  </si>
  <si>
    <t>시중노임단가×26일</t>
  </si>
  <si>
    <t>근로기준법 제56조 및
 부칙 제6조 2항</t>
  </si>
  <si>
    <t>연장근로에 대하여 통상임금의 100분의 50이상을 가산하여 지급하여야 한다.</t>
  </si>
  <si>
    <t>근로기준법 제56조</t>
  </si>
  <si>
    <t>휴일근로에 대하여 통상임금의 100분의 50이상을 가산하여 지급하여야 한다.</t>
  </si>
  <si>
    <t>기본급÷월근로시간×휴일근로시간×휴일할증</t>
  </si>
  <si>
    <t>근로기준법 제60조</t>
  </si>
  <si>
    <t>사용자는 1년간 8할 이상 출근한 근로자에게 15일의 유급휴가를 주어야 한다.</t>
  </si>
  <si>
    <t>기본급÷월근로시간×일근로시간×15일/년
 ÷12개월</t>
  </si>
  <si>
    <t>전문용역업체 실적기준</t>
  </si>
  <si>
    <t>근로기준법 제34조
 근로자퇴직급여 보장법 제8조</t>
  </si>
  <si>
    <t>퇴직금제도를 설정하고자 하는 사용자는 계속근로기간 1년에 대하여 30일분
 이상의 평균임금을 퇴직금으로 퇴직하는 근로자에게 지급할 수 있는 제도를
 설정하여야 한다.</t>
  </si>
  <si>
    <t>(기본급+제수당+상여금)÷12개월</t>
  </si>
  <si>
    <t>순용역원가 × 4%</t>
    <phoneticPr fontId="5" type="noConversion"/>
  </si>
  <si>
    <t>일반관리비(4%)</t>
    <phoneticPr fontId="6" type="noConversion"/>
  </si>
  <si>
    <t xml:space="preserve">   4) 적용개월수 : 2016년 1월 1일 ~ 2016년 12월 31까지 12개월기준</t>
    <phoneticPr fontId="5" type="noConversion"/>
  </si>
  <si>
    <t>건 명 : 경기문화재단 2016년도 파견 용역</t>
    <phoneticPr fontId="7" type="noConversion"/>
  </si>
  <si>
    <t>다산홀운영</t>
    <phoneticPr fontId="7" type="noConversion"/>
  </si>
  <si>
    <t>전기기능사</t>
    <phoneticPr fontId="7" type="noConversion"/>
  </si>
  <si>
    <t>사무보조원</t>
    <phoneticPr fontId="7" type="noConversion"/>
  </si>
  <si>
    <t>단순노무종사원</t>
    <phoneticPr fontId="7" type="noConversion"/>
  </si>
  <si>
    <t>행정안전부예규에 의거 기준단가의 년 400%를 계상 할 수 있으나 본 조사에서는 전문용역업체 실적을 기준으로 직종별 기준단가에서 직종별 평균하여 계상</t>
    <phoneticPr fontId="5" type="noConversion"/>
  </si>
  <si>
    <t>주 1) M/D당임율 : 중소제조업 직종별 임금조사 보고서(2015년 11월)참조 
주 2) 보통인부는 공사부문 시중노임 2015년 하반기(2015.9.1)공표자료 참조</t>
    <phoneticPr fontId="7" type="noConversion"/>
  </si>
  <si>
    <t>단순노무종사원</t>
    <phoneticPr fontId="7" type="noConversion"/>
  </si>
  <si>
    <t>운 전 원</t>
    <phoneticPr fontId="7" type="noConversion"/>
  </si>
  <si>
    <t>기본급×50% ~ 400%</t>
    <phoneticPr fontId="5" type="noConversion"/>
  </si>
</sst>
</file>

<file path=xl/styles.xml><?xml version="1.0" encoding="utf-8"?>
<styleSheet xmlns="http://schemas.openxmlformats.org/spreadsheetml/2006/main">
  <numFmts count="60">
    <numFmt numFmtId="41" formatCode="_-* #,##0_-;\-* #,##0_-;_-* &quot;-&quot;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_ * #,##0_ ;_ * &quot;₩&quot;\!\-#,##0_ ;_ * &quot;-&quot;_ ;_ @_ "/>
    <numFmt numFmtId="229" formatCode="0.00_ "/>
    <numFmt numFmtId="230" formatCode="_-* #,##0.00_-;\-* #,##0.00_-;_-* &quot;-&quot;_-;_-@_-"/>
    <numFmt numFmtId="231" formatCode="_ * #,##0.00_ ;_ * \-#,##0.00_ ;_ * &quot;-&quot;_ ;_ @_ "/>
    <numFmt numFmtId="232" formatCode="#,##0.000_ "/>
    <numFmt numFmtId="233" formatCode="0.000%"/>
  </numFmts>
  <fonts count="97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u/>
      <sz val="10"/>
      <color indexed="8"/>
      <name val="바탕체"/>
      <family val="1"/>
      <charset val="129"/>
    </font>
    <font>
      <sz val="11"/>
      <name val="바탕체"/>
      <family val="1"/>
      <charset val="129"/>
    </font>
    <font>
      <sz val="10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b/>
      <sz val="26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name val="Arial"/>
      <family val="2"/>
    </font>
    <font>
      <sz val="14"/>
      <name val="바탕체"/>
      <family val="1"/>
      <charset val="129"/>
    </font>
    <font>
      <sz val="16"/>
      <name val="바탕체"/>
      <family val="1"/>
      <charset val="129"/>
    </font>
    <font>
      <sz val="10"/>
      <name val="돋움"/>
      <family val="3"/>
      <charset val="129"/>
    </font>
    <font>
      <sz val="20"/>
      <name val="돋움"/>
      <family val="3"/>
      <charset val="129"/>
    </font>
    <font>
      <b/>
      <sz val="12"/>
      <name val="휴먼모음T"/>
      <family val="1"/>
      <charset val="129"/>
    </font>
    <font>
      <sz val="12"/>
      <color indexed="9"/>
      <name val="바탕체"/>
      <family val="1"/>
      <charset val="129"/>
    </font>
    <font>
      <sz val="24"/>
      <name val="바탕체"/>
      <family val="1"/>
      <charset val="129"/>
    </font>
    <font>
      <b/>
      <sz val="24"/>
      <name val="휴먼모음T"/>
      <family val="1"/>
      <charset val="129"/>
    </font>
    <font>
      <sz val="24"/>
      <name val="휴먼모음T"/>
      <family val="1"/>
      <charset val="129"/>
    </font>
    <font>
      <sz val="13"/>
      <name val="휴먼모음T"/>
      <family val="1"/>
      <charset val="129"/>
    </font>
    <font>
      <b/>
      <sz val="13"/>
      <name val="휴먼모음T"/>
      <family val="1"/>
      <charset val="129"/>
    </font>
    <font>
      <b/>
      <sz val="10"/>
      <color rgb="FF0000CC"/>
      <name val="바탕체"/>
      <family val="1"/>
      <charset val="129"/>
    </font>
    <font>
      <b/>
      <sz val="10"/>
      <color rgb="FF0000FF"/>
      <name val="바탕체"/>
      <family val="1"/>
      <charset val="129"/>
    </font>
    <font>
      <sz val="10"/>
      <color theme="1"/>
      <name val="바탕체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995">
    <xf numFmtId="0" fontId="0" fillId="0" borderId="0"/>
    <xf numFmtId="187" fontId="27" fillId="0" borderId="0">
      <protection locked="0"/>
    </xf>
    <xf numFmtId="0" fontId="2" fillId="0" borderId="0"/>
    <xf numFmtId="0" fontId="17" fillId="0" borderId="0"/>
    <xf numFmtId="0" fontId="28" fillId="0" borderId="1">
      <alignment horizont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8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1" fillId="0" borderId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8" fillId="0" borderId="0"/>
    <xf numFmtId="0" fontId="31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7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2" fillId="0" borderId="0"/>
    <xf numFmtId="194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8" fillId="0" borderId="5"/>
    <xf numFmtId="4" fontId="33" fillId="0" borderId="6">
      <alignment vertical="center"/>
    </xf>
    <xf numFmtId="0" fontId="4" fillId="0" borderId="0" applyNumberFormat="0" applyFill="0" applyBorder="0" applyAlignment="0" applyProtection="0"/>
    <xf numFmtId="0" fontId="8" fillId="0" borderId="0"/>
    <xf numFmtId="193" fontId="14" fillId="0" borderId="0">
      <protection locked="0"/>
    </xf>
    <xf numFmtId="0" fontId="27" fillId="0" borderId="0">
      <protection locked="0"/>
    </xf>
    <xf numFmtId="9" fontId="8" fillId="0" borderId="0">
      <protection locked="0"/>
    </xf>
    <xf numFmtId="0" fontId="8" fillId="0" borderId="0"/>
    <xf numFmtId="196" fontId="8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5" fillId="0" borderId="0" applyFont="0" applyBorder="0" applyAlignment="0">
      <alignment horizontal="left" vertical="center"/>
    </xf>
    <xf numFmtId="0" fontId="27" fillId="0" borderId="0">
      <protection locked="0"/>
    </xf>
    <xf numFmtId="3" fontId="28" fillId="0" borderId="7">
      <alignment horizontal="center"/>
    </xf>
    <xf numFmtId="0" fontId="8" fillId="2" borderId="0">
      <alignment horizontal="left"/>
    </xf>
    <xf numFmtId="0" fontId="27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7" fillId="0" borderId="3" applyNumberFormat="0" applyFont="0" applyFill="0" applyBorder="0" applyProtection="0">
      <alignment horizontal="distributed"/>
    </xf>
    <xf numFmtId="9" fontId="15" fillId="3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8" fillId="0" borderId="0"/>
    <xf numFmtId="179" fontId="14" fillId="0" borderId="0" applyNumberFormat="0" applyFont="0" applyFill="0" applyBorder="0" applyProtection="0">
      <alignment horizontal="centerContinuous"/>
    </xf>
    <xf numFmtId="179" fontId="39" fillId="0" borderId="8">
      <alignment vertical="center"/>
    </xf>
    <xf numFmtId="3" fontId="37" fillId="0" borderId="3"/>
    <xf numFmtId="0" fontId="37" fillId="0" borderId="3"/>
    <xf numFmtId="3" fontId="37" fillId="0" borderId="9"/>
    <xf numFmtId="3" fontId="37" fillId="0" borderId="10"/>
    <xf numFmtId="0" fontId="40" fillId="0" borderId="3"/>
    <xf numFmtId="0" fontId="41" fillId="0" borderId="0">
      <alignment horizontal="center"/>
    </xf>
    <xf numFmtId="0" fontId="42" fillId="0" borderId="11">
      <alignment horizontal="center"/>
    </xf>
    <xf numFmtId="4" fontId="43" fillId="0" borderId="0" applyNumberFormat="0" applyFill="0" applyBorder="0" applyAlignment="0">
      <alignment horizontal="centerContinuous" vertical="center"/>
    </xf>
    <xf numFmtId="198" fontId="4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7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5" fillId="0" borderId="12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7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7" fillId="0" borderId="0">
      <protection locked="0"/>
    </xf>
    <xf numFmtId="202" fontId="8" fillId="0" borderId="0">
      <protection locked="0"/>
    </xf>
    <xf numFmtId="0" fontId="8" fillId="0" borderId="13" applyNumberFormat="0"/>
    <xf numFmtId="0" fontId="8" fillId="0" borderId="3">
      <alignment horizontal="distributed" vertical="center"/>
    </xf>
    <xf numFmtId="0" fontId="8" fillId="0" borderId="14">
      <alignment horizontal="distributed" vertical="top"/>
    </xf>
    <xf numFmtId="0" fontId="8" fillId="0" borderId="15">
      <alignment horizontal="distributed"/>
    </xf>
    <xf numFmtId="178" fontId="48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7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3" borderId="0" applyFill="0" applyBorder="0" applyProtection="0">
      <alignment horizontal="right"/>
    </xf>
    <xf numFmtId="38" fontId="37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8" fillId="0" borderId="0"/>
    <xf numFmtId="0" fontId="10" fillId="0" borderId="0"/>
    <xf numFmtId="0" fontId="17" fillId="0" borderId="0"/>
    <xf numFmtId="0" fontId="10" fillId="0" borderId="0"/>
    <xf numFmtId="0" fontId="8" fillId="0" borderId="0"/>
    <xf numFmtId="0" fontId="14" fillId="0" borderId="0"/>
    <xf numFmtId="0" fontId="8" fillId="0" borderId="8">
      <alignment vertical="center" wrapText="1"/>
    </xf>
    <xf numFmtId="14" fontId="4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0" borderId="16">
      <protection locked="0"/>
    </xf>
    <xf numFmtId="209" fontId="8" fillId="0" borderId="0">
      <protection locked="0"/>
    </xf>
    <xf numFmtId="210" fontId="8" fillId="0" borderId="0">
      <protection locked="0"/>
    </xf>
    <xf numFmtId="3" fontId="2" fillId="0" borderId="0"/>
    <xf numFmtId="211" fontId="17" fillId="4" borderId="1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7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212" fontId="14" fillId="0" borderId="0">
      <protection locked="0"/>
    </xf>
    <xf numFmtId="0" fontId="28" fillId="0" borderId="0"/>
    <xf numFmtId="193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4" fontId="27" fillId="0" borderId="0">
      <protection locked="0"/>
    </xf>
    <xf numFmtId="186" fontId="14" fillId="0" borderId="0">
      <protection locked="0"/>
    </xf>
    <xf numFmtId="0" fontId="51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3" fillId="0" borderId="0"/>
    <xf numFmtId="193" fontId="14" fillId="0" borderId="0">
      <protection locked="0"/>
    </xf>
    <xf numFmtId="0" fontId="54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14" fillId="0" borderId="0" applyFill="0" applyBorder="0" applyAlignment="0"/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7" fillId="0" borderId="16">
      <protection locked="0"/>
    </xf>
    <xf numFmtId="4" fontId="27" fillId="0" borderId="0">
      <protection locked="0"/>
    </xf>
    <xf numFmtId="0" fontId="4" fillId="0" borderId="0" applyFont="0" applyFill="0" applyBorder="0" applyAlignment="0" applyProtection="0"/>
    <xf numFmtId="213" fontId="25" fillId="0" borderId="0"/>
    <xf numFmtId="0" fontId="4" fillId="0" borderId="0" applyFont="0" applyFill="0" applyBorder="0" applyAlignment="0" applyProtection="0"/>
    <xf numFmtId="214" fontId="27" fillId="0" borderId="0">
      <protection locked="0"/>
    </xf>
    <xf numFmtId="0" fontId="57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7" fillId="0" borderId="0">
      <protection locked="0"/>
    </xf>
    <xf numFmtId="216" fontId="25" fillId="0" borderId="0"/>
    <xf numFmtId="217" fontId="58" fillId="0" borderId="0"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18" fontId="25" fillId="0" borderId="0"/>
    <xf numFmtId="219" fontId="14" fillId="0" borderId="0">
      <protection locked="0"/>
    </xf>
    <xf numFmtId="220" fontId="14" fillId="0" borderId="0">
      <protection locked="0"/>
    </xf>
    <xf numFmtId="0" fontId="59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61" fillId="5" borderId="0" applyNumberFormat="0" applyBorder="0" applyAlignment="0" applyProtection="0"/>
    <xf numFmtId="0" fontId="62" fillId="0" borderId="0" applyAlignment="0">
      <alignment horizontal="right"/>
    </xf>
    <xf numFmtId="0" fontId="63" fillId="0" borderId="0"/>
    <xf numFmtId="0" fontId="64" fillId="0" borderId="0"/>
    <xf numFmtId="0" fontId="65" fillId="0" borderId="0" applyNumberFormat="0" applyFill="0" applyBorder="0" applyAlignment="0" applyProtection="0"/>
    <xf numFmtId="0" fontId="66" fillId="0" borderId="18" applyNumberFormat="0" applyAlignment="0" applyProtection="0">
      <alignment horizontal="left" vertical="center"/>
    </xf>
    <xf numFmtId="0" fontId="66" fillId="0" borderId="19">
      <alignment horizontal="left" vertical="center"/>
    </xf>
    <xf numFmtId="0" fontId="34" fillId="0" borderId="0">
      <protection locked="0"/>
    </xf>
    <xf numFmtId="0" fontId="34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10" fontId="61" fillId="6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70" fillId="0" borderId="21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71" fillId="0" borderId="0"/>
    <xf numFmtId="0" fontId="8" fillId="0" borderId="0"/>
    <xf numFmtId="224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73" fillId="0" borderId="0" applyNumberFormat="0" applyFill="0" applyBorder="0" applyAlignment="0" applyProtection="0">
      <alignment horizontal="left"/>
    </xf>
    <xf numFmtId="0" fontId="28" fillId="0" borderId="0"/>
    <xf numFmtId="0" fontId="74" fillId="0" borderId="0">
      <alignment horizontal="center" vertical="center"/>
    </xf>
    <xf numFmtId="0" fontId="70" fillId="0" borderId="0"/>
    <xf numFmtId="40" fontId="75" fillId="0" borderId="0" applyBorder="0">
      <alignment horizontal="right"/>
    </xf>
    <xf numFmtId="0" fontId="4" fillId="0" borderId="0"/>
    <xf numFmtId="0" fontId="4" fillId="0" borderId="0"/>
    <xf numFmtId="0" fontId="76" fillId="5" borderId="0">
      <alignment horizontal="centerContinuous"/>
    </xf>
    <xf numFmtId="0" fontId="77" fillId="0" borderId="0" applyFill="0" applyBorder="0" applyProtection="0">
      <alignment horizontal="centerContinuous" vertical="center"/>
    </xf>
    <xf numFmtId="0" fontId="17" fillId="3" borderId="0" applyFill="0" applyBorder="0" applyProtection="0">
      <alignment horizontal="center" vertical="center"/>
    </xf>
    <xf numFmtId="223" fontId="17" fillId="0" borderId="22">
      <protection locked="0"/>
    </xf>
    <xf numFmtId="0" fontId="5" fillId="0" borderId="23">
      <alignment horizontal="left"/>
    </xf>
    <xf numFmtId="37" fontId="61" fillId="7" borderId="0" applyNumberFormat="0" applyBorder="0" applyAlignment="0" applyProtection="0"/>
    <xf numFmtId="37" fontId="61" fillId="0" borderId="0"/>
    <xf numFmtId="3" fontId="78" fillId="0" borderId="20" applyProtection="0"/>
    <xf numFmtId="226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2">
      <alignment horizontal="centerContinuous" vertical="center"/>
    </xf>
    <xf numFmtId="0" fontId="1" fillId="0" borderId="0"/>
    <xf numFmtId="9" fontId="1" fillId="0" borderId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0" fontId="1" fillId="0" borderId="2">
      <alignment horizontal="centerContinuous" vertical="center"/>
    </xf>
    <xf numFmtId="0" fontId="1" fillId="0" borderId="0"/>
    <xf numFmtId="9" fontId="1" fillId="0" borderId="0">
      <alignment vertical="center"/>
    </xf>
    <xf numFmtId="0" fontId="1" fillId="0" borderId="0">
      <alignment vertical="center"/>
    </xf>
    <xf numFmtId="1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</cellStyleXfs>
  <cellXfs count="1006">
    <xf numFmtId="0" fontId="0" fillId="0" borderId="0" xfId="0" applyAlignment="1">
      <alignment vertical="center"/>
    </xf>
    <xf numFmtId="0" fontId="2" fillId="3" borderId="24" xfId="453" applyNumberFormat="1" applyFont="1" applyFill="1" applyBorder="1" applyAlignment="1">
      <alignment horizontal="center" vertical="center"/>
    </xf>
    <xf numFmtId="0" fontId="2" fillId="3" borderId="2" xfId="453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0" xfId="453" applyNumberFormat="1" applyFont="1" applyFill="1" applyBorder="1" applyAlignment="1">
      <alignment horizontal="center" vertical="center"/>
    </xf>
    <xf numFmtId="0" fontId="2" fillId="3" borderId="19" xfId="453" applyNumberFormat="1" applyFont="1" applyFill="1" applyBorder="1" applyAlignment="1">
      <alignment horizontal="distributed" vertical="center"/>
    </xf>
    <xf numFmtId="0" fontId="2" fillId="3" borderId="25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vertical="center"/>
    </xf>
    <xf numFmtId="0" fontId="2" fillId="3" borderId="0" xfId="453" applyNumberFormat="1" applyFont="1" applyFill="1" applyAlignment="1">
      <alignment vertical="center"/>
    </xf>
    <xf numFmtId="179" fontId="2" fillId="3" borderId="26" xfId="453" applyNumberFormat="1" applyFont="1" applyFill="1" applyBorder="1" applyAlignment="1">
      <alignment horizontal="right" vertical="center"/>
    </xf>
    <xf numFmtId="179" fontId="2" fillId="3" borderId="14" xfId="453" applyNumberFormat="1" applyFont="1" applyFill="1" applyBorder="1" applyAlignment="1">
      <alignment horizontal="right" vertical="center"/>
    </xf>
    <xf numFmtId="179" fontId="2" fillId="3" borderId="3" xfId="453" applyNumberFormat="1" applyFont="1" applyFill="1" applyBorder="1" applyAlignment="1">
      <alignment horizontal="right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Alignment="1">
      <alignment horizontal="center" vertical="center"/>
    </xf>
    <xf numFmtId="179" fontId="2" fillId="3" borderId="27" xfId="453" applyNumberFormat="1" applyFont="1" applyFill="1" applyBorder="1" applyAlignment="1">
      <alignment horizontal="right" vertical="center"/>
    </xf>
    <xf numFmtId="179" fontId="2" fillId="3" borderId="4" xfId="453" applyNumberFormat="1" applyFont="1" applyFill="1" applyBorder="1" applyAlignment="1">
      <alignment horizontal="right" vertical="center"/>
    </xf>
    <xf numFmtId="179" fontId="2" fillId="3" borderId="2" xfId="453" applyNumberFormat="1" applyFont="1" applyFill="1" applyBorder="1" applyAlignment="1">
      <alignment horizontal="right" vertical="center"/>
    </xf>
    <xf numFmtId="0" fontId="2" fillId="3" borderId="0" xfId="0" applyNumberFormat="1" applyFont="1" applyFill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distributed" vertical="center"/>
    </xf>
    <xf numFmtId="179" fontId="2" fillId="3" borderId="5" xfId="453" applyNumberFormat="1" applyFont="1" applyFill="1" applyBorder="1" applyAlignment="1">
      <alignment horizontal="right" vertical="center"/>
    </xf>
    <xf numFmtId="0" fontId="2" fillId="3" borderId="0" xfId="826" applyNumberFormat="1" applyFont="1" applyFill="1" applyBorder="1" applyAlignment="1">
      <alignment horizontal="left" vertical="center"/>
    </xf>
    <xf numFmtId="0" fontId="2" fillId="3" borderId="0" xfId="835" quotePrefix="1" applyNumberFormat="1" applyFont="1" applyFill="1" applyBorder="1" applyAlignment="1">
      <alignment horizontal="left" vertical="center"/>
    </xf>
    <xf numFmtId="179" fontId="2" fillId="3" borderId="24" xfId="453" applyNumberFormat="1" applyFont="1" applyFill="1" applyBorder="1" applyAlignment="1">
      <alignment horizontal="right" vertical="center"/>
    </xf>
    <xf numFmtId="0" fontId="2" fillId="3" borderId="19" xfId="453" applyNumberFormat="1" applyFont="1" applyFill="1" applyBorder="1" applyAlignment="1">
      <alignment horizontal="centerContinuous" vertical="center"/>
    </xf>
    <xf numFmtId="0" fontId="2" fillId="3" borderId="28" xfId="453" applyNumberFormat="1" applyFont="1" applyFill="1" applyBorder="1" applyAlignment="1">
      <alignment horizontal="distributed" vertical="center"/>
    </xf>
    <xf numFmtId="0" fontId="2" fillId="3" borderId="0" xfId="835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42" fillId="0" borderId="0" xfId="831" applyFont="1" applyAlignment="1">
      <alignment vertical="center"/>
    </xf>
    <xf numFmtId="0" fontId="42" fillId="0" borderId="0" xfId="831" applyFont="1" applyAlignment="1">
      <alignment horizontal="distributed" vertical="center"/>
    </xf>
    <xf numFmtId="228" fontId="42" fillId="0" borderId="0" xfId="456" applyFont="1" applyAlignment="1">
      <alignment vertical="center"/>
    </xf>
    <xf numFmtId="0" fontId="80" fillId="0" borderId="0" xfId="831" applyFont="1" applyAlignment="1">
      <alignment horizontal="centerContinuous" vertical="center"/>
    </xf>
    <xf numFmtId="0" fontId="42" fillId="0" borderId="0" xfId="831" applyFont="1" applyAlignment="1">
      <alignment horizontal="centerContinuous" vertical="center"/>
    </xf>
    <xf numFmtId="228" fontId="42" fillId="0" borderId="0" xfId="456" applyFont="1" applyAlignment="1">
      <alignment horizontal="centerContinuous" vertical="center"/>
    </xf>
    <xf numFmtId="49" fontId="81" fillId="0" borderId="0" xfId="831" applyNumberFormat="1" applyFont="1" applyAlignment="1">
      <alignment horizontal="right" vertical="center"/>
    </xf>
    <xf numFmtId="0" fontId="81" fillId="0" borderId="0" xfId="831" applyNumberFormat="1" applyFont="1" applyAlignment="1">
      <alignment horizontal="left" vertical="center"/>
    </xf>
    <xf numFmtId="0" fontId="81" fillId="0" borderId="0" xfId="831" applyFont="1" applyAlignment="1">
      <alignment vertical="center"/>
    </xf>
    <xf numFmtId="0" fontId="82" fillId="0" borderId="0" xfId="831" applyNumberFormat="1" applyFont="1" applyAlignment="1">
      <alignment vertical="center"/>
    </xf>
    <xf numFmtId="0" fontId="81" fillId="0" borderId="0" xfId="831" applyNumberFormat="1" applyFont="1" applyAlignment="1">
      <alignment vertical="center"/>
    </xf>
    <xf numFmtId="228" fontId="81" fillId="0" borderId="0" xfId="456" applyFont="1" applyAlignment="1">
      <alignment vertical="center"/>
    </xf>
    <xf numFmtId="0" fontId="2" fillId="3" borderId="3" xfId="453" applyNumberFormat="1" applyFont="1" applyFill="1" applyBorder="1" applyAlignment="1">
      <alignment horizontal="centerContinuous" vertical="center"/>
    </xf>
    <xf numFmtId="179" fontId="2" fillId="3" borderId="29" xfId="453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centerContinuous" vertical="center"/>
    </xf>
    <xf numFmtId="0" fontId="2" fillId="3" borderId="19" xfId="0" applyNumberFormat="1" applyFont="1" applyFill="1" applyBorder="1" applyAlignment="1">
      <alignment horizontal="centerContinuous" vertical="center"/>
    </xf>
    <xf numFmtId="0" fontId="2" fillId="3" borderId="24" xfId="453" applyNumberFormat="1" applyFont="1" applyFill="1" applyBorder="1" applyAlignment="1">
      <alignment horizontal="centerContinuous" vertical="center" wrapText="1"/>
    </xf>
    <xf numFmtId="0" fontId="2" fillId="3" borderId="3" xfId="453" applyNumberFormat="1" applyFont="1" applyFill="1" applyBorder="1" applyAlignment="1">
      <alignment horizontal="centerContinuous" vertical="center" wrapText="1"/>
    </xf>
    <xf numFmtId="0" fontId="2" fillId="3" borderId="2" xfId="453" applyNumberFormat="1" applyFont="1" applyFill="1" applyBorder="1" applyAlignment="1">
      <alignment horizontal="centerContinuous" vertical="center" wrapText="1"/>
    </xf>
    <xf numFmtId="0" fontId="2" fillId="3" borderId="4" xfId="0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centerContinuous" vertical="center" wrapText="1"/>
    </xf>
    <xf numFmtId="0" fontId="2" fillId="3" borderId="27" xfId="453" applyNumberFormat="1" applyFont="1" applyFill="1" applyBorder="1" applyAlignment="1">
      <alignment horizontal="centerContinuous" vertical="center" wrapText="1"/>
    </xf>
    <xf numFmtId="0" fontId="2" fillId="3" borderId="4" xfId="453" applyNumberFormat="1" applyFont="1" applyFill="1" applyBorder="1" applyAlignment="1">
      <alignment horizontal="distributed" vertical="center"/>
    </xf>
    <xf numFmtId="0" fontId="2" fillId="3" borderId="0" xfId="453" applyNumberFormat="1" applyFont="1" applyFill="1" applyBorder="1" applyAlignment="1">
      <alignment horizontal="distributed" vertical="center" shrinkToFit="1"/>
    </xf>
    <xf numFmtId="0" fontId="2" fillId="3" borderId="27" xfId="453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30" xfId="453" applyNumberFormat="1" applyFont="1" applyFill="1" applyBorder="1" applyAlignment="1">
      <alignment horizontal="distributed" vertical="center"/>
    </xf>
    <xf numFmtId="0" fontId="2" fillId="3" borderId="31" xfId="453" applyNumberFormat="1" applyFont="1" applyFill="1" applyBorder="1" applyAlignment="1">
      <alignment vertical="center"/>
    </xf>
    <xf numFmtId="179" fontId="2" fillId="3" borderId="31" xfId="453" applyNumberFormat="1" applyFont="1" applyFill="1" applyBorder="1" applyAlignment="1">
      <alignment horizontal="right" vertical="center"/>
    </xf>
    <xf numFmtId="179" fontId="2" fillId="3" borderId="15" xfId="453" applyNumberFormat="1" applyFont="1" applyFill="1" applyBorder="1" applyAlignment="1">
      <alignment horizontal="right" vertical="center"/>
    </xf>
    <xf numFmtId="179" fontId="2" fillId="3" borderId="30" xfId="453" applyNumberFormat="1" applyFont="1" applyFill="1" applyBorder="1" applyAlignment="1">
      <alignment horizontal="right" vertical="center"/>
    </xf>
    <xf numFmtId="0" fontId="2" fillId="3" borderId="28" xfId="0" applyNumberFormat="1" applyFont="1" applyFill="1" applyBorder="1" applyAlignment="1">
      <alignment vertical="center"/>
    </xf>
    <xf numFmtId="0" fontId="2" fillId="3" borderId="5" xfId="453" applyNumberFormat="1" applyFont="1" applyFill="1" applyBorder="1" applyAlignment="1">
      <alignment horizontal="distributed" vertical="center"/>
    </xf>
    <xf numFmtId="0" fontId="2" fillId="3" borderId="29" xfId="453" applyNumberFormat="1" applyFont="1" applyFill="1" applyBorder="1" applyAlignment="1">
      <alignment vertical="center"/>
    </xf>
    <xf numFmtId="41" fontId="2" fillId="3" borderId="0" xfId="453" applyFont="1" applyFill="1" applyAlignment="1">
      <alignment vertical="center"/>
    </xf>
    <xf numFmtId="41" fontId="2" fillId="3" borderId="0" xfId="453" applyFont="1" applyFill="1" applyBorder="1" applyAlignment="1">
      <alignment vertical="center"/>
    </xf>
    <xf numFmtId="0" fontId="2" fillId="3" borderId="28" xfId="453" applyNumberFormat="1" applyFont="1" applyFill="1" applyBorder="1" applyAlignment="1">
      <alignment horizontal="distributed" vertical="center" shrinkToFit="1"/>
    </xf>
    <xf numFmtId="0" fontId="2" fillId="3" borderId="25" xfId="453" applyNumberFormat="1" applyFont="1" applyFill="1" applyBorder="1" applyAlignment="1">
      <alignment horizontal="distributed" vertical="center" shrinkToFit="1"/>
    </xf>
    <xf numFmtId="0" fontId="2" fillId="8" borderId="0" xfId="0" applyNumberFormat="1" applyFont="1" applyFill="1" applyAlignment="1">
      <alignment vertical="center"/>
    </xf>
    <xf numFmtId="0" fontId="3" fillId="8" borderId="0" xfId="0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Continuous" vertical="center" wrapText="1"/>
    </xf>
    <xf numFmtId="0" fontId="2" fillId="8" borderId="0" xfId="453" applyNumberFormat="1" applyFont="1" applyFill="1" applyBorder="1" applyAlignment="1">
      <alignment horizontal="centerContinuous" vertical="center" wrapText="1"/>
    </xf>
    <xf numFmtId="179" fontId="2" fillId="8" borderId="30" xfId="453" applyNumberFormat="1" applyFont="1" applyFill="1" applyBorder="1" applyAlignment="1">
      <alignment horizontal="right" vertical="center"/>
    </xf>
    <xf numFmtId="179" fontId="2" fillId="8" borderId="4" xfId="453" applyNumberFormat="1" applyFont="1" applyFill="1" applyBorder="1" applyAlignment="1">
      <alignment horizontal="right" vertical="center"/>
    </xf>
    <xf numFmtId="179" fontId="2" fillId="8" borderId="5" xfId="453" applyNumberFormat="1" applyFont="1" applyFill="1" applyBorder="1" applyAlignment="1">
      <alignment horizontal="right" vertical="center"/>
    </xf>
    <xf numFmtId="179" fontId="2" fillId="8" borderId="25" xfId="453" applyNumberFormat="1" applyFont="1" applyFill="1" applyBorder="1" applyAlignment="1">
      <alignment horizontal="right" vertical="center"/>
    </xf>
    <xf numFmtId="179" fontId="2" fillId="8" borderId="28" xfId="453" applyNumberFormat="1" applyFont="1" applyFill="1" applyBorder="1" applyAlignment="1">
      <alignment horizontal="right" vertical="center"/>
    </xf>
    <xf numFmtId="179" fontId="2" fillId="8" borderId="19" xfId="453" applyNumberFormat="1" applyFont="1" applyFill="1" applyBorder="1" applyAlignment="1">
      <alignment horizontal="right" vertical="center"/>
    </xf>
    <xf numFmtId="0" fontId="2" fillId="8" borderId="0" xfId="453" applyNumberFormat="1" applyFont="1" applyFill="1" applyBorder="1" applyAlignment="1">
      <alignment horizontal="center" vertical="center"/>
    </xf>
    <xf numFmtId="0" fontId="8" fillId="0" borderId="0" xfId="822" applyFont="1" applyAlignment="1"/>
    <xf numFmtId="49" fontId="84" fillId="3" borderId="0" xfId="822" applyNumberFormat="1" applyFont="1" applyFill="1" applyAlignment="1">
      <alignment horizontal="left" vertical="center"/>
    </xf>
    <xf numFmtId="49" fontId="3" fillId="3" borderId="0" xfId="822" applyNumberFormat="1" applyFont="1" applyFill="1" applyAlignment="1">
      <alignment horizontal="right" vertical="center"/>
    </xf>
    <xf numFmtId="0" fontId="88" fillId="0" borderId="0" xfId="822" applyFont="1"/>
    <xf numFmtId="49" fontId="83" fillId="0" borderId="0" xfId="822" applyNumberFormat="1" applyFont="1" applyAlignment="1">
      <alignment horizontal="right" vertical="center"/>
    </xf>
    <xf numFmtId="0" fontId="8" fillId="3" borderId="0" xfId="822" applyFont="1" applyFill="1"/>
    <xf numFmtId="0" fontId="8" fillId="0" borderId="0" xfId="822" applyFont="1"/>
    <xf numFmtId="49" fontId="83" fillId="0" borderId="0" xfId="822" applyNumberFormat="1" applyFont="1" applyBorder="1" applyAlignment="1">
      <alignment horizontal="right" vertical="center"/>
    </xf>
    <xf numFmtId="0" fontId="89" fillId="0" borderId="0" xfId="822" applyFont="1" applyAlignment="1">
      <alignment horizontal="centerContinuous" vertical="center"/>
    </xf>
    <xf numFmtId="0" fontId="89" fillId="0" borderId="0" xfId="822" applyFont="1" applyBorder="1" applyAlignment="1">
      <alignment horizontal="left" vertical="center" wrapText="1"/>
    </xf>
    <xf numFmtId="0" fontId="90" fillId="0" borderId="0" xfId="454" applyNumberFormat="1" applyFont="1" applyBorder="1" applyAlignment="1">
      <alignment horizontal="center" vertical="center" wrapText="1"/>
    </xf>
    <xf numFmtId="0" fontId="91" fillId="0" borderId="0" xfId="454" applyNumberFormat="1" applyFont="1" applyBorder="1" applyAlignment="1">
      <alignment horizontal="center" vertical="center" wrapText="1"/>
    </xf>
    <xf numFmtId="0" fontId="8" fillId="0" borderId="25" xfId="822" applyFont="1" applyBorder="1"/>
    <xf numFmtId="0" fontId="91" fillId="0" borderId="0" xfId="454" applyNumberFormat="1" applyFont="1" applyBorder="1" applyAlignment="1">
      <alignment horizontal="left" vertical="center" wrapText="1"/>
    </xf>
    <xf numFmtId="0" fontId="92" fillId="3" borderId="0" xfId="825" applyNumberFormat="1" applyFont="1" applyFill="1" applyAlignment="1">
      <alignment horizontal="right" vertical="center"/>
    </xf>
    <xf numFmtId="0" fontId="92" fillId="0" borderId="0" xfId="454" applyNumberFormat="1" applyFont="1" applyBorder="1" applyAlignment="1">
      <alignment horizontal="left" vertical="center" wrapText="1"/>
    </xf>
    <xf numFmtId="0" fontId="93" fillId="0" borderId="0" xfId="454" applyNumberFormat="1" applyFont="1" applyBorder="1" applyAlignment="1">
      <alignment horizontal="center" vertical="center" wrapText="1"/>
    </xf>
    <xf numFmtId="0" fontId="92" fillId="0" borderId="0" xfId="454" applyNumberFormat="1" applyFont="1" applyBorder="1" applyAlignment="1">
      <alignment horizontal="center" vertical="center" wrapText="1"/>
    </xf>
    <xf numFmtId="0" fontId="2" fillId="8" borderId="0" xfId="826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center" vertical="center"/>
    </xf>
    <xf numFmtId="0" fontId="2" fillId="8" borderId="0" xfId="453" applyNumberFormat="1" applyFont="1" applyFill="1" applyAlignment="1">
      <alignment horizontal="center" vertical="center"/>
    </xf>
    <xf numFmtId="0" fontId="3" fillId="8" borderId="0" xfId="0" applyNumberFormat="1" applyFont="1" applyFill="1" applyBorder="1" applyAlignment="1">
      <alignment horizontal="centerContinuous" vertical="center"/>
    </xf>
    <xf numFmtId="0" fontId="3" fillId="8" borderId="0" xfId="0" quotePrefix="1" applyNumberFormat="1" applyFont="1" applyFill="1" applyAlignment="1">
      <alignment horizontal="centerContinuous" vertical="center"/>
    </xf>
    <xf numFmtId="0" fontId="3" fillId="8" borderId="0" xfId="0" quotePrefix="1" applyNumberFormat="1" applyFont="1" applyFill="1" applyBorder="1" applyAlignment="1">
      <alignment horizontal="centerContinuous" vertical="center"/>
    </xf>
    <xf numFmtId="0" fontId="3" fillId="8" borderId="0" xfId="453" applyNumberFormat="1" applyFont="1" applyFill="1" applyBorder="1" applyAlignment="1">
      <alignment horizontal="centerContinuous" vertical="center"/>
    </xf>
    <xf numFmtId="0" fontId="2" fillId="8" borderId="0" xfId="0" quotePrefix="1" applyNumberFormat="1" applyFont="1" applyFill="1" applyAlignment="1">
      <alignment horizontal="centerContinuous" vertical="center"/>
    </xf>
    <xf numFmtId="0" fontId="2" fillId="8" borderId="0" xfId="0" quotePrefix="1" applyNumberFormat="1" applyFont="1" applyFill="1" applyBorder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8" borderId="0" xfId="453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horizontal="right" vertical="center"/>
    </xf>
    <xf numFmtId="0" fontId="2" fillId="8" borderId="30" xfId="834" applyNumberFormat="1" applyFont="1" applyFill="1" applyBorder="1" applyAlignment="1">
      <alignment horizontal="center" vertical="center"/>
    </xf>
    <xf numFmtId="0" fontId="2" fillId="8" borderId="25" xfId="834" applyNumberFormat="1" applyFont="1" applyFill="1" applyBorder="1" applyAlignment="1">
      <alignment horizontal="center" vertical="center"/>
    </xf>
    <xf numFmtId="0" fontId="2" fillId="8" borderId="25" xfId="834" applyNumberFormat="1" applyFont="1" applyFill="1" applyBorder="1" applyAlignment="1">
      <alignment horizontal="right" vertical="center"/>
    </xf>
    <xf numFmtId="0" fontId="2" fillId="8" borderId="15" xfId="453" applyNumberFormat="1" applyFont="1" applyFill="1" applyBorder="1" applyAlignment="1">
      <alignment horizontal="center" shrinkToFit="1"/>
    </xf>
    <xf numFmtId="0" fontId="2" fillId="8" borderId="5" xfId="834" applyNumberFormat="1" applyFont="1" applyFill="1" applyBorder="1" applyAlignment="1">
      <alignment horizontal="left" vertical="center"/>
    </xf>
    <xf numFmtId="0" fontId="2" fillId="8" borderId="28" xfId="834" applyNumberFormat="1" applyFont="1" applyFill="1" applyBorder="1" applyAlignment="1">
      <alignment horizontal="left" vertical="center"/>
    </xf>
    <xf numFmtId="0" fontId="2" fillId="8" borderId="28" xfId="834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" vertical="top" shrinkToFit="1"/>
    </xf>
    <xf numFmtId="179" fontId="2" fillId="8" borderId="3" xfId="453" applyNumberFormat="1" applyFont="1" applyFill="1" applyBorder="1" applyAlignment="1">
      <alignment horizontal="right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wrapText="1"/>
    </xf>
    <xf numFmtId="0" fontId="2" fillId="8" borderId="2" xfId="0" applyNumberFormat="1" applyFont="1" applyFill="1" applyBorder="1" applyAlignment="1">
      <alignment horizontal="centerContinuous" vertical="center"/>
    </xf>
    <xf numFmtId="0" fontId="2" fillId="8" borderId="28" xfId="0" quotePrefix="1" applyNumberFormat="1" applyFont="1" applyFill="1" applyBorder="1" applyAlignment="1">
      <alignment vertical="center"/>
    </xf>
    <xf numFmtId="0" fontId="2" fillId="8" borderId="5" xfId="0" applyNumberFormat="1" applyFont="1" applyFill="1" applyBorder="1" applyAlignment="1">
      <alignment horizontal="centerContinuous" vertical="center"/>
    </xf>
    <xf numFmtId="0" fontId="2" fillId="8" borderId="19" xfId="0" quotePrefix="1" applyNumberFormat="1" applyFont="1" applyFill="1" applyBorder="1" applyAlignment="1">
      <alignment vertical="center"/>
    </xf>
    <xf numFmtId="0" fontId="1" fillId="8" borderId="0" xfId="828" applyFont="1" applyFill="1" applyAlignment="1">
      <alignment vertical="center"/>
    </xf>
    <xf numFmtId="0" fontId="22" fillId="8" borderId="0" xfId="829" applyFont="1" applyFill="1"/>
    <xf numFmtId="0" fontId="23" fillId="8" borderId="0" xfId="829" applyFont="1" applyFill="1" applyAlignment="1">
      <alignment horizontal="centerContinuous" vertical="center"/>
    </xf>
    <xf numFmtId="0" fontId="23" fillId="8" borderId="0" xfId="828" applyFont="1" applyFill="1" applyBorder="1" applyAlignment="1">
      <alignment horizontal="centerContinuous"/>
    </xf>
    <xf numFmtId="0" fontId="23" fillId="8" borderId="0" xfId="828" applyFont="1" applyFill="1" applyAlignment="1">
      <alignment horizontal="centerContinuous"/>
    </xf>
    <xf numFmtId="41" fontId="23" fillId="8" borderId="0" xfId="806" applyFont="1" applyFill="1" applyBorder="1" applyAlignment="1">
      <alignment horizontal="centerContinuous"/>
    </xf>
    <xf numFmtId="41" fontId="23" fillId="8" borderId="0" xfId="806" applyFont="1" applyFill="1" applyAlignment="1">
      <alignment horizontal="centerContinuous"/>
    </xf>
    <xf numFmtId="0" fontId="23" fillId="8" borderId="0" xfId="828" applyFont="1" applyFill="1"/>
    <xf numFmtId="0" fontId="22" fillId="8" borderId="0" xfId="829" applyFont="1" applyFill="1" applyBorder="1" applyAlignment="1">
      <alignment horizontal="left" vertical="center"/>
    </xf>
    <xf numFmtId="0" fontId="22" fillId="8" borderId="0" xfId="829" applyFont="1" applyFill="1" applyAlignment="1">
      <alignment vertical="center"/>
    </xf>
    <xf numFmtId="0" fontId="22" fillId="8" borderId="0" xfId="829" applyFont="1" applyFill="1" applyAlignment="1">
      <alignment horizontal="left" vertical="center"/>
    </xf>
    <xf numFmtId="0" fontId="22" fillId="8" borderId="0" xfId="829" applyFont="1" applyFill="1" applyBorder="1" applyAlignment="1">
      <alignment vertical="center"/>
    </xf>
    <xf numFmtId="178" fontId="22" fillId="8" borderId="0" xfId="808" applyFont="1" applyFill="1" applyAlignment="1">
      <alignment vertical="center"/>
    </xf>
    <xf numFmtId="231" fontId="22" fillId="8" borderId="0" xfId="808" applyNumberFormat="1" applyFont="1" applyFill="1" applyAlignment="1">
      <alignment vertical="center"/>
    </xf>
    <xf numFmtId="0" fontId="22" fillId="8" borderId="0" xfId="829" quotePrefix="1" applyFont="1" applyFill="1" applyAlignment="1">
      <alignment horizontal="right" vertical="center"/>
    </xf>
    <xf numFmtId="0" fontId="1" fillId="8" borderId="2" xfId="829" applyFont="1" applyFill="1" applyBorder="1" applyAlignment="1">
      <alignment horizontal="centerContinuous" vertical="center"/>
    </xf>
    <xf numFmtId="0" fontId="1" fillId="8" borderId="32" xfId="829" applyFont="1" applyFill="1" applyBorder="1" applyAlignment="1">
      <alignment horizontal="centerContinuous" vertical="center"/>
    </xf>
    <xf numFmtId="0" fontId="1" fillId="8" borderId="2" xfId="829" applyFont="1" applyFill="1" applyBorder="1" applyAlignment="1">
      <alignment horizontal="center" vertical="center"/>
    </xf>
    <xf numFmtId="0" fontId="1" fillId="8" borderId="19" xfId="829" quotePrefix="1" applyFont="1" applyFill="1" applyBorder="1" applyAlignment="1">
      <alignment horizontal="distributed" vertical="center"/>
    </xf>
    <xf numFmtId="0" fontId="1" fillId="8" borderId="24" xfId="829" applyFont="1" applyFill="1" applyBorder="1" applyAlignment="1">
      <alignment horizontal="center" vertical="center"/>
    </xf>
    <xf numFmtId="178" fontId="1" fillId="8" borderId="33" xfId="808" applyFont="1" applyFill="1" applyBorder="1" applyAlignment="1">
      <alignment horizontal="center" vertical="center"/>
    </xf>
    <xf numFmtId="231" fontId="1" fillId="8" borderId="3" xfId="808" applyNumberFormat="1" applyFont="1" applyFill="1" applyBorder="1" applyAlignment="1">
      <alignment horizontal="center" vertical="center"/>
    </xf>
    <xf numFmtId="0" fontId="1" fillId="8" borderId="34" xfId="829" applyFont="1" applyFill="1" applyBorder="1" applyAlignment="1">
      <alignment horizontal="center" vertical="center"/>
    </xf>
    <xf numFmtId="0" fontId="1" fillId="8" borderId="0" xfId="829" applyFont="1" applyFill="1"/>
    <xf numFmtId="0" fontId="22" fillId="8" borderId="2" xfId="830" applyFont="1" applyFill="1" applyBorder="1" applyAlignment="1">
      <alignment horizontal="left" vertical="center"/>
    </xf>
    <xf numFmtId="0" fontId="22" fillId="8" borderId="32" xfId="830" applyFont="1" applyFill="1" applyBorder="1" applyAlignment="1">
      <alignment horizontal="left" vertical="center"/>
    </xf>
    <xf numFmtId="0" fontId="22" fillId="8" borderId="19" xfId="833" applyFont="1" applyFill="1" applyBorder="1" applyAlignment="1">
      <alignment horizontal="distributed" vertical="center"/>
    </xf>
    <xf numFmtId="0" fontId="22" fillId="8" borderId="24" xfId="830" applyFont="1" applyFill="1" applyBorder="1" applyAlignment="1">
      <alignment horizontal="distributed" vertical="center"/>
    </xf>
    <xf numFmtId="178" fontId="22" fillId="8" borderId="33" xfId="808" applyFont="1" applyFill="1" applyBorder="1" applyAlignment="1">
      <alignment vertical="center"/>
    </xf>
    <xf numFmtId="231" fontId="22" fillId="8" borderId="3" xfId="808" applyNumberFormat="1" applyFont="1" applyFill="1" applyBorder="1" applyAlignment="1">
      <alignment vertical="center"/>
    </xf>
    <xf numFmtId="0" fontId="22" fillId="8" borderId="34" xfId="830" applyFont="1" applyFill="1" applyBorder="1" applyAlignment="1">
      <alignment vertical="center"/>
    </xf>
    <xf numFmtId="0" fontId="22" fillId="8" borderId="0" xfId="830" applyFont="1" applyFill="1"/>
    <xf numFmtId="0" fontId="22" fillId="8" borderId="35" xfId="830" applyFont="1" applyFill="1" applyBorder="1" applyAlignment="1">
      <alignment horizontal="left" vertical="center"/>
    </xf>
    <xf numFmtId="0" fontId="22" fillId="8" borderId="36" xfId="830" applyFont="1" applyFill="1" applyBorder="1" applyAlignment="1">
      <alignment horizontal="left" vertical="center"/>
    </xf>
    <xf numFmtId="0" fontId="22" fillId="8" borderId="37" xfId="833" applyFont="1" applyFill="1" applyBorder="1" applyAlignment="1">
      <alignment horizontal="distributed" vertical="center"/>
    </xf>
    <xf numFmtId="0" fontId="22" fillId="8" borderId="38" xfId="830" applyFont="1" applyFill="1" applyBorder="1" applyAlignment="1">
      <alignment horizontal="distributed" vertical="center"/>
    </xf>
    <xf numFmtId="178" fontId="22" fillId="8" borderId="39" xfId="808" applyFont="1" applyFill="1" applyBorder="1" applyAlignment="1">
      <alignment vertical="center"/>
    </xf>
    <xf numFmtId="231" fontId="22" fillId="8" borderId="15" xfId="808" applyNumberFormat="1" applyFont="1" applyFill="1" applyBorder="1" applyAlignment="1">
      <alignment vertical="center"/>
    </xf>
    <xf numFmtId="0" fontId="22" fillId="8" borderId="40" xfId="830" applyFont="1" applyFill="1" applyBorder="1" applyAlignment="1">
      <alignment vertical="center"/>
    </xf>
    <xf numFmtId="0" fontId="22" fillId="8" borderId="4" xfId="830" applyFont="1" applyFill="1" applyBorder="1" applyAlignment="1">
      <alignment horizontal="left" vertical="center"/>
    </xf>
    <xf numFmtId="0" fontId="22" fillId="8" borderId="41" xfId="830" applyFont="1" applyFill="1" applyBorder="1" applyAlignment="1">
      <alignment horizontal="left" vertical="center"/>
    </xf>
    <xf numFmtId="0" fontId="22" fillId="8" borderId="0" xfId="833" applyFont="1" applyFill="1" applyBorder="1" applyAlignment="1">
      <alignment horizontal="distributed" vertical="center"/>
    </xf>
    <xf numFmtId="0" fontId="22" fillId="8" borderId="27" xfId="830" applyFont="1" applyFill="1" applyBorder="1" applyAlignment="1">
      <alignment horizontal="distributed" vertical="center"/>
    </xf>
    <xf numFmtId="178" fontId="22" fillId="8" borderId="42" xfId="808" applyFont="1" applyFill="1" applyBorder="1" applyAlignment="1">
      <alignment vertical="center"/>
    </xf>
    <xf numFmtId="231" fontId="22" fillId="8" borderId="26" xfId="808" applyNumberFormat="1" applyFont="1" applyFill="1" applyBorder="1" applyAlignment="1">
      <alignment vertical="center"/>
    </xf>
    <xf numFmtId="0" fontId="22" fillId="8" borderId="43" xfId="830" applyFont="1" applyFill="1" applyBorder="1" applyAlignment="1">
      <alignment vertical="center"/>
    </xf>
    <xf numFmtId="178" fontId="1" fillId="8" borderId="42" xfId="808" applyFont="1" applyFill="1" applyBorder="1" applyAlignment="1">
      <alignment vertical="center"/>
    </xf>
    <xf numFmtId="0" fontId="22" fillId="8" borderId="43" xfId="830" applyFont="1" applyFill="1" applyBorder="1" applyAlignment="1">
      <alignment horizontal="center" vertical="center"/>
    </xf>
    <xf numFmtId="0" fontId="22" fillId="8" borderId="44" xfId="830" applyFont="1" applyFill="1" applyBorder="1" applyAlignment="1">
      <alignment horizontal="left" vertical="center"/>
    </xf>
    <xf numFmtId="0" fontId="22" fillId="8" borderId="45" xfId="830" applyFont="1" applyFill="1" applyBorder="1" applyAlignment="1">
      <alignment horizontal="left" vertical="center"/>
    </xf>
    <xf numFmtId="0" fontId="22" fillId="8" borderId="12" xfId="833" applyFont="1" applyFill="1" applyBorder="1" applyAlignment="1">
      <alignment horizontal="distributed" vertical="center"/>
    </xf>
    <xf numFmtId="0" fontId="22" fillId="8" borderId="46" xfId="830" applyFont="1" applyFill="1" applyBorder="1" applyAlignment="1">
      <alignment horizontal="distributed" vertical="center"/>
    </xf>
    <xf numFmtId="178" fontId="1" fillId="8" borderId="47" xfId="808" applyFont="1" applyFill="1" applyBorder="1" applyAlignment="1">
      <alignment vertical="center"/>
    </xf>
    <xf numFmtId="231" fontId="22" fillId="8" borderId="14" xfId="808" applyNumberFormat="1" applyFont="1" applyFill="1" applyBorder="1" applyAlignment="1">
      <alignment vertical="center"/>
    </xf>
    <xf numFmtId="178" fontId="1" fillId="8" borderId="33" xfId="808" applyFont="1" applyFill="1" applyBorder="1" applyAlignment="1">
      <alignment vertical="center"/>
    </xf>
    <xf numFmtId="178" fontId="1" fillId="8" borderId="39" xfId="808" applyFont="1" applyFill="1" applyBorder="1" applyAlignment="1">
      <alignment vertical="center"/>
    </xf>
    <xf numFmtId="0" fontId="22" fillId="8" borderId="0" xfId="830" applyFont="1" applyFill="1" applyBorder="1"/>
    <xf numFmtId="0" fontId="22" fillId="8" borderId="48" xfId="830" applyFont="1" applyFill="1" applyBorder="1" applyAlignment="1">
      <alignment vertical="center"/>
    </xf>
    <xf numFmtId="178" fontId="22" fillId="8" borderId="47" xfId="808" applyFont="1" applyFill="1" applyBorder="1" applyAlignment="1">
      <alignment vertical="center"/>
    </xf>
    <xf numFmtId="178" fontId="22" fillId="8" borderId="3" xfId="808" applyNumberFormat="1" applyFont="1" applyFill="1" applyBorder="1" applyAlignment="1">
      <alignment vertical="center"/>
    </xf>
    <xf numFmtId="0" fontId="1" fillId="8" borderId="0" xfId="829" applyFont="1" applyFill="1" applyBorder="1" applyAlignment="1">
      <alignment horizontal="left" vertical="center"/>
    </xf>
    <xf numFmtId="0" fontId="1" fillId="8" borderId="0" xfId="829" applyFont="1" applyFill="1" applyAlignment="1">
      <alignment horizontal="left" vertical="center"/>
    </xf>
    <xf numFmtId="0" fontId="1" fillId="8" borderId="0" xfId="829" applyFont="1" applyFill="1" applyBorder="1" applyAlignment="1">
      <alignment vertical="center"/>
    </xf>
    <xf numFmtId="0" fontId="1" fillId="8" borderId="0" xfId="829" applyFont="1" applyFill="1" applyAlignment="1">
      <alignment vertical="center"/>
    </xf>
    <xf numFmtId="178" fontId="1" fillId="8" borderId="0" xfId="808" applyFont="1" applyFill="1" applyAlignment="1">
      <alignment vertical="center"/>
    </xf>
    <xf numFmtId="231" fontId="1" fillId="8" borderId="0" xfId="808" applyNumberFormat="1" applyFont="1" applyFill="1" applyAlignment="1">
      <alignment vertical="center"/>
    </xf>
    <xf numFmtId="0" fontId="22" fillId="8" borderId="0" xfId="826" applyNumberFormat="1" applyFont="1" applyFill="1" applyAlignment="1">
      <alignment horizontal="left" vertical="center"/>
    </xf>
    <xf numFmtId="0" fontId="22" fillId="8" borderId="0" xfId="824" applyNumberFormat="1" applyFont="1" applyFill="1" applyAlignment="1">
      <alignment vertical="center"/>
    </xf>
    <xf numFmtId="0" fontId="23" fillId="8" borderId="0" xfId="826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Continuous" vertical="center"/>
    </xf>
    <xf numFmtId="0" fontId="23" fillId="8" borderId="0" xfId="824" applyNumberFormat="1" applyFont="1" applyFill="1" applyAlignment="1">
      <alignment horizontal="center" vertical="center"/>
    </xf>
    <xf numFmtId="0" fontId="23" fillId="8" borderId="0" xfId="824" applyNumberFormat="1" applyFont="1" applyFill="1" applyAlignment="1">
      <alignment vertical="center"/>
    </xf>
    <xf numFmtId="0" fontId="22" fillId="8" borderId="2" xfId="824" applyNumberFormat="1" applyFont="1" applyFill="1" applyBorder="1" applyAlignment="1">
      <alignment vertical="center"/>
    </xf>
    <xf numFmtId="0" fontId="22" fillId="8" borderId="19" xfId="824" applyNumberFormat="1" applyFont="1" applyFill="1" applyBorder="1" applyAlignment="1">
      <alignment horizontal="center" vertical="center"/>
    </xf>
    <xf numFmtId="0" fontId="22" fillId="8" borderId="19" xfId="824" applyNumberFormat="1" applyFont="1" applyFill="1" applyBorder="1" applyAlignment="1">
      <alignment vertical="center"/>
    </xf>
    <xf numFmtId="0" fontId="22" fillId="8" borderId="3" xfId="824" applyNumberFormat="1" applyFont="1" applyFill="1" applyBorder="1" applyAlignment="1">
      <alignment horizontal="center" vertical="center" wrapText="1"/>
    </xf>
    <xf numFmtId="0" fontId="22" fillId="8" borderId="3" xfId="824" applyNumberFormat="1" applyFont="1" applyFill="1" applyBorder="1" applyAlignment="1">
      <alignment horizontal="center" vertical="center"/>
    </xf>
    <xf numFmtId="0" fontId="22" fillId="8" borderId="30" xfId="824" applyNumberFormat="1" applyFont="1" applyFill="1" applyBorder="1" applyAlignment="1">
      <alignment vertical="center"/>
    </xf>
    <xf numFmtId="0" fontId="22" fillId="8" borderId="25" xfId="824" applyNumberFormat="1" applyFont="1" applyFill="1" applyBorder="1" applyAlignment="1">
      <alignment vertical="center"/>
    </xf>
    <xf numFmtId="0" fontId="22" fillId="8" borderId="31" xfId="824" applyNumberFormat="1" applyFont="1" applyFill="1" applyBorder="1" applyAlignment="1">
      <alignment vertical="center"/>
    </xf>
    <xf numFmtId="0" fontId="22" fillId="8" borderId="27" xfId="824" applyNumberFormat="1" applyFont="1" applyFill="1" applyBorder="1" applyAlignment="1">
      <alignment vertical="center"/>
    </xf>
    <xf numFmtId="0" fontId="22" fillId="8" borderId="4" xfId="824" applyNumberFormat="1" applyFont="1" applyFill="1" applyBorder="1" applyAlignment="1">
      <alignment vertical="center"/>
    </xf>
    <xf numFmtId="0" fontId="22" fillId="8" borderId="0" xfId="824" applyNumberFormat="1" applyFont="1" applyFill="1" applyBorder="1" applyAlignment="1">
      <alignment horizontal="distributed" vertical="center"/>
    </xf>
    <xf numFmtId="179" fontId="22" fillId="8" borderId="27" xfId="824" applyNumberFormat="1" applyFont="1" applyFill="1" applyBorder="1" applyAlignment="1">
      <alignment horizontal="center" vertical="center"/>
    </xf>
    <xf numFmtId="0" fontId="22" fillId="8" borderId="27" xfId="824" applyNumberFormat="1" applyFont="1" applyFill="1" applyBorder="1" applyAlignment="1">
      <alignment horizontal="center" vertical="center"/>
    </xf>
    <xf numFmtId="0" fontId="22" fillId="8" borderId="5" xfId="824" applyNumberFormat="1" applyFont="1" applyFill="1" applyBorder="1" applyAlignment="1">
      <alignment vertical="center"/>
    </xf>
    <xf numFmtId="0" fontId="22" fillId="8" borderId="28" xfId="824" applyNumberFormat="1" applyFont="1" applyFill="1" applyBorder="1" applyAlignment="1">
      <alignment horizontal="distributed" vertical="center"/>
    </xf>
    <xf numFmtId="0" fontId="22" fillId="8" borderId="29" xfId="824" applyNumberFormat="1" applyFont="1" applyFill="1" applyBorder="1" applyAlignment="1">
      <alignment vertical="center"/>
    </xf>
    <xf numFmtId="0" fontId="22" fillId="8" borderId="29" xfId="824" applyNumberFormat="1" applyFont="1" applyFill="1" applyBorder="1" applyAlignment="1">
      <alignment horizontal="center" vertical="center"/>
    </xf>
    <xf numFmtId="0" fontId="22" fillId="8" borderId="0" xfId="824" applyFont="1" applyFill="1" applyBorder="1" applyAlignment="1">
      <alignment vertical="center"/>
    </xf>
    <xf numFmtId="0" fontId="2" fillId="8" borderId="0" xfId="826" applyNumberFormat="1" applyFont="1" applyFill="1" applyAlignment="1">
      <alignment horizontal="left" vertical="center"/>
    </xf>
    <xf numFmtId="0" fontId="2" fillId="8" borderId="0" xfId="826" quotePrefix="1" applyNumberFormat="1" applyFont="1" applyFill="1" applyAlignment="1">
      <alignment horizontal="left" vertical="center"/>
    </xf>
    <xf numFmtId="0" fontId="2" fillId="8" borderId="0" xfId="826" applyNumberFormat="1" applyFont="1" applyFill="1" applyAlignment="1">
      <alignment vertical="center"/>
    </xf>
    <xf numFmtId="0" fontId="2" fillId="8" borderId="0" xfId="826" applyNumberFormat="1" applyFont="1" applyFill="1" applyBorder="1" applyAlignment="1">
      <alignment vertical="center"/>
    </xf>
    <xf numFmtId="0" fontId="2" fillId="8" borderId="0" xfId="807" applyNumberFormat="1" applyFont="1" applyFill="1" applyAlignment="1">
      <alignment vertical="center"/>
    </xf>
    <xf numFmtId="0" fontId="3" fillId="8" borderId="0" xfId="826" applyNumberFormat="1" applyFont="1" applyFill="1" applyAlignment="1">
      <alignment horizontal="centerContinuous" vertical="center"/>
    </xf>
    <xf numFmtId="0" fontId="2" fillId="8" borderId="0" xfId="826" applyNumberFormat="1" applyFont="1" applyFill="1" applyAlignment="1">
      <alignment horizontal="centerContinuous" vertical="center"/>
    </xf>
    <xf numFmtId="0" fontId="2" fillId="8" borderId="0" xfId="826" quotePrefix="1" applyNumberFormat="1" applyFont="1" applyFill="1" applyBorder="1" applyAlignment="1">
      <alignment horizontal="left" vertical="center"/>
    </xf>
    <xf numFmtId="0" fontId="2" fillId="8" borderId="0" xfId="826" quotePrefix="1" applyNumberFormat="1" applyFont="1" applyFill="1" applyBorder="1" applyAlignment="1">
      <alignment horizontal="center" vertical="center"/>
    </xf>
    <xf numFmtId="0" fontId="2" fillId="8" borderId="0" xfId="807" applyNumberFormat="1" applyFont="1" applyFill="1" applyBorder="1" applyAlignment="1">
      <alignment horizontal="right" vertical="center"/>
    </xf>
    <xf numFmtId="0" fontId="2" fillId="8" borderId="30" xfId="826" applyNumberFormat="1" applyFont="1" applyFill="1" applyBorder="1" applyAlignment="1">
      <alignment vertical="center"/>
    </xf>
    <xf numFmtId="0" fontId="2" fillId="8" borderId="25" xfId="826" applyNumberFormat="1" applyFont="1" applyFill="1" applyBorder="1" applyAlignment="1">
      <alignment horizontal="center" vertical="center"/>
    </xf>
    <xf numFmtId="0" fontId="2" fillId="8" borderId="31" xfId="826" applyNumberFormat="1" applyFont="1" applyFill="1" applyBorder="1" applyAlignment="1">
      <alignment horizontal="center" vertical="center"/>
    </xf>
    <xf numFmtId="0" fontId="2" fillId="8" borderId="15" xfId="826" applyNumberFormat="1" applyFont="1" applyFill="1" applyBorder="1" applyAlignment="1">
      <alignment horizontal="centerContinuous" vertical="center"/>
    </xf>
    <xf numFmtId="0" fontId="2" fillId="8" borderId="5" xfId="826" applyNumberFormat="1" applyFont="1" applyFill="1" applyBorder="1" applyAlignment="1">
      <alignment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29" xfId="826" applyNumberFormat="1" applyFont="1" applyFill="1" applyBorder="1" applyAlignment="1">
      <alignment horizontal="center" vertical="center"/>
    </xf>
    <xf numFmtId="0" fontId="2" fillId="8" borderId="3" xfId="826" applyNumberFormat="1" applyFont="1" applyFill="1" applyBorder="1" applyAlignment="1">
      <alignment horizontal="centerContinuous" vertical="center"/>
    </xf>
    <xf numFmtId="0" fontId="2" fillId="8" borderId="4" xfId="826" applyNumberFormat="1" applyFont="1" applyFill="1" applyBorder="1" applyAlignment="1">
      <alignment vertical="center"/>
    </xf>
    <xf numFmtId="0" fontId="2" fillId="8" borderId="0" xfId="826" applyNumberFormat="1" applyFont="1" applyFill="1" applyBorder="1" applyAlignment="1">
      <alignment horizontal="center" vertical="center"/>
    </xf>
    <xf numFmtId="0" fontId="2" fillId="8" borderId="4" xfId="826" applyNumberFormat="1" applyFont="1" applyFill="1" applyBorder="1" applyAlignment="1">
      <alignment horizontal="center" vertical="center"/>
    </xf>
    <xf numFmtId="0" fontId="2" fillId="8" borderId="27" xfId="826" applyNumberFormat="1" applyFont="1" applyFill="1" applyBorder="1" applyAlignment="1">
      <alignment horizontal="center" vertical="center"/>
    </xf>
    <xf numFmtId="0" fontId="2" fillId="8" borderId="26" xfId="826" applyNumberFormat="1" applyFont="1" applyFill="1" applyBorder="1" applyAlignment="1">
      <alignment horizontal="centerContinuous" vertical="center"/>
    </xf>
    <xf numFmtId="0" fontId="2" fillId="8" borderId="26" xfId="826" applyNumberFormat="1" applyFont="1" applyFill="1" applyBorder="1" applyAlignment="1">
      <alignment horizontal="center" vertical="center"/>
    </xf>
    <xf numFmtId="0" fontId="2" fillId="8" borderId="26" xfId="807" applyNumberFormat="1" applyFont="1" applyFill="1" applyBorder="1" applyAlignment="1">
      <alignment horizontal="center" vertical="center"/>
    </xf>
    <xf numFmtId="0" fontId="2" fillId="8" borderId="27" xfId="826" applyNumberFormat="1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horizontal="distributed" vertical="center"/>
    </xf>
    <xf numFmtId="0" fontId="2" fillId="8" borderId="0" xfId="826" applyNumberFormat="1" applyFont="1" applyFill="1" applyBorder="1" applyAlignment="1">
      <alignment horizontal="distributed" vertical="center" shrinkToFit="1"/>
    </xf>
    <xf numFmtId="179" fontId="2" fillId="8" borderId="26" xfId="453" applyNumberFormat="1" applyFont="1" applyFill="1" applyBorder="1" applyAlignment="1">
      <alignment horizontal="right" vertical="center"/>
    </xf>
    <xf numFmtId="179" fontId="2" fillId="8" borderId="0" xfId="826" applyNumberFormat="1" applyFont="1" applyFill="1" applyAlignment="1">
      <alignment horizontal="center" vertical="center"/>
    </xf>
    <xf numFmtId="179" fontId="2" fillId="8" borderId="0" xfId="826" applyNumberFormat="1" applyFont="1" applyFill="1" applyBorder="1" applyAlignment="1">
      <alignment horizontal="center" vertical="center"/>
    </xf>
    <xf numFmtId="0" fontId="2" fillId="8" borderId="0" xfId="826" applyNumberFormat="1" applyFont="1" applyFill="1" applyBorder="1" applyAlignment="1">
      <alignment horizontal="distributed" vertical="center"/>
    </xf>
    <xf numFmtId="0" fontId="2" fillId="8" borderId="28" xfId="0" applyNumberFormat="1" applyFont="1" applyFill="1" applyBorder="1" applyAlignment="1">
      <alignment horizontal="distributed" vertical="center"/>
    </xf>
    <xf numFmtId="0" fontId="2" fillId="8" borderId="28" xfId="826" applyNumberFormat="1" applyFont="1" applyFill="1" applyBorder="1" applyAlignment="1">
      <alignment vertical="center"/>
    </xf>
    <xf numFmtId="0" fontId="2" fillId="8" borderId="29" xfId="826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Continuous" vertical="center"/>
    </xf>
    <xf numFmtId="0" fontId="2" fillId="8" borderId="14" xfId="826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Border="1" applyAlignment="1">
      <alignment horizontal="left" vertical="center"/>
    </xf>
    <xf numFmtId="0" fontId="22" fillId="8" borderId="0" xfId="835" quotePrefix="1" applyNumberFormat="1" applyFont="1" applyFill="1" applyAlignment="1">
      <alignment horizontal="left" vertical="center"/>
    </xf>
    <xf numFmtId="0" fontId="22" fillId="8" borderId="0" xfId="835" applyNumberFormat="1" applyFont="1" applyFill="1" applyAlignment="1">
      <alignment vertical="center"/>
    </xf>
    <xf numFmtId="0" fontId="22" fillId="8" borderId="0" xfId="453" quotePrefix="1" applyNumberFormat="1" applyFont="1" applyFill="1" applyBorder="1" applyAlignment="1">
      <alignment horizontal="left" vertical="center"/>
    </xf>
    <xf numFmtId="0" fontId="23" fillId="8" borderId="0" xfId="835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Alignment="1">
      <alignment horizontal="centerContinuous" vertical="center"/>
    </xf>
    <xf numFmtId="0" fontId="22" fillId="8" borderId="0" xfId="453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Border="1" applyAlignment="1">
      <alignment horizontal="centerContinuous" vertical="center"/>
    </xf>
    <xf numFmtId="0" fontId="22" fillId="8" borderId="0" xfId="827" applyNumberFormat="1" applyFont="1" applyFill="1" applyAlignment="1">
      <alignment vertical="center"/>
    </xf>
    <xf numFmtId="0" fontId="24" fillId="8" borderId="0" xfId="835" applyNumberFormat="1" applyFont="1" applyFill="1" applyAlignment="1">
      <alignment horizontal="centerContinuous" vertical="center"/>
    </xf>
    <xf numFmtId="0" fontId="24" fillId="8" borderId="0" xfId="453" applyNumberFormat="1" applyFont="1" applyFill="1" applyBorder="1" applyAlignment="1">
      <alignment horizontal="centerContinuous" vertical="center"/>
    </xf>
    <xf numFmtId="0" fontId="22" fillId="8" borderId="2" xfId="835" applyNumberFormat="1" applyFont="1" applyFill="1" applyBorder="1" applyAlignment="1">
      <alignment horizontal="centerContinuous" vertical="center"/>
    </xf>
    <xf numFmtId="0" fontId="22" fillId="8" borderId="24" xfId="835" applyNumberFormat="1" applyFont="1" applyFill="1" applyBorder="1" applyAlignment="1">
      <alignment horizontal="centerContinuous" vertical="center"/>
    </xf>
    <xf numFmtId="0" fontId="22" fillId="8" borderId="19" xfId="453" applyNumberFormat="1" applyFont="1" applyFill="1" applyBorder="1" applyAlignment="1">
      <alignment horizontal="centerContinuous" vertical="center"/>
    </xf>
    <xf numFmtId="0" fontId="22" fillId="8" borderId="3" xfId="835" applyNumberFormat="1" applyFont="1" applyFill="1" applyBorder="1" applyAlignment="1">
      <alignment horizontal="center" vertical="center" wrapText="1"/>
    </xf>
    <xf numFmtId="0" fontId="22" fillId="8" borderId="4" xfId="835" applyNumberFormat="1" applyFont="1" applyFill="1" applyBorder="1" applyAlignment="1">
      <alignment horizontal="centerContinuous" vertical="center"/>
    </xf>
    <xf numFmtId="0" fontId="22" fillId="8" borderId="0" xfId="835" applyNumberFormat="1" applyFont="1" applyFill="1" applyBorder="1" applyAlignment="1">
      <alignment horizontal="centerContinuous" vertical="center" wrapText="1"/>
    </xf>
    <xf numFmtId="0" fontId="22" fillId="8" borderId="27" xfId="835" applyNumberFormat="1" applyFont="1" applyFill="1" applyBorder="1" applyAlignment="1">
      <alignment horizontal="centerContinuous" vertical="center"/>
    </xf>
    <xf numFmtId="0" fontId="22" fillId="8" borderId="4" xfId="835" applyNumberFormat="1" applyFont="1" applyFill="1" applyBorder="1" applyAlignment="1">
      <alignment horizontal="centerContinuous" vertical="center" wrapText="1"/>
    </xf>
    <xf numFmtId="0" fontId="22" fillId="8" borderId="27" xfId="835" applyNumberFormat="1" applyFont="1" applyFill="1" applyBorder="1" applyAlignment="1">
      <alignment horizontal="centerContinuous" vertical="center" wrapText="1"/>
    </xf>
    <xf numFmtId="0" fontId="22" fillId="8" borderId="26" xfId="835" applyNumberFormat="1" applyFont="1" applyFill="1" applyBorder="1" applyAlignment="1">
      <alignment horizontal="center" vertical="center" wrapText="1"/>
    </xf>
    <xf numFmtId="0" fontId="22" fillId="8" borderId="4" xfId="835" applyNumberFormat="1" applyFont="1" applyFill="1" applyBorder="1" applyAlignment="1">
      <alignment vertical="center"/>
    </xf>
    <xf numFmtId="0" fontId="22" fillId="8" borderId="0" xfId="835" applyNumberFormat="1" applyFont="1" applyFill="1" applyBorder="1" applyAlignment="1">
      <alignment horizontal="center" vertical="center"/>
    </xf>
    <xf numFmtId="0" fontId="22" fillId="8" borderId="0" xfId="835" applyNumberFormat="1" applyFont="1" applyFill="1" applyBorder="1" applyAlignment="1">
      <alignment horizontal="distributed" vertical="center"/>
    </xf>
    <xf numFmtId="0" fontId="22" fillId="8" borderId="27" xfId="835" applyNumberFormat="1" applyFont="1" applyFill="1" applyBorder="1" applyAlignment="1">
      <alignment vertical="center"/>
    </xf>
    <xf numFmtId="179" fontId="22" fillId="8" borderId="0" xfId="453" applyNumberFormat="1" applyFont="1" applyFill="1" applyBorder="1" applyAlignment="1">
      <alignment horizontal="right" vertical="center"/>
    </xf>
    <xf numFmtId="179" fontId="22" fillId="8" borderId="4" xfId="453" applyNumberFormat="1" applyFont="1" applyFill="1" applyBorder="1" applyAlignment="1">
      <alignment horizontal="right" vertical="center"/>
    </xf>
    <xf numFmtId="0" fontId="22" fillId="8" borderId="27" xfId="453" applyNumberFormat="1" applyFont="1" applyFill="1" applyBorder="1" applyAlignment="1">
      <alignment vertical="center"/>
    </xf>
    <xf numFmtId="0" fontId="22" fillId="8" borderId="26" xfId="835" applyNumberFormat="1" applyFont="1" applyFill="1" applyBorder="1" applyAlignment="1">
      <alignment horizontal="left" vertical="center"/>
    </xf>
    <xf numFmtId="0" fontId="22" fillId="8" borderId="0" xfId="835" quotePrefix="1" applyNumberFormat="1" applyFont="1" applyFill="1" applyBorder="1" applyAlignment="1">
      <alignment horizontal="center" vertical="center"/>
    </xf>
    <xf numFmtId="0" fontId="22" fillId="8" borderId="0" xfId="835" applyNumberFormat="1" applyFont="1" applyFill="1" applyBorder="1" applyAlignment="1">
      <alignment vertical="center"/>
    </xf>
    <xf numFmtId="179" fontId="22" fillId="8" borderId="4" xfId="835" applyNumberFormat="1" applyFont="1" applyFill="1" applyBorder="1" applyAlignment="1">
      <alignment horizontal="right" vertical="center"/>
    </xf>
    <xf numFmtId="0" fontId="22" fillId="8" borderId="2" xfId="835" applyNumberFormat="1" applyFont="1" applyFill="1" applyBorder="1" applyAlignment="1">
      <alignment horizontal="center" vertical="center"/>
    </xf>
    <xf numFmtId="0" fontId="22" fillId="8" borderId="19" xfId="835" applyNumberFormat="1" applyFont="1" applyFill="1" applyBorder="1" applyAlignment="1">
      <alignment horizontal="left" vertical="center"/>
    </xf>
    <xf numFmtId="0" fontId="22" fillId="8" borderId="19" xfId="835" applyNumberFormat="1" applyFont="1" applyFill="1" applyBorder="1" applyAlignment="1">
      <alignment horizontal="distributed" vertical="center"/>
    </xf>
    <xf numFmtId="0" fontId="22" fillId="8" borderId="24" xfId="835" applyNumberFormat="1" applyFont="1" applyFill="1" applyBorder="1" applyAlignment="1">
      <alignment horizontal="center" vertical="center"/>
    </xf>
    <xf numFmtId="186" fontId="22" fillId="8" borderId="2" xfId="453" applyNumberFormat="1" applyFont="1" applyFill="1" applyBorder="1" applyAlignment="1">
      <alignment horizontal="right" vertical="center"/>
    </xf>
    <xf numFmtId="186" fontId="22" fillId="8" borderId="19" xfId="453" applyNumberFormat="1" applyFont="1" applyFill="1" applyBorder="1" applyAlignment="1">
      <alignment horizontal="right" vertical="center"/>
    </xf>
    <xf numFmtId="0" fontId="22" fillId="8" borderId="24" xfId="453" applyNumberFormat="1" applyFont="1" applyFill="1" applyBorder="1" applyAlignment="1">
      <alignment vertical="center"/>
    </xf>
    <xf numFmtId="0" fontId="22" fillId="8" borderId="3" xfId="835" applyNumberFormat="1" applyFont="1" applyFill="1" applyBorder="1" applyAlignment="1">
      <alignment horizontal="left" vertical="center"/>
    </xf>
    <xf numFmtId="0" fontId="22" fillId="8" borderId="0" xfId="835" quotePrefix="1" applyNumberFormat="1" applyFont="1" applyFill="1" applyBorder="1" applyAlignment="1">
      <alignment horizontal="left" vertical="center"/>
    </xf>
    <xf numFmtId="0" fontId="22" fillId="8" borderId="0" xfId="453" applyNumberFormat="1" applyFont="1" applyFill="1" applyBorder="1" applyAlignment="1">
      <alignment vertical="center"/>
    </xf>
    <xf numFmtId="0" fontId="22" fillId="8" borderId="0" xfId="828" applyNumberFormat="1" applyFont="1" applyFill="1" applyAlignment="1">
      <alignment vertical="center"/>
    </xf>
    <xf numFmtId="0" fontId="22" fillId="8" borderId="0" xfId="828" applyNumberFormat="1" applyFont="1" applyFill="1" applyBorder="1" applyAlignment="1">
      <alignment vertical="center"/>
    </xf>
    <xf numFmtId="0" fontId="26" fillId="8" borderId="0" xfId="835" applyNumberFormat="1" applyFont="1" applyFill="1" applyAlignment="1">
      <alignment horizontal="left" vertical="center"/>
    </xf>
    <xf numFmtId="0" fontId="26" fillId="8" borderId="0" xfId="835" quotePrefix="1" applyNumberFormat="1" applyFont="1" applyFill="1" applyAlignment="1">
      <alignment horizontal="left" vertical="center"/>
    </xf>
    <xf numFmtId="0" fontId="26" fillId="8" borderId="0" xfId="835" applyNumberFormat="1" applyFont="1" applyFill="1" applyAlignment="1">
      <alignment vertical="center"/>
    </xf>
    <xf numFmtId="0" fontId="22" fillId="8" borderId="0" xfId="828" applyNumberFormat="1" applyFont="1" applyFill="1" applyAlignment="1">
      <alignment horizontal="left" vertical="center"/>
    </xf>
    <xf numFmtId="0" fontId="3" fillId="8" borderId="0" xfId="826" applyNumberFormat="1" applyFont="1" applyFill="1" applyBorder="1" applyAlignment="1">
      <alignment horizontal="centerContinuous" vertical="center"/>
    </xf>
    <xf numFmtId="0" fontId="3" fillId="8" borderId="0" xfId="826" applyNumberFormat="1" applyFont="1" applyFill="1" applyAlignment="1">
      <alignment vertical="center"/>
    </xf>
    <xf numFmtId="179" fontId="2" fillId="8" borderId="14" xfId="453" applyNumberFormat="1" applyFont="1" applyFill="1" applyBorder="1" applyAlignment="1">
      <alignment horizontal="right" vertical="center"/>
    </xf>
    <xf numFmtId="179" fontId="2" fillId="8" borderId="28" xfId="826" applyNumberFormat="1" applyFont="1" applyFill="1" applyBorder="1" applyAlignment="1">
      <alignment horizontal="center" vertical="center"/>
    </xf>
    <xf numFmtId="179" fontId="2" fillId="8" borderId="14" xfId="826" applyNumberFormat="1" applyFont="1" applyFill="1" applyBorder="1" applyAlignment="1">
      <alignment horizontal="right" vertical="center"/>
    </xf>
    <xf numFmtId="0" fontId="1" fillId="8" borderId="0" xfId="826" applyNumberFormat="1" applyFont="1" applyFill="1" applyAlignment="1">
      <alignment horizontal="left" vertical="center"/>
    </xf>
    <xf numFmtId="0" fontId="1" fillId="8" borderId="0" xfId="826" quotePrefix="1" applyNumberFormat="1" applyFont="1" applyFill="1" applyAlignment="1">
      <alignment horizontal="left" vertical="center"/>
    </xf>
    <xf numFmtId="0" fontId="1" fillId="8" borderId="0" xfId="826" applyNumberFormat="1" applyFont="1" applyFill="1" applyAlignment="1">
      <alignment vertical="center"/>
    </xf>
    <xf numFmtId="0" fontId="1" fillId="8" borderId="0" xfId="826" applyNumberFormat="1" applyFont="1" applyFill="1" applyBorder="1" applyAlignment="1">
      <alignment vertical="center"/>
    </xf>
    <xf numFmtId="0" fontId="1" fillId="8" borderId="0" xfId="807" applyNumberFormat="1" applyFont="1" applyFill="1" applyAlignment="1">
      <alignment vertical="center"/>
    </xf>
    <xf numFmtId="0" fontId="1" fillId="8" borderId="0" xfId="807" applyNumberFormat="1" applyFont="1" applyFill="1" applyBorder="1" applyAlignment="1">
      <alignment vertical="center"/>
    </xf>
    <xf numFmtId="0" fontId="1" fillId="8" borderId="0" xfId="826" quotePrefix="1" applyNumberFormat="1" applyFont="1" applyFill="1" applyBorder="1" applyAlignment="1">
      <alignment horizontal="left" vertical="center"/>
    </xf>
    <xf numFmtId="0" fontId="1" fillId="8" borderId="0" xfId="826" quotePrefix="1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left" vertical="center"/>
    </xf>
    <xf numFmtId="0" fontId="1" fillId="8" borderId="0" xfId="807" quotePrefix="1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vertical="center"/>
    </xf>
    <xf numFmtId="0" fontId="1" fillId="8" borderId="19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" vertical="center"/>
    </xf>
    <xf numFmtId="0" fontId="1" fillId="8" borderId="24" xfId="826" applyNumberFormat="1" applyFont="1" applyFill="1" applyBorder="1" applyAlignment="1">
      <alignment horizontal="center" vertical="center"/>
    </xf>
    <xf numFmtId="0" fontId="1" fillId="8" borderId="2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Continuous" vertical="center" wrapText="1"/>
    </xf>
    <xf numFmtId="0" fontId="1" fillId="8" borderId="24" xfId="826" applyNumberFormat="1" applyFont="1" applyFill="1" applyBorder="1" applyAlignment="1">
      <alignment horizontal="center" vertical="center" wrapText="1"/>
    </xf>
    <xf numFmtId="0" fontId="1" fillId="8" borderId="2" xfId="807" applyNumberFormat="1" applyFont="1" applyFill="1" applyBorder="1" applyAlignment="1">
      <alignment horizontal="centerContinuous" vertical="center"/>
    </xf>
    <xf numFmtId="0" fontId="1" fillId="8" borderId="24" xfId="807" applyNumberFormat="1" applyFont="1" applyFill="1" applyBorder="1" applyAlignment="1">
      <alignment horizontal="centerContinuous" vertical="center"/>
    </xf>
    <xf numFmtId="0" fontId="1" fillId="8" borderId="3" xfId="807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vertical="center"/>
    </xf>
    <xf numFmtId="0" fontId="1" fillId="8" borderId="0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" vertical="center"/>
    </xf>
    <xf numFmtId="0" fontId="1" fillId="8" borderId="27" xfId="826" applyNumberFormat="1" applyFont="1" applyFill="1" applyBorder="1" applyAlignment="1">
      <alignment horizontal="center" vertical="center"/>
    </xf>
    <xf numFmtId="0" fontId="1" fillId="8" borderId="4" xfId="826" applyNumberFormat="1" applyFont="1" applyFill="1" applyBorder="1" applyAlignment="1">
      <alignment horizontal="centerContinuous" vertical="center"/>
    </xf>
    <xf numFmtId="0" fontId="1" fillId="8" borderId="27" xfId="826" applyNumberFormat="1" applyFont="1" applyFill="1" applyBorder="1" applyAlignment="1">
      <alignment horizontal="centerContinuous" vertical="center"/>
    </xf>
    <xf numFmtId="0" fontId="1" fillId="8" borderId="4" xfId="807" applyNumberFormat="1" applyFont="1" applyFill="1" applyBorder="1" applyAlignment="1">
      <alignment horizontal="center" vertical="center"/>
    </xf>
    <xf numFmtId="0" fontId="1" fillId="8" borderId="27" xfId="807" applyNumberFormat="1" applyFont="1" applyFill="1" applyBorder="1" applyAlignment="1">
      <alignment horizontal="center" vertical="center"/>
    </xf>
    <xf numFmtId="0" fontId="1" fillId="8" borderId="26" xfId="807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distributed" vertical="center"/>
    </xf>
    <xf numFmtId="0" fontId="1" fillId="8" borderId="0" xfId="826" applyNumberFormat="1" applyFont="1" applyFill="1" applyBorder="1" applyAlignment="1">
      <alignment horizontal="distributed" vertical="center" shrinkToFit="1"/>
    </xf>
    <xf numFmtId="0" fontId="1" fillId="8" borderId="27" xfId="826" applyNumberFormat="1" applyFont="1" applyFill="1" applyBorder="1" applyAlignment="1">
      <alignment vertical="center"/>
    </xf>
    <xf numFmtId="179" fontId="1" fillId="8" borderId="4" xfId="453" applyNumberFormat="1" applyFont="1" applyFill="1" applyBorder="1" applyAlignment="1">
      <alignment horizontal="right" vertical="center"/>
    </xf>
    <xf numFmtId="179" fontId="1" fillId="8" borderId="27" xfId="453" applyNumberFormat="1" applyFont="1" applyFill="1" applyBorder="1" applyAlignment="1">
      <alignment horizontal="right" vertical="center"/>
    </xf>
    <xf numFmtId="179" fontId="1" fillId="8" borderId="0" xfId="826" applyNumberFormat="1" applyFont="1" applyFill="1" applyAlignment="1">
      <alignment horizontal="center" vertical="center"/>
    </xf>
    <xf numFmtId="179" fontId="1" fillId="8" borderId="26" xfId="453" applyNumberFormat="1" applyFont="1" applyFill="1" applyBorder="1" applyAlignment="1">
      <alignment horizontal="right" vertical="center"/>
    </xf>
    <xf numFmtId="0" fontId="1" fillId="8" borderId="5" xfId="826" applyNumberFormat="1" applyFont="1" applyFill="1" applyBorder="1" applyAlignment="1">
      <alignment vertical="center"/>
    </xf>
    <xf numFmtId="0" fontId="1" fillId="8" borderId="28" xfId="0" applyNumberFormat="1" applyFont="1" applyFill="1" applyBorder="1" applyAlignment="1">
      <alignment horizontal="distributed" vertical="center"/>
    </xf>
    <xf numFmtId="0" fontId="1" fillId="8" borderId="28" xfId="826" applyNumberFormat="1" applyFont="1" applyFill="1" applyBorder="1" applyAlignment="1">
      <alignment vertical="center"/>
    </xf>
    <xf numFmtId="0" fontId="1" fillId="8" borderId="29" xfId="826" applyNumberFormat="1" applyFont="1" applyFill="1" applyBorder="1" applyAlignment="1">
      <alignment vertical="center"/>
    </xf>
    <xf numFmtId="179" fontId="1" fillId="8" borderId="5" xfId="453" applyNumberFormat="1" applyFont="1" applyFill="1" applyBorder="1" applyAlignment="1">
      <alignment horizontal="right" vertical="center"/>
    </xf>
    <xf numFmtId="179" fontId="1" fillId="8" borderId="29" xfId="453" applyNumberFormat="1" applyFont="1" applyFill="1" applyBorder="1" applyAlignment="1">
      <alignment horizontal="right" vertical="center"/>
    </xf>
    <xf numFmtId="179" fontId="1" fillId="8" borderId="28" xfId="826" applyNumberFormat="1" applyFont="1" applyFill="1" applyBorder="1" applyAlignment="1">
      <alignment horizontal="center" vertical="center"/>
    </xf>
    <xf numFmtId="179" fontId="1" fillId="8" borderId="5" xfId="826" applyNumberFormat="1" applyFont="1" applyFill="1" applyBorder="1" applyAlignment="1">
      <alignment horizontal="right" vertical="center"/>
    </xf>
    <xf numFmtId="179" fontId="1" fillId="8" borderId="29" xfId="826" applyNumberFormat="1" applyFont="1" applyFill="1" applyBorder="1" applyAlignment="1">
      <alignment horizontal="right" vertical="center"/>
    </xf>
    <xf numFmtId="179" fontId="1" fillId="8" borderId="14" xfId="826" applyNumberFormat="1" applyFont="1" applyFill="1" applyBorder="1" applyAlignment="1">
      <alignment horizontal="right" vertical="center"/>
    </xf>
    <xf numFmtId="185" fontId="1" fillId="8" borderId="0" xfId="826" applyNumberFormat="1" applyFont="1" applyFill="1" applyAlignment="1">
      <alignment horizontal="center" vertical="center"/>
    </xf>
    <xf numFmtId="0" fontId="3" fillId="8" borderId="0" xfId="453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horizontal="right" vertical="center"/>
    </xf>
    <xf numFmtId="0" fontId="2" fillId="8" borderId="24" xfId="453" applyNumberFormat="1" applyFont="1" applyFill="1" applyBorder="1" applyAlignment="1">
      <alignment horizontal="centerContinuous" vertical="center"/>
    </xf>
    <xf numFmtId="0" fontId="2" fillId="8" borderId="3" xfId="453" applyNumberFormat="1" applyFont="1" applyFill="1" applyBorder="1" applyAlignment="1">
      <alignment horizontal="centerContinuous" vertical="center"/>
    </xf>
    <xf numFmtId="0" fontId="2" fillId="8" borderId="2" xfId="453" applyNumberFormat="1" applyFont="1" applyFill="1" applyBorder="1" applyAlignment="1">
      <alignment horizontal="centerContinuous" vertical="center"/>
    </xf>
    <xf numFmtId="0" fontId="2" fillId="8" borderId="4" xfId="0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/>
    </xf>
    <xf numFmtId="0" fontId="1" fillId="8" borderId="0" xfId="826" applyNumberFormat="1" applyFont="1" applyFill="1" applyBorder="1" applyAlignment="1">
      <alignment horizontal="center" vertical="center" shrinkToFit="1"/>
    </xf>
    <xf numFmtId="0" fontId="2" fillId="8" borderId="26" xfId="453" applyNumberFormat="1" applyFont="1" applyFill="1" applyBorder="1" applyAlignment="1">
      <alignment horizontal="center" vertical="center"/>
    </xf>
    <xf numFmtId="0" fontId="2" fillId="8" borderId="4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right" vertical="center"/>
    </xf>
    <xf numFmtId="0" fontId="2" fillId="8" borderId="0" xfId="0" applyNumberFormat="1" applyFont="1" applyFill="1" applyBorder="1" applyAlignment="1">
      <alignment vertical="center"/>
    </xf>
    <xf numFmtId="186" fontId="2" fillId="8" borderId="26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left" vertical="center"/>
    </xf>
    <xf numFmtId="229" fontId="2" fillId="8" borderId="0" xfId="0" applyNumberFormat="1" applyFont="1" applyFill="1" applyAlignment="1">
      <alignment vertical="center"/>
    </xf>
    <xf numFmtId="229" fontId="1" fillId="8" borderId="0" xfId="0" applyNumberFormat="1" applyFont="1" applyFill="1" applyAlignment="1">
      <alignment vertical="center"/>
    </xf>
    <xf numFmtId="0" fontId="2" fillId="8" borderId="5" xfId="0" applyNumberFormat="1" applyFont="1" applyFill="1" applyBorder="1" applyAlignment="1">
      <alignment horizontal="center" vertical="center"/>
    </xf>
    <xf numFmtId="0" fontId="1" fillId="8" borderId="28" xfId="826" applyNumberFormat="1" applyFont="1" applyFill="1" applyBorder="1" applyAlignment="1">
      <alignment horizontal="distributed" vertical="center" shrinkToFit="1"/>
    </xf>
    <xf numFmtId="186" fontId="2" fillId="8" borderId="14" xfId="453" applyNumberFormat="1" applyFont="1" applyFill="1" applyBorder="1" applyAlignment="1">
      <alignment horizontal="center" vertical="center"/>
    </xf>
    <xf numFmtId="0" fontId="2" fillId="8" borderId="29" xfId="453" applyNumberFormat="1" applyFont="1" applyFill="1" applyBorder="1" applyAlignment="1">
      <alignment horizontal="left" vertical="center"/>
    </xf>
    <xf numFmtId="0" fontId="2" fillId="8" borderId="0" xfId="833" applyNumberFormat="1" applyFont="1" applyFill="1" applyAlignment="1">
      <alignment vertical="center"/>
    </xf>
    <xf numFmtId="0" fontId="2" fillId="8" borderId="0" xfId="806" applyNumberFormat="1" applyFont="1" applyFill="1" applyAlignment="1">
      <alignment vertical="center"/>
    </xf>
    <xf numFmtId="0" fontId="3" fillId="8" borderId="0" xfId="833" applyNumberFormat="1" applyFont="1" applyFill="1" applyAlignment="1">
      <alignment horizontal="centerContinuous" vertical="center"/>
    </xf>
    <xf numFmtId="0" fontId="3" fillId="8" borderId="0" xfId="806" applyNumberFormat="1" applyFont="1" applyFill="1" applyAlignment="1">
      <alignment horizontal="centerContinuous" vertical="center"/>
    </xf>
    <xf numFmtId="0" fontId="3" fillId="8" borderId="0" xfId="833" applyNumberFormat="1" applyFont="1" applyFill="1" applyAlignment="1">
      <alignment vertical="center"/>
    </xf>
    <xf numFmtId="0" fontId="2" fillId="8" borderId="0" xfId="833" applyNumberFormat="1" applyFont="1" applyFill="1" applyAlignment="1">
      <alignment horizontal="centerContinuous" vertical="center"/>
    </xf>
    <xf numFmtId="0" fontId="2" fillId="8" borderId="0" xfId="806" applyNumberFormat="1" applyFont="1" applyFill="1" applyAlignment="1">
      <alignment horizontal="centerContinuous" vertical="center"/>
    </xf>
    <xf numFmtId="0" fontId="2" fillId="8" borderId="0" xfId="833" applyNumberFormat="1" applyFont="1" applyFill="1" applyAlignment="1">
      <alignment horizontal="left" vertical="center"/>
    </xf>
    <xf numFmtId="0" fontId="2" fillId="8" borderId="0" xfId="455" applyNumberFormat="1" applyFont="1" applyFill="1" applyAlignment="1">
      <alignment horizontal="right" vertical="center"/>
    </xf>
    <xf numFmtId="0" fontId="2" fillId="8" borderId="2" xfId="833" applyNumberFormat="1" applyFont="1" applyFill="1" applyBorder="1" applyAlignment="1">
      <alignment horizontal="centerContinuous" vertical="center"/>
    </xf>
    <xf numFmtId="0" fontId="2" fillId="8" borderId="19" xfId="833" applyNumberFormat="1" applyFont="1" applyFill="1" applyBorder="1" applyAlignment="1">
      <alignment horizontal="centerContinuous" vertical="center"/>
    </xf>
    <xf numFmtId="0" fontId="2" fillId="8" borderId="24" xfId="833" applyNumberFormat="1" applyFont="1" applyFill="1" applyBorder="1" applyAlignment="1">
      <alignment horizontal="centerContinuous" vertical="center"/>
    </xf>
    <xf numFmtId="0" fontId="2" fillId="8" borderId="2" xfId="823" applyNumberFormat="1" applyFont="1" applyFill="1" applyBorder="1" applyAlignment="1">
      <alignment horizontal="centerContinuous" vertical="center"/>
    </xf>
    <xf numFmtId="0" fontId="2" fillId="8" borderId="24" xfId="823" applyNumberFormat="1" applyFont="1" applyFill="1" applyBorder="1" applyAlignment="1">
      <alignment horizontal="centerContinuous" vertical="center"/>
    </xf>
    <xf numFmtId="0" fontId="2" fillId="8" borderId="4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centerContinuous" vertical="center"/>
    </xf>
    <xf numFmtId="0" fontId="2" fillId="8" borderId="27" xfId="833" applyNumberFormat="1" applyFont="1" applyFill="1" applyBorder="1" applyAlignment="1">
      <alignment horizontal="centerContinuous" vertical="center"/>
    </xf>
    <xf numFmtId="0" fontId="2" fillId="8" borderId="0" xfId="833" applyNumberFormat="1" applyFont="1" applyFill="1" applyBorder="1" applyAlignment="1">
      <alignment horizontal="distributed" vertical="center"/>
    </xf>
    <xf numFmtId="0" fontId="2" fillId="8" borderId="27" xfId="823" applyNumberFormat="1" applyFont="1" applyFill="1" applyBorder="1" applyAlignment="1">
      <alignment horizontal="centerContinuous" vertical="center"/>
    </xf>
    <xf numFmtId="0" fontId="2" fillId="8" borderId="0" xfId="832" applyNumberFormat="1" applyFont="1" applyFill="1" applyBorder="1" applyAlignment="1">
      <alignment horizontal="distributed" vertical="center"/>
    </xf>
    <xf numFmtId="0" fontId="2" fillId="8" borderId="0" xfId="833" applyNumberFormat="1" applyFont="1" applyFill="1" applyBorder="1" applyAlignment="1">
      <alignment horizontal="distributed" vertical="center" shrinkToFit="1"/>
    </xf>
    <xf numFmtId="179" fontId="2" fillId="8" borderId="4" xfId="806" applyNumberFormat="1" applyFont="1" applyFill="1" applyBorder="1" applyAlignment="1">
      <alignment horizontal="right" vertical="center"/>
    </xf>
    <xf numFmtId="179" fontId="2" fillId="8" borderId="27" xfId="806" applyNumberFormat="1" applyFont="1" applyFill="1" applyBorder="1" applyAlignment="1">
      <alignment horizontal="right" vertical="center"/>
    </xf>
    <xf numFmtId="0" fontId="2" fillId="8" borderId="27" xfId="806" applyNumberFormat="1" applyFont="1" applyFill="1" applyBorder="1" applyAlignment="1">
      <alignment vertical="center"/>
    </xf>
    <xf numFmtId="0" fontId="2" fillId="8" borderId="5" xfId="833" applyNumberFormat="1" applyFont="1" applyFill="1" applyBorder="1" applyAlignment="1">
      <alignment horizontal="centerContinuous" vertical="center"/>
    </xf>
    <xf numFmtId="0" fontId="2" fillId="8" borderId="28" xfId="832" applyNumberFormat="1" applyFont="1" applyFill="1" applyBorder="1" applyAlignment="1">
      <alignment horizontal="distributed" vertical="center"/>
    </xf>
    <xf numFmtId="0" fontId="2" fillId="8" borderId="29" xfId="833" applyNumberFormat="1" applyFont="1" applyFill="1" applyBorder="1" applyAlignment="1">
      <alignment horizontal="centerContinuous" vertical="center"/>
    </xf>
    <xf numFmtId="0" fontId="2" fillId="8" borderId="28" xfId="833" applyNumberFormat="1" applyFont="1" applyFill="1" applyBorder="1" applyAlignment="1">
      <alignment horizontal="centerContinuous" vertical="center"/>
    </xf>
    <xf numFmtId="0" fontId="2" fillId="8" borderId="28" xfId="833" applyNumberFormat="1" applyFont="1" applyFill="1" applyBorder="1" applyAlignment="1">
      <alignment horizontal="distributed" vertical="center"/>
    </xf>
    <xf numFmtId="179" fontId="2" fillId="8" borderId="5" xfId="806" applyNumberFormat="1" applyFont="1" applyFill="1" applyBorder="1" applyAlignment="1">
      <alignment horizontal="right" vertical="center"/>
    </xf>
    <xf numFmtId="179" fontId="2" fillId="8" borderId="29" xfId="806" applyNumberFormat="1" applyFont="1" applyFill="1" applyBorder="1" applyAlignment="1">
      <alignment horizontal="right" vertical="center"/>
    </xf>
    <xf numFmtId="0" fontId="2" fillId="8" borderId="29" xfId="806" applyNumberFormat="1" applyFont="1" applyFill="1" applyBorder="1" applyAlignment="1">
      <alignment vertical="center"/>
    </xf>
    <xf numFmtId="0" fontId="2" fillId="8" borderId="0" xfId="833" applyNumberFormat="1" applyFont="1" applyFill="1" applyBorder="1" applyAlignment="1">
      <alignment horizontal="left" vertical="center"/>
    </xf>
    <xf numFmtId="0" fontId="2" fillId="8" borderId="0" xfId="826" applyFont="1" applyFill="1" applyAlignment="1">
      <alignment horizontal="left" vertical="center"/>
    </xf>
    <xf numFmtId="0" fontId="2" fillId="8" borderId="0" xfId="826" applyFont="1" applyFill="1" applyAlignment="1">
      <alignment horizontal="distributed"/>
    </xf>
    <xf numFmtId="180" fontId="2" fillId="8" borderId="0" xfId="826" applyNumberFormat="1" applyFont="1" applyFill="1" applyBorder="1" applyAlignment="1">
      <alignment vertical="center"/>
    </xf>
    <xf numFmtId="41" fontId="2" fillId="8" borderId="0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distributed" vertical="center"/>
    </xf>
    <xf numFmtId="0" fontId="85" fillId="8" borderId="0" xfId="0" applyFont="1" applyFill="1"/>
    <xf numFmtId="41" fontId="2" fillId="8" borderId="0" xfId="807" applyFont="1" applyFill="1" applyAlignment="1">
      <alignment horizontal="center" vertical="center"/>
    </xf>
    <xf numFmtId="0" fontId="3" fillId="8" borderId="0" xfId="826" applyFont="1" applyFill="1" applyAlignment="1">
      <alignment horizontal="centerContinuous" vertical="center"/>
    </xf>
    <xf numFmtId="41" fontId="3" fillId="8" borderId="0" xfId="807" applyFont="1" applyFill="1" applyAlignment="1">
      <alignment horizontal="centerContinuous" vertical="center"/>
    </xf>
    <xf numFmtId="41" fontId="3" fillId="8" borderId="0" xfId="807" applyFont="1" applyFill="1" applyBorder="1" applyAlignment="1">
      <alignment horizontal="centerContinuous" vertical="center"/>
    </xf>
    <xf numFmtId="0" fontId="3" fillId="8" borderId="0" xfId="826" applyFont="1" applyFill="1" applyBorder="1" applyAlignment="1">
      <alignment horizontal="centerContinuous" vertical="center"/>
    </xf>
    <xf numFmtId="0" fontId="86" fillId="8" borderId="0" xfId="0" applyFont="1" applyFill="1" applyAlignment="1">
      <alignment horizontal="left" vertical="center"/>
    </xf>
    <xf numFmtId="0" fontId="86" fillId="8" borderId="0" xfId="0" applyFont="1" applyFill="1" applyAlignment="1">
      <alignment vertical="center"/>
    </xf>
    <xf numFmtId="41" fontId="3" fillId="8" borderId="0" xfId="807" applyFont="1" applyFill="1" applyAlignment="1">
      <alignment horizontal="center" vertical="center"/>
    </xf>
    <xf numFmtId="0" fontId="2" fillId="8" borderId="0" xfId="826" applyFont="1" applyFill="1" applyAlignment="1">
      <alignment horizontal="centerContinuous" vertical="center"/>
    </xf>
    <xf numFmtId="41" fontId="2" fillId="8" borderId="0" xfId="807" applyFont="1" applyFill="1" applyAlignment="1">
      <alignment horizontal="centerContinuous" vertical="center"/>
    </xf>
    <xf numFmtId="41" fontId="2" fillId="8" borderId="0" xfId="807" applyFont="1" applyFill="1" applyBorder="1" applyAlignment="1">
      <alignment horizontal="centerContinuous" vertical="center"/>
    </xf>
    <xf numFmtId="0" fontId="2" fillId="8" borderId="0" xfId="826" applyFont="1" applyFill="1" applyBorder="1" applyAlignment="1">
      <alignment horizontal="centerContinuous" vertical="center"/>
    </xf>
    <xf numFmtId="0" fontId="85" fillId="8" borderId="0" xfId="0" applyFont="1" applyFill="1" applyAlignment="1">
      <alignment vertical="center"/>
    </xf>
    <xf numFmtId="0" fontId="2" fillId="8" borderId="0" xfId="826" applyFont="1" applyFill="1" applyBorder="1" applyAlignment="1">
      <alignment horizontal="distributed"/>
    </xf>
    <xf numFmtId="179" fontId="2" fillId="8" borderId="0" xfId="807" applyNumberFormat="1" applyFont="1" applyFill="1" applyBorder="1" applyAlignment="1">
      <alignment horizontal="right" vertical="center"/>
    </xf>
    <xf numFmtId="41" fontId="2" fillId="8" borderId="2" xfId="807" applyFont="1" applyFill="1" applyBorder="1" applyAlignment="1">
      <alignment horizontal="center" vertical="center"/>
    </xf>
    <xf numFmtId="0" fontId="2" fillId="8" borderId="19" xfId="826" applyFont="1" applyFill="1" applyBorder="1" applyAlignment="1">
      <alignment horizontal="center" vertical="center"/>
    </xf>
    <xf numFmtId="41" fontId="2" fillId="8" borderId="24" xfId="807" applyFont="1" applyFill="1" applyBorder="1" applyAlignment="1">
      <alignment horizontal="center" vertical="center"/>
    </xf>
    <xf numFmtId="41" fontId="2" fillId="8" borderId="3" xfId="807" quotePrefix="1" applyFont="1" applyFill="1" applyBorder="1" applyAlignment="1">
      <alignment horizontal="centerContinuous" vertical="center"/>
    </xf>
    <xf numFmtId="41" fontId="2" fillId="8" borderId="4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shrinkToFit="1"/>
    </xf>
    <xf numFmtId="41" fontId="2" fillId="8" borderId="38" xfId="807" applyFont="1" applyFill="1" applyBorder="1" applyAlignment="1">
      <alignment horizontal="center" vertical="center"/>
    </xf>
    <xf numFmtId="41" fontId="2" fillId="8" borderId="30" xfId="807" applyFont="1" applyFill="1" applyBorder="1" applyAlignment="1">
      <alignment horizontal="center" vertical="center"/>
    </xf>
    <xf numFmtId="0" fontId="2" fillId="8" borderId="25" xfId="826" applyFont="1" applyFill="1" applyBorder="1" applyAlignment="1">
      <alignment horizontal="left" vertical="center" shrinkToFit="1"/>
    </xf>
    <xf numFmtId="41" fontId="2" fillId="8" borderId="31" xfId="807" applyFont="1" applyFill="1" applyBorder="1" applyAlignment="1">
      <alignment horizontal="center" vertical="center"/>
    </xf>
    <xf numFmtId="41" fontId="2" fillId="8" borderId="15" xfId="807" applyFont="1" applyFill="1" applyBorder="1" applyAlignment="1">
      <alignment horizontal="center" vertical="center"/>
    </xf>
    <xf numFmtId="41" fontId="2" fillId="8" borderId="27" xfId="807" applyFont="1" applyFill="1" applyBorder="1" applyAlignment="1">
      <alignment horizontal="center" vertical="center"/>
    </xf>
    <xf numFmtId="49" fontId="2" fillId="8" borderId="26" xfId="807" applyNumberFormat="1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 wrapText="1" shrinkToFit="1"/>
    </xf>
    <xf numFmtId="0" fontId="2" fillId="8" borderId="19" xfId="826" applyFont="1" applyFill="1" applyBorder="1" applyAlignment="1">
      <alignment horizontal="left" vertical="center" shrinkToFit="1"/>
    </xf>
    <xf numFmtId="41" fontId="2" fillId="8" borderId="5" xfId="807" applyFont="1" applyFill="1" applyBorder="1" applyAlignment="1">
      <alignment horizontal="center" vertical="center"/>
    </xf>
    <xf numFmtId="0" fontId="2" fillId="8" borderId="28" xfId="826" applyFont="1" applyFill="1" applyBorder="1" applyAlignment="1">
      <alignment horizontal="distributed" vertical="center"/>
    </xf>
    <xf numFmtId="41" fontId="2" fillId="8" borderId="28" xfId="807" applyFont="1" applyFill="1" applyBorder="1" applyAlignment="1">
      <alignment horizontal="center" vertical="center"/>
    </xf>
    <xf numFmtId="49" fontId="2" fillId="8" borderId="14" xfId="807" applyNumberFormat="1" applyFont="1" applyFill="1" applyBorder="1" applyAlignment="1">
      <alignment horizontal="right" vertical="center"/>
    </xf>
    <xf numFmtId="41" fontId="2" fillId="8" borderId="29" xfId="807" applyFont="1" applyFill="1" applyBorder="1" applyAlignment="1">
      <alignment horizontal="center" vertical="center"/>
    </xf>
    <xf numFmtId="0" fontId="2" fillId="8" borderId="0" xfId="826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41" fontId="2" fillId="8" borderId="0" xfId="454" applyFont="1" applyFill="1" applyAlignment="1">
      <alignment horizontal="left" vertical="center"/>
    </xf>
    <xf numFmtId="0" fontId="3" fillId="8" borderId="0" xfId="0" applyFont="1" applyFill="1" applyAlignment="1">
      <alignment horizontal="centerContinuous" vertical="center"/>
    </xf>
    <xf numFmtId="0" fontId="3" fillId="8" borderId="0" xfId="0" applyFont="1" applyFill="1" applyBorder="1" applyAlignment="1">
      <alignment horizontal="centerContinuous" vertical="center"/>
    </xf>
    <xf numFmtId="0" fontId="3" fillId="8" borderId="0" xfId="0" applyFont="1" applyFill="1" applyAlignment="1">
      <alignment horizontal="center" vertical="center"/>
    </xf>
    <xf numFmtId="41" fontId="3" fillId="8" borderId="0" xfId="454" applyFont="1" applyFill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454" applyNumberFormat="1" applyFont="1" applyFill="1" applyBorder="1" applyAlignment="1">
      <alignment horizontal="left" vertical="center"/>
    </xf>
    <xf numFmtId="0" fontId="2" fillId="8" borderId="19" xfId="454" applyNumberFormat="1" applyFont="1" applyFill="1" applyBorder="1" applyAlignment="1">
      <alignment horizontal="distributed" vertical="center"/>
    </xf>
    <xf numFmtId="41" fontId="2" fillId="8" borderId="24" xfId="454" applyFont="1" applyFill="1" applyBorder="1" applyAlignment="1">
      <alignment horizontal="left" vertical="center"/>
    </xf>
    <xf numFmtId="41" fontId="2" fillId="8" borderId="3" xfId="454" applyFont="1" applyFill="1" applyBorder="1" applyAlignment="1">
      <alignment horizontal="left" vertical="center" wrapText="1"/>
    </xf>
    <xf numFmtId="0" fontId="2" fillId="8" borderId="3" xfId="454" applyNumberFormat="1" applyFont="1" applyFill="1" applyBorder="1" applyAlignment="1">
      <alignment horizontal="center" vertical="center" wrapText="1"/>
    </xf>
    <xf numFmtId="41" fontId="2" fillId="8" borderId="3" xfId="454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453" quotePrefix="1" applyNumberFormat="1" applyFont="1" applyFill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centerContinuous" vertical="center"/>
    </xf>
    <xf numFmtId="0" fontId="2" fillId="8" borderId="14" xfId="453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2" fillId="8" borderId="26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 wrapText="1"/>
    </xf>
    <xf numFmtId="0" fontId="2" fillId="8" borderId="0" xfId="835" quotePrefix="1" applyNumberFormat="1" applyFont="1" applyFill="1" applyBorder="1" applyAlignment="1">
      <alignment horizontal="left" vertical="center"/>
    </xf>
    <xf numFmtId="0" fontId="2" fillId="8" borderId="0" xfId="835" applyNumberFormat="1" applyFont="1" applyFill="1" applyAlignment="1">
      <alignment vertical="center"/>
    </xf>
    <xf numFmtId="0" fontId="2" fillId="8" borderId="0" xfId="453" quotePrefix="1" applyNumberFormat="1" applyFont="1" applyFill="1" applyBorder="1" applyAlignment="1">
      <alignment horizontal="left" vertical="center"/>
    </xf>
    <xf numFmtId="0" fontId="2" fillId="8" borderId="0" xfId="453" applyNumberFormat="1" applyFont="1" applyFill="1" applyBorder="1" applyAlignment="1">
      <alignment horizontal="left" vertical="center"/>
    </xf>
    <xf numFmtId="0" fontId="2" fillId="8" borderId="0" xfId="835" applyNumberFormat="1" applyFont="1" applyFill="1" applyBorder="1" applyAlignment="1">
      <alignment horizontal="left" vertical="center"/>
    </xf>
    <xf numFmtId="0" fontId="2" fillId="8" borderId="0" xfId="835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distributed" vertical="center"/>
    </xf>
    <xf numFmtId="0" fontId="2" fillId="8" borderId="28" xfId="453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41" fontId="2" fillId="8" borderId="0" xfId="453" applyFont="1" applyFill="1" applyAlignment="1">
      <alignment horizontal="left" vertical="center"/>
    </xf>
    <xf numFmtId="0" fontId="2" fillId="8" borderId="0" xfId="0" applyFont="1" applyFill="1" applyBorder="1" applyAlignment="1">
      <alignment horizontal="centerContinuous" vertical="center"/>
    </xf>
    <xf numFmtId="0" fontId="2" fillId="8" borderId="0" xfId="0" applyFont="1" applyFill="1" applyAlignment="1">
      <alignment horizontal="centerContinuous" vertical="center"/>
    </xf>
    <xf numFmtId="0" fontId="2" fillId="8" borderId="2" xfId="453" applyNumberFormat="1" applyFont="1" applyFill="1" applyBorder="1" applyAlignment="1">
      <alignment horizontal="left" vertical="center"/>
    </xf>
    <xf numFmtId="0" fontId="2" fillId="8" borderId="19" xfId="453" applyNumberFormat="1" applyFont="1" applyFill="1" applyBorder="1" applyAlignment="1">
      <alignment horizontal="distributed" vertical="center"/>
    </xf>
    <xf numFmtId="41" fontId="2" fillId="8" borderId="24" xfId="453" applyFont="1" applyFill="1" applyBorder="1" applyAlignment="1">
      <alignment horizontal="left" vertical="center"/>
    </xf>
    <xf numFmtId="0" fontId="1" fillId="8" borderId="0" xfId="821" applyNumberFormat="1" applyFont="1" applyFill="1" applyAlignment="1">
      <alignment vertical="center"/>
    </xf>
    <xf numFmtId="0" fontId="1" fillId="8" borderId="0" xfId="821" applyNumberFormat="1" applyFont="1" applyFill="1" applyBorder="1" applyAlignment="1">
      <alignment vertical="center"/>
    </xf>
    <xf numFmtId="0" fontId="3" fillId="8" borderId="0" xfId="820" applyNumberFormat="1" applyFont="1" applyFill="1" applyAlignment="1">
      <alignment horizontal="centerContinuous" vertical="center"/>
    </xf>
    <xf numFmtId="0" fontId="1" fillId="8" borderId="0" xfId="820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" vertical="center"/>
    </xf>
    <xf numFmtId="0" fontId="1" fillId="8" borderId="0" xfId="453" quotePrefix="1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Continuous" vertical="center"/>
    </xf>
    <xf numFmtId="0" fontId="1" fillId="8" borderId="0" xfId="820" applyNumberFormat="1" applyFont="1" applyFill="1" applyAlignment="1">
      <alignment horizontal="left" vertical="center"/>
    </xf>
    <xf numFmtId="0" fontId="1" fillId="8" borderId="0" xfId="820" applyNumberFormat="1" applyFont="1" applyFill="1" applyBorder="1" applyAlignment="1">
      <alignment horizontal="left" vertical="center"/>
    </xf>
    <xf numFmtId="0" fontId="1" fillId="8" borderId="0" xfId="453" applyNumberFormat="1" applyFont="1" applyFill="1" applyBorder="1" applyAlignment="1">
      <alignment horizontal="left" vertical="center"/>
    </xf>
    <xf numFmtId="0" fontId="1" fillId="8" borderId="0" xfId="453" applyNumberFormat="1" applyFont="1" applyFill="1" applyAlignment="1">
      <alignment horizontal="right" vertical="center"/>
    </xf>
    <xf numFmtId="0" fontId="1" fillId="8" borderId="2" xfId="820" applyNumberFormat="1" applyFont="1" applyFill="1" applyBorder="1" applyAlignment="1">
      <alignment vertical="center"/>
    </xf>
    <xf numFmtId="0" fontId="1" fillId="8" borderId="19" xfId="820" applyNumberFormat="1" applyFont="1" applyFill="1" applyBorder="1" applyAlignment="1">
      <alignment horizontal="centerContinuous" vertical="center"/>
    </xf>
    <xf numFmtId="0" fontId="1" fillId="8" borderId="19" xfId="820" applyNumberFormat="1" applyFont="1" applyFill="1" applyBorder="1" applyAlignment="1">
      <alignment horizontal="center" vertical="center"/>
    </xf>
    <xf numFmtId="0" fontId="1" fillId="8" borderId="2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 wrapText="1"/>
    </xf>
    <xf numFmtId="0" fontId="1" fillId="8" borderId="19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/>
    </xf>
    <xf numFmtId="0" fontId="1" fillId="8" borderId="4" xfId="820" applyNumberFormat="1" applyFont="1" applyFill="1" applyBorder="1" applyAlignment="1">
      <alignment vertical="center"/>
    </xf>
    <xf numFmtId="0" fontId="1" fillId="8" borderId="0" xfId="820" applyNumberFormat="1" applyFont="1" applyFill="1" applyBorder="1" applyAlignment="1">
      <alignment horizontal="center" vertical="center"/>
    </xf>
    <xf numFmtId="0" fontId="1" fillId="8" borderId="4" xfId="453" applyNumberFormat="1" applyFont="1" applyFill="1" applyBorder="1" applyAlignment="1">
      <alignment horizontal="centerContinuous" vertical="center"/>
    </xf>
    <xf numFmtId="0" fontId="1" fillId="8" borderId="26" xfId="453" applyNumberFormat="1" applyFont="1" applyFill="1" applyBorder="1" applyAlignment="1">
      <alignment horizontal="centerContinuous" vertical="center"/>
    </xf>
    <xf numFmtId="0" fontId="1" fillId="8" borderId="26" xfId="453" applyNumberFormat="1" applyFont="1" applyFill="1" applyBorder="1" applyAlignment="1">
      <alignment horizontal="center" vertical="center"/>
    </xf>
    <xf numFmtId="0" fontId="1" fillId="8" borderId="4" xfId="820" applyNumberFormat="1" applyFont="1" applyFill="1" applyBorder="1" applyAlignment="1">
      <alignment vertical="center" wrapText="1"/>
    </xf>
    <xf numFmtId="0" fontId="1" fillId="8" borderId="0" xfId="820" applyNumberFormat="1" applyFont="1" applyFill="1" applyBorder="1" applyAlignment="1">
      <alignment horizontal="distributed" vertical="center" wrapText="1"/>
    </xf>
    <xf numFmtId="179" fontId="1" fillId="8" borderId="4" xfId="453" applyNumberFormat="1" applyFont="1" applyFill="1" applyBorder="1" applyAlignment="1">
      <alignment horizontal="center" vertical="center"/>
    </xf>
    <xf numFmtId="179" fontId="1" fillId="8" borderId="26" xfId="453" applyNumberFormat="1" applyFont="1" applyFill="1" applyBorder="1" applyAlignment="1">
      <alignment horizontal="center" vertical="center"/>
    </xf>
    <xf numFmtId="179" fontId="1" fillId="8" borderId="0" xfId="453" applyNumberFormat="1" applyFont="1" applyFill="1" applyBorder="1" applyAlignment="1">
      <alignment horizontal="center" vertical="center"/>
    </xf>
    <xf numFmtId="0" fontId="1" fillId="8" borderId="5" xfId="820" applyNumberFormat="1" applyFont="1" applyFill="1" applyBorder="1" applyAlignment="1">
      <alignment vertical="center" wrapText="1"/>
    </xf>
    <xf numFmtId="0" fontId="1" fillId="8" borderId="28" xfId="820" applyNumberFormat="1" applyFont="1" applyFill="1" applyBorder="1" applyAlignment="1">
      <alignment horizontal="distributed" vertical="center" wrapText="1"/>
    </xf>
    <xf numFmtId="186" fontId="1" fillId="8" borderId="5" xfId="453" applyNumberFormat="1" applyFont="1" applyFill="1" applyBorder="1" applyAlignment="1">
      <alignment horizontal="right" vertical="center"/>
    </xf>
    <xf numFmtId="186" fontId="1" fillId="8" borderId="14" xfId="453" applyNumberFormat="1" applyFont="1" applyFill="1" applyBorder="1" applyAlignment="1">
      <alignment horizontal="center" vertical="center"/>
    </xf>
    <xf numFmtId="179" fontId="1" fillId="8" borderId="28" xfId="453" applyNumberFormat="1" applyFont="1" applyFill="1" applyBorder="1" applyAlignment="1">
      <alignment horizontal="center" vertical="center"/>
    </xf>
    <xf numFmtId="0" fontId="1" fillId="8" borderId="14" xfId="453" applyNumberFormat="1" applyFont="1" applyFill="1" applyBorder="1" applyAlignment="1">
      <alignment horizontal="center" vertical="center"/>
    </xf>
    <xf numFmtId="0" fontId="1" fillId="8" borderId="19" xfId="820" applyNumberFormat="1" applyFont="1" applyFill="1" applyBorder="1" applyAlignment="1">
      <alignment horizontal="distributed" vertical="center"/>
    </xf>
    <xf numFmtId="179" fontId="1" fillId="8" borderId="2" xfId="453" applyNumberFormat="1" applyFont="1" applyFill="1" applyBorder="1" applyAlignment="1">
      <alignment horizontal="right" vertical="center"/>
    </xf>
    <xf numFmtId="179" fontId="1" fillId="8" borderId="3" xfId="453" applyNumberFormat="1" applyFont="1" applyFill="1" applyBorder="1" applyAlignment="1">
      <alignment horizontal="center" vertical="center"/>
    </xf>
    <xf numFmtId="179" fontId="1" fillId="8" borderId="19" xfId="453" applyNumberFormat="1" applyFont="1" applyFill="1" applyBorder="1" applyAlignment="1">
      <alignment horizontal="center" vertical="center"/>
    </xf>
    <xf numFmtId="0" fontId="1" fillId="8" borderId="3" xfId="453" applyNumberFormat="1" applyFont="1" applyFill="1" applyBorder="1" applyAlignment="1">
      <alignment horizontal="center" vertical="center"/>
    </xf>
    <xf numFmtId="0" fontId="1" fillId="8" borderId="0" xfId="835" applyNumberFormat="1" applyFont="1" applyFill="1" applyBorder="1" applyAlignment="1">
      <alignment horizontal="left" vertical="center"/>
    </xf>
    <xf numFmtId="0" fontId="1" fillId="8" borderId="0" xfId="835" quotePrefix="1" applyNumberFormat="1" applyFont="1" applyFill="1" applyBorder="1" applyAlignment="1">
      <alignment horizontal="left" vertical="center"/>
    </xf>
    <xf numFmtId="0" fontId="1" fillId="8" borderId="0" xfId="453" quotePrefix="1" applyNumberFormat="1" applyFont="1" applyFill="1" applyBorder="1" applyAlignment="1">
      <alignment horizontal="left" vertical="center"/>
    </xf>
    <xf numFmtId="186" fontId="1" fillId="8" borderId="26" xfId="453" applyNumberFormat="1" applyFont="1" applyFill="1" applyBorder="1" applyAlignment="1">
      <alignment horizontal="center" vertical="center"/>
    </xf>
    <xf numFmtId="186" fontId="1" fillId="8" borderId="0" xfId="453" applyNumberFormat="1" applyFont="1" applyFill="1" applyBorder="1" applyAlignment="1">
      <alignment horizontal="center" vertical="center"/>
    </xf>
    <xf numFmtId="41" fontId="1" fillId="8" borderId="26" xfId="453" applyFont="1" applyFill="1" applyBorder="1" applyAlignment="1">
      <alignment horizontal="left" vertical="center"/>
    </xf>
    <xf numFmtId="186" fontId="1" fillId="8" borderId="28" xfId="453" applyNumberFormat="1" applyFont="1" applyFill="1" applyBorder="1" applyAlignment="1">
      <alignment horizontal="center" vertical="center"/>
    </xf>
    <xf numFmtId="186" fontId="1" fillId="8" borderId="19" xfId="453" applyNumberFormat="1" applyFont="1" applyFill="1" applyBorder="1" applyAlignment="1">
      <alignment horizontal="center" vertical="center"/>
    </xf>
    <xf numFmtId="0" fontId="3" fillId="8" borderId="0" xfId="453" applyNumberFormat="1" applyFont="1" applyFill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vertical="center"/>
    </xf>
    <xf numFmtId="0" fontId="2" fillId="8" borderId="27" xfId="0" applyNumberFormat="1" applyFont="1" applyFill="1" applyBorder="1" applyAlignment="1">
      <alignment vertical="center"/>
    </xf>
    <xf numFmtId="0" fontId="2" fillId="8" borderId="26" xfId="0" applyNumberFormat="1" applyFont="1" applyFill="1" applyBorder="1" applyAlignment="1">
      <alignment vertical="center"/>
    </xf>
    <xf numFmtId="0" fontId="2" fillId="8" borderId="4" xfId="453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0" fontId="1" fillId="8" borderId="27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shrinkToFit="1"/>
    </xf>
    <xf numFmtId="179" fontId="2" fillId="8" borderId="26" xfId="453" applyNumberFormat="1" applyFont="1" applyFill="1" applyBorder="1" applyAlignment="1">
      <alignment horizontal="center" vertical="center"/>
    </xf>
    <xf numFmtId="0" fontId="1" fillId="8" borderId="0" xfId="453" applyNumberFormat="1" applyFont="1" applyFill="1" applyBorder="1" applyAlignment="1">
      <alignment horizontal="distributed" vertical="center"/>
    </xf>
    <xf numFmtId="0" fontId="1" fillId="8" borderId="27" xfId="453" applyNumberFormat="1" applyFont="1" applyFill="1" applyBorder="1" applyAlignment="1">
      <alignment horizontal="left" vertical="center"/>
    </xf>
    <xf numFmtId="9" fontId="1" fillId="8" borderId="26" xfId="453" applyNumberFormat="1" applyFont="1" applyFill="1" applyBorder="1" applyAlignment="1">
      <alignment horizontal="center" vertical="center"/>
    </xf>
    <xf numFmtId="0" fontId="2" fillId="8" borderId="5" xfId="453" applyNumberFormat="1" applyFont="1" applyFill="1" applyBorder="1" applyAlignment="1">
      <alignment horizontal="left" vertical="center"/>
    </xf>
    <xf numFmtId="179" fontId="2" fillId="8" borderId="14" xfId="453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left" vertical="center"/>
    </xf>
    <xf numFmtId="0" fontId="3" fillId="8" borderId="0" xfId="453" quotePrefix="1" applyNumberFormat="1" applyFont="1" applyFill="1" applyBorder="1" applyAlignment="1">
      <alignment horizontal="centerContinuous" vertical="center"/>
    </xf>
    <xf numFmtId="0" fontId="3" fillId="8" borderId="0" xfId="0" applyNumberFormat="1" applyFont="1" applyFill="1" applyAlignment="1">
      <alignment horizontal="left" vertical="center"/>
    </xf>
    <xf numFmtId="179" fontId="2" fillId="8" borderId="2" xfId="453" applyNumberFormat="1" applyFont="1" applyFill="1" applyBorder="1" applyAlignment="1">
      <alignment horizontal="right" vertical="center"/>
    </xf>
    <xf numFmtId="179" fontId="2" fillId="8" borderId="24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horizontal="left" vertical="center"/>
    </xf>
    <xf numFmtId="0" fontId="1" fillId="8" borderId="24" xfId="453" applyNumberFormat="1" applyFont="1" applyFill="1" applyBorder="1" applyAlignment="1">
      <alignment horizontal="left" vertical="center"/>
    </xf>
    <xf numFmtId="0" fontId="2" fillId="8" borderId="19" xfId="453" applyNumberFormat="1" applyFont="1" applyFill="1" applyBorder="1" applyAlignment="1">
      <alignment vertical="center"/>
    </xf>
    <xf numFmtId="0" fontId="2" fillId="8" borderId="2" xfId="453" applyNumberFormat="1" applyFont="1" applyFill="1" applyBorder="1" applyAlignment="1">
      <alignment vertical="center"/>
    </xf>
    <xf numFmtId="186" fontId="2" fillId="8" borderId="0" xfId="0" applyNumberFormat="1" applyFont="1" applyFill="1" applyAlignment="1">
      <alignment horizontal="right" vertical="center"/>
    </xf>
    <xf numFmtId="183" fontId="2" fillId="8" borderId="2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vertical="center" wrapText="1"/>
    </xf>
    <xf numFmtId="0" fontId="2" fillId="8" borderId="2" xfId="453" applyNumberFormat="1" applyFont="1" applyFill="1" applyBorder="1" applyAlignment="1">
      <alignment vertical="center" wrapText="1"/>
    </xf>
    <xf numFmtId="0" fontId="2" fillId="8" borderId="0" xfId="835" applyNumberFormat="1" applyFont="1" applyFill="1" applyBorder="1" applyAlignment="1">
      <alignment vertical="center"/>
    </xf>
    <xf numFmtId="183" fontId="2" fillId="8" borderId="24" xfId="453" applyNumberFormat="1" applyFont="1" applyFill="1" applyBorder="1" applyAlignment="1">
      <alignment horizontal="right" vertical="center"/>
    </xf>
    <xf numFmtId="183" fontId="2" fillId="8" borderId="19" xfId="453" applyNumberFormat="1" applyFont="1" applyFill="1" applyBorder="1" applyAlignment="1">
      <alignment horizontal="right" vertical="center"/>
    </xf>
    <xf numFmtId="229" fontId="2" fillId="8" borderId="0" xfId="0" applyNumberFormat="1" applyFont="1" applyFill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 wrapText="1"/>
    </xf>
    <xf numFmtId="41" fontId="2" fillId="8" borderId="0" xfId="453" applyFont="1" applyFill="1" applyAlignment="1">
      <alignment horizontal="center" vertical="center"/>
    </xf>
    <xf numFmtId="179" fontId="2" fillId="8" borderId="0" xfId="0" applyNumberFormat="1" applyFont="1" applyFill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5" xfId="823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" vertical="center"/>
    </xf>
    <xf numFmtId="0" fontId="2" fillId="8" borderId="24" xfId="823" applyNumberFormat="1" applyFont="1" applyFill="1" applyBorder="1" applyAlignment="1">
      <alignment horizontal="center" vertical="center"/>
    </xf>
    <xf numFmtId="0" fontId="2" fillId="8" borderId="30" xfId="823" applyNumberFormat="1" applyFont="1" applyFill="1" applyBorder="1" applyAlignment="1">
      <alignment horizontal="center" vertical="center"/>
    </xf>
    <xf numFmtId="0" fontId="2" fillId="8" borderId="3" xfId="823" applyNumberFormat="1" applyFont="1" applyFill="1" applyBorder="1" applyAlignment="1">
      <alignment horizontal="centerContinuous" vertical="center"/>
    </xf>
    <xf numFmtId="179" fontId="2" fillId="8" borderId="26" xfId="806" applyNumberFormat="1" applyFont="1" applyFill="1" applyBorder="1" applyAlignment="1">
      <alignment horizontal="right" vertical="center"/>
    </xf>
    <xf numFmtId="179" fontId="2" fillId="8" borderId="14" xfId="806" applyNumberFormat="1" applyFont="1" applyFill="1" applyBorder="1" applyAlignment="1">
      <alignment horizontal="right" vertical="center"/>
    </xf>
    <xf numFmtId="0" fontId="92" fillId="3" borderId="0" xfId="825" quotePrefix="1" applyNumberFormat="1" applyFont="1" applyFill="1" applyAlignment="1">
      <alignment horizontal="right" vertical="center"/>
    </xf>
    <xf numFmtId="0" fontId="22" fillId="8" borderId="19" xfId="453" applyNumberFormat="1" applyFont="1" applyFill="1" applyBorder="1" applyAlignment="1">
      <alignment horizontal="centerContinuous" vertical="center" wrapText="1"/>
    </xf>
    <xf numFmtId="0" fontId="2" fillId="0" borderId="3" xfId="454" applyNumberFormat="1" applyFont="1" applyFill="1" applyBorder="1" applyAlignment="1">
      <alignment horizontal="left" vertical="center" wrapText="1"/>
    </xf>
    <xf numFmtId="0" fontId="2" fillId="8" borderId="29" xfId="453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0" borderId="4" xfId="453" applyNumberFormat="1" applyFont="1" applyFill="1" applyBorder="1" applyAlignment="1">
      <alignment horizontal="right" vertical="center"/>
    </xf>
    <xf numFmtId="0" fontId="2" fillId="0" borderId="0" xfId="453" applyNumberFormat="1" applyFont="1" applyFill="1" applyBorder="1" applyAlignment="1">
      <alignment horizontal="left" vertical="center"/>
    </xf>
    <xf numFmtId="0" fontId="2" fillId="0" borderId="4" xfId="453" applyNumberFormat="1" applyFont="1" applyFill="1" applyBorder="1" applyAlignment="1">
      <alignment horizontal="center" vertical="center"/>
    </xf>
    <xf numFmtId="0" fontId="2" fillId="0" borderId="0" xfId="453" applyNumberFormat="1" applyFont="1" applyFill="1" applyBorder="1" applyAlignment="1">
      <alignment horizontal="distributed" vertical="center" shrinkToFit="1"/>
    </xf>
    <xf numFmtId="0" fontId="2" fillId="0" borderId="27" xfId="453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7" xfId="453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826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30" xfId="0" applyNumberFormat="1" applyFont="1" applyFill="1" applyBorder="1" applyAlignment="1">
      <alignment horizontal="centerContinuous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30" xfId="0" applyNumberFormat="1" applyFont="1" applyFill="1" applyBorder="1" applyAlignment="1">
      <alignment horizontal="centerContinuous" vertical="center" wrapText="1"/>
    </xf>
    <xf numFmtId="0" fontId="2" fillId="0" borderId="25" xfId="0" applyNumberFormat="1" applyFont="1" applyFill="1" applyBorder="1" applyAlignment="1">
      <alignment horizontal="centerContinuous" vertical="center" wrapText="1"/>
    </xf>
    <xf numFmtId="0" fontId="2" fillId="0" borderId="31" xfId="0" applyNumberFormat="1" applyFont="1" applyFill="1" applyBorder="1" applyAlignment="1">
      <alignment horizontal="centerContinuous" vertical="center" wrapText="1"/>
    </xf>
    <xf numFmtId="0" fontId="2" fillId="0" borderId="30" xfId="453" quotePrefix="1" applyNumberFormat="1" applyFont="1" applyFill="1" applyBorder="1" applyAlignment="1">
      <alignment horizontal="right" vertical="center"/>
    </xf>
    <xf numFmtId="0" fontId="2" fillId="0" borderId="25" xfId="453" applyNumberFormat="1" applyFont="1" applyFill="1" applyBorder="1" applyAlignment="1">
      <alignment horizontal="left" vertical="center"/>
    </xf>
    <xf numFmtId="0" fontId="2" fillId="0" borderId="30" xfId="453" applyNumberFormat="1" applyFont="1" applyFill="1" applyBorder="1" applyAlignment="1">
      <alignment horizontal="center" vertical="center"/>
    </xf>
    <xf numFmtId="0" fontId="2" fillId="0" borderId="25" xfId="453" applyNumberFormat="1" applyFont="1" applyFill="1" applyBorder="1" applyAlignment="1">
      <alignment horizontal="distributed" vertical="center"/>
    </xf>
    <xf numFmtId="0" fontId="2" fillId="0" borderId="31" xfId="453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31" xfId="453" quotePrefix="1" applyNumberFormat="1" applyFont="1" applyFill="1" applyBorder="1" applyAlignment="1">
      <alignment horizontal="left" vertical="center" shrinkToFit="1"/>
    </xf>
    <xf numFmtId="0" fontId="2" fillId="0" borderId="31" xfId="0" applyNumberFormat="1" applyFont="1" applyFill="1" applyBorder="1" applyAlignment="1">
      <alignment horizontal="left" vertical="center" shrinkToFit="1"/>
    </xf>
    <xf numFmtId="0" fontId="2" fillId="0" borderId="0" xfId="453" applyNumberFormat="1" applyFont="1" applyFill="1" applyBorder="1" applyAlignment="1">
      <alignment horizontal="distributed" vertical="center"/>
    </xf>
    <xf numFmtId="0" fontId="2" fillId="0" borderId="27" xfId="453" quotePrefix="1" applyNumberFormat="1" applyFont="1" applyFill="1" applyBorder="1" applyAlignment="1">
      <alignment horizontal="left" vertical="center" shrinkToFit="1"/>
    </xf>
    <xf numFmtId="0" fontId="2" fillId="0" borderId="5" xfId="453" applyNumberFormat="1" applyFont="1" applyFill="1" applyBorder="1" applyAlignment="1">
      <alignment horizontal="right" vertical="center"/>
    </xf>
    <xf numFmtId="0" fontId="2" fillId="0" borderId="28" xfId="453" applyNumberFormat="1" applyFont="1" applyFill="1" applyBorder="1" applyAlignment="1">
      <alignment horizontal="left" vertical="center"/>
    </xf>
    <xf numFmtId="0" fontId="2" fillId="0" borderId="5" xfId="453" applyNumberFormat="1" applyFont="1" applyFill="1" applyBorder="1" applyAlignment="1">
      <alignment horizontal="center" vertical="center"/>
    </xf>
    <xf numFmtId="0" fontId="2" fillId="0" borderId="28" xfId="453" applyNumberFormat="1" applyFont="1" applyFill="1" applyBorder="1" applyAlignment="1">
      <alignment horizontal="distributed" vertical="center"/>
    </xf>
    <xf numFmtId="0" fontId="2" fillId="0" borderId="29" xfId="453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center" shrinkToFit="1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453" quotePrefix="1" applyNumberFormat="1" applyFont="1" applyFill="1" applyBorder="1" applyAlignment="1">
      <alignment horizontal="left" vertical="center" shrinkToFit="1"/>
    </xf>
    <xf numFmtId="0" fontId="2" fillId="0" borderId="4" xfId="453" quotePrefix="1" applyNumberFormat="1" applyFont="1" applyFill="1" applyBorder="1" applyAlignment="1">
      <alignment horizontal="right" vertical="center"/>
    </xf>
    <xf numFmtId="0" fontId="2" fillId="0" borderId="31" xfId="453" applyNumberFormat="1" applyFont="1" applyFill="1" applyBorder="1" applyAlignment="1">
      <alignment horizontal="left" vertical="center" shrinkToFit="1"/>
    </xf>
    <xf numFmtId="0" fontId="2" fillId="0" borderId="29" xfId="453" applyNumberFormat="1" applyFont="1" applyFill="1" applyBorder="1" applyAlignment="1">
      <alignment horizontal="left" vertical="center" shrinkToFit="1"/>
    </xf>
    <xf numFmtId="0" fontId="2" fillId="0" borderId="2" xfId="453" applyNumberFormat="1" applyFont="1" applyFill="1" applyBorder="1" applyAlignment="1">
      <alignment horizontal="centerContinuous" vertical="center"/>
    </xf>
    <xf numFmtId="0" fontId="2" fillId="0" borderId="24" xfId="453" applyNumberFormat="1" applyFont="1" applyFill="1" applyBorder="1" applyAlignment="1">
      <alignment horizontal="centerContinuous" vertical="center"/>
    </xf>
    <xf numFmtId="0" fontId="2" fillId="0" borderId="19" xfId="453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230" fontId="2" fillId="8" borderId="0" xfId="453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453" applyNumberFormat="1" applyFont="1" applyFill="1" applyBorder="1" applyAlignment="1">
      <alignment horizontal="center" vertical="center"/>
    </xf>
    <xf numFmtId="0" fontId="2" fillId="0" borderId="0" xfId="453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2" fillId="0" borderId="2" xfId="453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center" vertical="center"/>
    </xf>
    <xf numFmtId="183" fontId="2" fillId="0" borderId="2" xfId="453" applyNumberFormat="1" applyFont="1" applyFill="1" applyBorder="1" applyAlignment="1">
      <alignment horizontal="right" vertical="center"/>
    </xf>
    <xf numFmtId="183" fontId="2" fillId="0" borderId="24" xfId="453" applyNumberFormat="1" applyFont="1" applyFill="1" applyBorder="1" applyAlignment="1">
      <alignment horizontal="right" vertical="center"/>
    </xf>
    <xf numFmtId="183" fontId="2" fillId="0" borderId="19" xfId="453" applyNumberFormat="1" applyFont="1" applyFill="1" applyBorder="1" applyAlignment="1">
      <alignment horizontal="right" vertical="center"/>
    </xf>
    <xf numFmtId="0" fontId="2" fillId="0" borderId="19" xfId="453" applyNumberFormat="1" applyFont="1" applyFill="1" applyBorder="1" applyAlignment="1">
      <alignment horizontal="left" vertical="center"/>
    </xf>
    <xf numFmtId="0" fontId="2" fillId="0" borderId="2" xfId="453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2" fillId="0" borderId="19" xfId="453" applyNumberFormat="1" applyFont="1" applyFill="1" applyBorder="1" applyAlignment="1">
      <alignment vertical="center"/>
    </xf>
    <xf numFmtId="0" fontId="2" fillId="0" borderId="2" xfId="453" applyNumberFormat="1" applyFont="1" applyFill="1" applyBorder="1" applyAlignment="1">
      <alignment vertical="center"/>
    </xf>
    <xf numFmtId="179" fontId="2" fillId="0" borderId="2" xfId="453" applyNumberFormat="1" applyFont="1" applyFill="1" applyBorder="1" applyAlignment="1">
      <alignment horizontal="right" vertical="center"/>
    </xf>
    <xf numFmtId="179" fontId="2" fillId="0" borderId="24" xfId="453" applyNumberFormat="1" applyFont="1" applyFill="1" applyBorder="1" applyAlignment="1">
      <alignment horizontal="right" vertical="center"/>
    </xf>
    <xf numFmtId="179" fontId="2" fillId="0" borderId="19" xfId="453" applyNumberFormat="1" applyFont="1" applyFill="1" applyBorder="1" applyAlignment="1">
      <alignment horizontal="right" vertical="center"/>
    </xf>
    <xf numFmtId="0" fontId="2" fillId="0" borderId="19" xfId="453" applyNumberFormat="1" applyFont="1" applyFill="1" applyBorder="1" applyAlignment="1">
      <alignment vertical="center" wrapText="1"/>
    </xf>
    <xf numFmtId="0" fontId="2" fillId="0" borderId="2" xfId="453" applyNumberFormat="1" applyFont="1" applyFill="1" applyBorder="1" applyAlignment="1">
      <alignment vertical="center" wrapText="1"/>
    </xf>
    <xf numFmtId="0" fontId="2" fillId="0" borderId="19" xfId="453" applyNumberFormat="1" applyFont="1" applyFill="1" applyBorder="1" applyAlignment="1">
      <alignment horizontal="center" vertical="center"/>
    </xf>
    <xf numFmtId="0" fontId="2" fillId="0" borderId="0" xfId="835" quotePrefix="1" applyNumberFormat="1" applyFont="1" applyFill="1" applyBorder="1" applyAlignment="1">
      <alignment horizontal="left" vertical="center"/>
    </xf>
    <xf numFmtId="0" fontId="2" fillId="0" borderId="0" xfId="453" quotePrefix="1" applyNumberFormat="1" applyFont="1" applyFill="1" applyBorder="1" applyAlignment="1">
      <alignment horizontal="left" vertical="center"/>
    </xf>
    <xf numFmtId="0" fontId="2" fillId="0" borderId="0" xfId="835" applyNumberFormat="1" applyFont="1" applyFill="1" applyAlignment="1">
      <alignment vertical="center"/>
    </xf>
    <xf numFmtId="0" fontId="2" fillId="0" borderId="0" xfId="835" applyNumberFormat="1" applyFont="1" applyFill="1" applyAlignment="1">
      <alignment horizontal="left" vertical="center"/>
    </xf>
    <xf numFmtId="0" fontId="2" fillId="0" borderId="0" xfId="835" applyNumberFormat="1" applyFont="1" applyFill="1" applyBorder="1" applyAlignment="1">
      <alignment horizontal="left" vertical="center"/>
    </xf>
    <xf numFmtId="0" fontId="2" fillId="0" borderId="0" xfId="835" applyNumberFormat="1" applyFont="1" applyFill="1" applyBorder="1" applyAlignment="1">
      <alignment vertical="center"/>
    </xf>
    <xf numFmtId="0" fontId="2" fillId="0" borderId="0" xfId="453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2" fillId="0" borderId="0" xfId="453" applyNumberFormat="1" applyFont="1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" fillId="0" borderId="24" xfId="453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distributed" vertical="center"/>
    </xf>
    <xf numFmtId="183" fontId="1" fillId="0" borderId="2" xfId="453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9" borderId="0" xfId="806" applyNumberFormat="1" applyFont="1" applyFill="1" applyAlignment="1">
      <alignment vertical="center"/>
    </xf>
    <xf numFmtId="0" fontId="3" fillId="9" borderId="0" xfId="806" applyNumberFormat="1" applyFont="1" applyFill="1" applyAlignment="1">
      <alignment horizontal="centerContinuous" vertical="center"/>
    </xf>
    <xf numFmtId="0" fontId="2" fillId="9" borderId="0" xfId="806" applyNumberFormat="1" applyFont="1" applyFill="1" applyAlignment="1">
      <alignment horizontal="centerContinuous" vertical="center"/>
    </xf>
    <xf numFmtId="0" fontId="2" fillId="9" borderId="2" xfId="823" applyNumberFormat="1" applyFont="1" applyFill="1" applyBorder="1" applyAlignment="1">
      <alignment horizontal="centerContinuous" vertical="center"/>
    </xf>
    <xf numFmtId="0" fontId="2" fillId="9" borderId="4" xfId="823" applyNumberFormat="1" applyFont="1" applyFill="1" applyBorder="1" applyAlignment="1">
      <alignment horizontal="centerContinuous" vertical="center"/>
    </xf>
    <xf numFmtId="179" fontId="2" fillId="9" borderId="4" xfId="806" applyNumberFormat="1" applyFont="1" applyFill="1" applyBorder="1" applyAlignment="1">
      <alignment horizontal="right" vertical="center"/>
    </xf>
    <xf numFmtId="179" fontId="2" fillId="9" borderId="5" xfId="806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453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453" applyNumberFormat="1" applyFont="1" applyFill="1" applyBorder="1" applyAlignment="1">
      <alignment horizontal="center" vertical="center"/>
    </xf>
    <xf numFmtId="0" fontId="2" fillId="0" borderId="31" xfId="826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453" applyNumberFormat="1" applyFont="1" applyFill="1" applyBorder="1" applyAlignment="1">
      <alignment horizontal="center" vertical="center"/>
    </xf>
    <xf numFmtId="0" fontId="2" fillId="0" borderId="27" xfId="826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27" xfId="0" applyNumberFormat="1" applyFont="1" applyFill="1" applyBorder="1" applyAlignment="1">
      <alignment horizontal="left" vertical="center"/>
    </xf>
    <xf numFmtId="179" fontId="2" fillId="0" borderId="26" xfId="0" applyNumberFormat="1" applyFont="1" applyFill="1" applyBorder="1" applyAlignment="1">
      <alignment horizontal="right" vertical="center" shrinkToFit="1"/>
    </xf>
    <xf numFmtId="179" fontId="2" fillId="0" borderId="27" xfId="453" applyNumberFormat="1" applyFont="1" applyFill="1" applyBorder="1" applyAlignment="1">
      <alignment horizontal="right" vertical="center" shrinkToFit="1"/>
    </xf>
    <xf numFmtId="179" fontId="2" fillId="0" borderId="26" xfId="453" applyNumberFormat="1" applyFont="1" applyFill="1" applyBorder="1" applyAlignment="1">
      <alignment horizontal="right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distributed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right" vertical="center" shrinkToFit="1"/>
    </xf>
    <xf numFmtId="179" fontId="2" fillId="0" borderId="29" xfId="0" applyNumberFormat="1" applyFont="1" applyFill="1" applyBorder="1" applyAlignment="1">
      <alignment horizontal="right" vertical="center" shrinkToFit="1"/>
    </xf>
    <xf numFmtId="186" fontId="2" fillId="0" borderId="29" xfId="453" applyNumberFormat="1" applyFont="1" applyFill="1" applyBorder="1" applyAlignment="1">
      <alignment horizontal="right" vertical="center" shrinkToFit="1"/>
    </xf>
    <xf numFmtId="179" fontId="2" fillId="0" borderId="14" xfId="453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right" vertical="center" shrinkToFit="1"/>
    </xf>
    <xf numFmtId="179" fontId="2" fillId="0" borderId="3" xfId="453" applyNumberFormat="1" applyFont="1" applyFill="1" applyBorder="1" applyAlignment="1">
      <alignment horizontal="right" vertical="center" shrinkToFit="1"/>
    </xf>
    <xf numFmtId="179" fontId="2" fillId="0" borderId="24" xfId="453" applyNumberFormat="1" applyFont="1" applyFill="1" applyBorder="1" applyAlignment="1">
      <alignment horizontal="right" vertical="center" shrinkToFi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835" quotePrefix="1" applyNumberFormat="1" applyFont="1" applyFill="1" applyAlignment="1">
      <alignment horizontal="left" vertical="center"/>
    </xf>
    <xf numFmtId="0" fontId="2" fillId="0" borderId="0" xfId="453" applyNumberFormat="1" applyFont="1" applyFill="1" applyAlignment="1">
      <alignment vertical="center"/>
    </xf>
    <xf numFmtId="0" fontId="2" fillId="0" borderId="0" xfId="453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826" applyNumberFormat="1" applyFont="1" applyFill="1" applyBorder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centerContinuous" vertical="center"/>
    </xf>
    <xf numFmtId="0" fontId="3" fillId="0" borderId="0" xfId="0" quotePrefix="1" applyNumberFormat="1" applyFont="1" applyFill="1" applyAlignment="1">
      <alignment horizontal="centerContinuous" vertical="center"/>
    </xf>
    <xf numFmtId="0" fontId="3" fillId="0" borderId="0" xfId="453" applyNumberFormat="1" applyFont="1" applyFill="1" applyAlignment="1">
      <alignment horizontal="centerContinuous" vertical="center"/>
    </xf>
    <xf numFmtId="0" fontId="3" fillId="0" borderId="0" xfId="453" quotePrefix="1" applyNumberFormat="1" applyFont="1" applyFill="1" applyAlignment="1">
      <alignment horizontal="centerContinuous" vertical="center"/>
    </xf>
    <xf numFmtId="186" fontId="2" fillId="0" borderId="29" xfId="453" applyNumberFormat="1" applyFont="1" applyFill="1" applyBorder="1" applyAlignment="1">
      <alignment horizontal="center" vertical="center" shrinkToFit="1"/>
    </xf>
    <xf numFmtId="0" fontId="3" fillId="0" borderId="0" xfId="453" applyNumberFormat="1" applyFont="1" applyFill="1" applyBorder="1" applyAlignment="1">
      <alignment horizontal="centerContinuous" vertical="center"/>
    </xf>
    <xf numFmtId="0" fontId="3" fillId="0" borderId="0" xfId="453" quotePrefix="1" applyNumberFormat="1" applyFont="1" applyFill="1" applyBorder="1" applyAlignment="1">
      <alignment horizontal="centerContinuous" vertical="center"/>
    </xf>
    <xf numFmtId="0" fontId="2" fillId="0" borderId="0" xfId="0" quotePrefix="1" applyNumberFormat="1" applyFont="1" applyFill="1" applyAlignment="1">
      <alignment horizontal="centerContinuous" vertical="center"/>
    </xf>
    <xf numFmtId="0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453" applyNumberFormat="1" applyFont="1" applyFill="1" applyBorder="1" applyAlignment="1">
      <alignment horizontal="centerContinuous" vertical="center"/>
    </xf>
    <xf numFmtId="0" fontId="2" fillId="0" borderId="0" xfId="453" applyNumberFormat="1" applyFont="1" applyFill="1" applyAlignment="1">
      <alignment horizontal="centerContinuous" vertical="center"/>
    </xf>
    <xf numFmtId="0" fontId="2" fillId="0" borderId="0" xfId="453" quotePrefix="1" applyNumberFormat="1" applyFont="1" applyFill="1" applyBorder="1" applyAlignment="1">
      <alignment horizontal="centerContinuous" vertical="center"/>
    </xf>
    <xf numFmtId="0" fontId="2" fillId="0" borderId="0" xfId="453" quotePrefix="1" applyNumberFormat="1" applyFont="1" applyFill="1" applyAlignment="1">
      <alignment horizontal="centerContinuous" vertical="center"/>
    </xf>
    <xf numFmtId="0" fontId="2" fillId="0" borderId="30" xfId="834" applyNumberFormat="1" applyFont="1" applyFill="1" applyBorder="1" applyAlignment="1">
      <alignment horizontal="center" vertical="center"/>
    </xf>
    <xf numFmtId="0" fontId="2" fillId="0" borderId="25" xfId="834" applyNumberFormat="1" applyFont="1" applyFill="1" applyBorder="1" applyAlignment="1">
      <alignment horizontal="center" vertical="center"/>
    </xf>
    <xf numFmtId="0" fontId="2" fillId="0" borderId="25" xfId="834" applyNumberFormat="1" applyFont="1" applyFill="1" applyBorder="1" applyAlignment="1">
      <alignment horizontal="right" vertical="center"/>
    </xf>
    <xf numFmtId="0" fontId="2" fillId="0" borderId="5" xfId="834" applyNumberFormat="1" applyFont="1" applyFill="1" applyBorder="1" applyAlignment="1">
      <alignment horizontal="left" vertical="center"/>
    </xf>
    <xf numFmtId="0" fontId="2" fillId="0" borderId="28" xfId="834" applyNumberFormat="1" applyFont="1" applyFill="1" applyBorder="1" applyAlignment="1">
      <alignment horizontal="left" vertical="center"/>
    </xf>
    <xf numFmtId="0" fontId="2" fillId="0" borderId="28" xfId="834" applyNumberFormat="1" applyFont="1" applyFill="1" applyBorder="1" applyAlignment="1">
      <alignment vertical="center"/>
    </xf>
    <xf numFmtId="0" fontId="2" fillId="0" borderId="19" xfId="453" applyNumberFormat="1" applyFont="1" applyFill="1" applyBorder="1" applyAlignment="1">
      <alignment horizontal="right" vertical="center"/>
    </xf>
    <xf numFmtId="0" fontId="2" fillId="0" borderId="19" xfId="0" quotePrefix="1" applyNumberFormat="1" applyFont="1" applyFill="1" applyBorder="1" applyAlignment="1">
      <alignment horizontal="distributed" vertical="center"/>
    </xf>
    <xf numFmtId="0" fontId="2" fillId="0" borderId="19" xfId="0" quotePrefix="1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85" fontId="2" fillId="0" borderId="2" xfId="0" applyNumberFormat="1" applyFont="1" applyFill="1" applyBorder="1" applyAlignment="1">
      <alignment horizontal="right" vertical="center"/>
    </xf>
    <xf numFmtId="41" fontId="2" fillId="0" borderId="0" xfId="453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28" xfId="0" quotePrefix="1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19" xfId="0" quotePrefix="1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179" fontId="1" fillId="0" borderId="2" xfId="453" applyNumberFormat="1" applyFont="1" applyFill="1" applyBorder="1" applyAlignment="1">
      <alignment horizontal="right" vertical="center"/>
    </xf>
    <xf numFmtId="179" fontId="1" fillId="0" borderId="24" xfId="453" applyNumberFormat="1" applyFont="1" applyFill="1" applyBorder="1" applyAlignment="1">
      <alignment horizontal="right" vertical="center"/>
    </xf>
    <xf numFmtId="185" fontId="1" fillId="0" borderId="2" xfId="0" applyNumberFormat="1" applyFont="1" applyFill="1" applyBorder="1" applyAlignment="1">
      <alignment horizontal="right" vertical="center"/>
    </xf>
    <xf numFmtId="0" fontId="1" fillId="0" borderId="19" xfId="453" applyNumberFormat="1" applyFont="1" applyFill="1" applyBorder="1" applyAlignment="1">
      <alignment horizontal="right" vertical="center"/>
    </xf>
    <xf numFmtId="0" fontId="2" fillId="0" borderId="25" xfId="453" applyNumberFormat="1" applyFont="1" applyFill="1" applyBorder="1" applyAlignment="1">
      <alignment horizontal="center" vertical="center"/>
    </xf>
    <xf numFmtId="0" fontId="2" fillId="0" borderId="28" xfId="453" applyNumberFormat="1" applyFont="1" applyFill="1" applyBorder="1" applyAlignment="1">
      <alignment horizontal="center" vertical="center"/>
    </xf>
    <xf numFmtId="0" fontId="2" fillId="0" borderId="15" xfId="453" applyNumberFormat="1" applyFont="1" applyFill="1" applyBorder="1" applyAlignment="1">
      <alignment horizontal="center" shrinkToFit="1"/>
    </xf>
    <xf numFmtId="0" fontId="2" fillId="0" borderId="14" xfId="453" applyNumberFormat="1" applyFont="1" applyFill="1" applyBorder="1" applyAlignment="1">
      <alignment horizontal="center" vertical="top" shrinkToFit="1"/>
    </xf>
    <xf numFmtId="179" fontId="2" fillId="0" borderId="3" xfId="453" applyNumberFormat="1" applyFont="1" applyFill="1" applyBorder="1" applyAlignment="1">
      <alignment horizontal="right" vertical="center"/>
    </xf>
    <xf numFmtId="0" fontId="2" fillId="0" borderId="0" xfId="833" applyNumberFormat="1" applyFont="1" applyFill="1" applyAlignment="1">
      <alignment vertical="center"/>
    </xf>
    <xf numFmtId="0" fontId="2" fillId="0" borderId="0" xfId="806" applyNumberFormat="1" applyFont="1" applyFill="1" applyAlignment="1">
      <alignment vertical="center"/>
    </xf>
    <xf numFmtId="0" fontId="3" fillId="0" borderId="0" xfId="833" applyNumberFormat="1" applyFont="1" applyFill="1" applyAlignment="1">
      <alignment horizontal="centerContinuous" vertical="center"/>
    </xf>
    <xf numFmtId="0" fontId="3" fillId="0" borderId="0" xfId="806" applyNumberFormat="1" applyFont="1" applyFill="1" applyAlignment="1">
      <alignment horizontal="centerContinuous" vertical="center"/>
    </xf>
    <xf numFmtId="0" fontId="3" fillId="0" borderId="0" xfId="833" applyNumberFormat="1" applyFont="1" applyFill="1" applyAlignment="1">
      <alignment vertical="center"/>
    </xf>
    <xf numFmtId="0" fontId="2" fillId="0" borderId="0" xfId="806" applyNumberFormat="1" applyFont="1" applyFill="1" applyAlignment="1">
      <alignment horizontal="centerContinuous" vertical="center"/>
    </xf>
    <xf numFmtId="0" fontId="2" fillId="0" borderId="0" xfId="833" applyNumberFormat="1" applyFont="1" applyFill="1" applyAlignment="1">
      <alignment horizontal="centerContinuous" vertical="center"/>
    </xf>
    <xf numFmtId="0" fontId="2" fillId="0" borderId="0" xfId="833" applyNumberFormat="1" applyFont="1" applyFill="1" applyAlignment="1">
      <alignment horizontal="left" vertical="center"/>
    </xf>
    <xf numFmtId="0" fontId="2" fillId="0" borderId="0" xfId="455" applyNumberFormat="1" applyFont="1" applyFill="1" applyAlignment="1">
      <alignment horizontal="right" vertical="center"/>
    </xf>
    <xf numFmtId="0" fontId="2" fillId="0" borderId="15" xfId="823" applyNumberFormat="1" applyFont="1" applyFill="1" applyBorder="1" applyAlignment="1">
      <alignment horizontal="center" shrinkToFit="1"/>
    </xf>
    <xf numFmtId="0" fontId="2" fillId="0" borderId="26" xfId="823" applyNumberFormat="1" applyFont="1" applyFill="1" applyBorder="1" applyAlignment="1">
      <alignment horizontal="center" vertical="top" shrinkToFit="1"/>
    </xf>
    <xf numFmtId="0" fontId="2" fillId="0" borderId="2" xfId="833" applyNumberFormat="1" applyFont="1" applyFill="1" applyBorder="1" applyAlignment="1">
      <alignment horizontal="centerContinuous" vertical="center"/>
    </xf>
    <xf numFmtId="0" fontId="2" fillId="0" borderId="19" xfId="832" applyNumberFormat="1" applyFont="1" applyFill="1" applyBorder="1" applyAlignment="1">
      <alignment horizontal="distributed" vertical="center"/>
    </xf>
    <xf numFmtId="0" fontId="2" fillId="0" borderId="24" xfId="833" applyNumberFormat="1" applyFont="1" applyFill="1" applyBorder="1" applyAlignment="1">
      <alignment horizontal="centerContinuous" vertical="center"/>
    </xf>
    <xf numFmtId="179" fontId="2" fillId="0" borderId="3" xfId="806" applyNumberFormat="1" applyFont="1" applyFill="1" applyBorder="1" applyAlignment="1">
      <alignment horizontal="right" vertical="center"/>
    </xf>
    <xf numFmtId="0" fontId="2" fillId="0" borderId="31" xfId="806" applyNumberFormat="1" applyFont="1" applyFill="1" applyBorder="1" applyAlignment="1">
      <alignment horizontal="center" vertical="center"/>
    </xf>
    <xf numFmtId="0" fontId="2" fillId="0" borderId="27" xfId="806" applyNumberFormat="1" applyFont="1" applyFill="1" applyBorder="1" applyAlignment="1">
      <alignment horizontal="center" vertical="center"/>
    </xf>
    <xf numFmtId="0" fontId="2" fillId="0" borderId="29" xfId="806" applyNumberFormat="1" applyFont="1" applyFill="1" applyBorder="1" applyAlignment="1">
      <alignment horizontal="center" vertical="center"/>
    </xf>
    <xf numFmtId="0" fontId="2" fillId="0" borderId="19" xfId="832" applyNumberFormat="1" applyFont="1" applyFill="1" applyBorder="1" applyAlignment="1">
      <alignment horizontal="center" vertical="center"/>
    </xf>
    <xf numFmtId="0" fontId="2" fillId="0" borderId="19" xfId="833" applyNumberFormat="1" applyFont="1" applyFill="1" applyBorder="1" applyAlignment="1">
      <alignment horizontal="centerContinuous" vertical="center"/>
    </xf>
    <xf numFmtId="0" fontId="2" fillId="0" borderId="15" xfId="806" applyNumberFormat="1" applyFont="1" applyFill="1" applyBorder="1" applyAlignment="1">
      <alignment horizontal="center" vertical="center"/>
    </xf>
    <xf numFmtId="0" fontId="2" fillId="0" borderId="26" xfId="806" applyNumberFormat="1" applyFont="1" applyFill="1" applyBorder="1" applyAlignment="1">
      <alignment horizontal="center" vertical="center"/>
    </xf>
    <xf numFmtId="0" fontId="2" fillId="0" borderId="2" xfId="806" applyNumberFormat="1" applyFont="1" applyFill="1" applyBorder="1" applyAlignment="1">
      <alignment horizontal="centerContinuous" vertical="center"/>
    </xf>
    <xf numFmtId="0" fontId="2" fillId="0" borderId="24" xfId="806" applyNumberFormat="1" applyFont="1" applyFill="1" applyBorder="1" applyAlignment="1">
      <alignment horizontal="center" vertical="center"/>
    </xf>
    <xf numFmtId="0" fontId="2" fillId="0" borderId="0" xfId="833" applyNumberFormat="1" applyFont="1" applyFill="1" applyBorder="1" applyAlignment="1">
      <alignment horizontal="left" vertical="center"/>
    </xf>
    <xf numFmtId="41" fontId="2" fillId="3" borderId="0" xfId="0" applyNumberFormat="1" applyFont="1" applyFill="1" applyAlignment="1">
      <alignment vertical="center"/>
    </xf>
    <xf numFmtId="183" fontId="2" fillId="0" borderId="0" xfId="453" applyNumberFormat="1" applyFont="1" applyFill="1" applyAlignment="1">
      <alignment horizontal="center" vertical="center"/>
    </xf>
    <xf numFmtId="183" fontId="3" fillId="0" borderId="0" xfId="0" applyNumberFormat="1" applyFont="1" applyFill="1" applyAlignment="1">
      <alignment horizontal="centerContinuous" vertical="center"/>
    </xf>
    <xf numFmtId="183" fontId="2" fillId="0" borderId="0" xfId="0" applyNumberFormat="1" applyFont="1" applyFill="1" applyAlignment="1">
      <alignment horizontal="centerContinuous" vertical="center"/>
    </xf>
    <xf numFmtId="183" fontId="2" fillId="0" borderId="0" xfId="0" applyNumberFormat="1" applyFont="1" applyFill="1" applyAlignment="1">
      <alignment horizontal="right" vertical="center"/>
    </xf>
    <xf numFmtId="183" fontId="2" fillId="0" borderId="24" xfId="0" applyNumberFormat="1" applyFont="1" applyFill="1" applyBorder="1" applyAlignment="1">
      <alignment horizontal="center" vertical="center"/>
    </xf>
    <xf numFmtId="183" fontId="2" fillId="0" borderId="24" xfId="453" applyNumberFormat="1" applyFont="1" applyFill="1" applyBorder="1" applyAlignment="1">
      <alignment horizontal="left" vertical="center"/>
    </xf>
    <xf numFmtId="183" fontId="1" fillId="0" borderId="24" xfId="453" applyNumberFormat="1" applyFont="1" applyFill="1" applyBorder="1" applyAlignment="1">
      <alignment horizontal="left" vertical="center"/>
    </xf>
    <xf numFmtId="183" fontId="2" fillId="0" borderId="0" xfId="0" applyNumberFormat="1" applyFont="1" applyFill="1" applyAlignment="1">
      <alignment horizontal="center" vertical="center"/>
    </xf>
    <xf numFmtId="179" fontId="94" fillId="8" borderId="26" xfId="453" applyNumberFormat="1" applyFont="1" applyFill="1" applyBorder="1" applyAlignment="1">
      <alignment horizontal="right" vertical="center"/>
    </xf>
    <xf numFmtId="183" fontId="95" fillId="0" borderId="24" xfId="0" applyNumberFormat="1" applyFont="1" applyFill="1" applyBorder="1" applyAlignment="1">
      <alignment horizontal="center" vertical="center"/>
    </xf>
    <xf numFmtId="183" fontId="95" fillId="0" borderId="24" xfId="453" applyNumberFormat="1" applyFont="1" applyFill="1" applyBorder="1" applyAlignment="1">
      <alignment horizontal="left" vertical="center"/>
    </xf>
    <xf numFmtId="0" fontId="95" fillId="0" borderId="19" xfId="453" applyNumberFormat="1" applyFont="1" applyFill="1" applyBorder="1" applyAlignment="1">
      <alignment horizontal="right" vertical="center"/>
    </xf>
    <xf numFmtId="183" fontId="0" fillId="0" borderId="24" xfId="453" applyNumberFormat="1" applyFont="1" applyFill="1" applyBorder="1" applyAlignment="1">
      <alignment horizontal="left" vertical="center"/>
    </xf>
    <xf numFmtId="0" fontId="0" fillId="3" borderId="0" xfId="0" applyNumberFormat="1" applyFill="1" applyAlignment="1">
      <alignment vertical="center"/>
    </xf>
    <xf numFmtId="0" fontId="0" fillId="3" borderId="0" xfId="835" applyNumberFormat="1" applyFont="1" applyFill="1" applyBorder="1" applyAlignment="1">
      <alignment horizontal="left" vertical="center"/>
    </xf>
    <xf numFmtId="0" fontId="0" fillId="8" borderId="0" xfId="0" applyNumberFormat="1" applyFill="1" applyBorder="1" applyAlignment="1">
      <alignment horizontal="distributed" vertical="center"/>
    </xf>
    <xf numFmtId="0" fontId="0" fillId="8" borderId="0" xfId="0" applyNumberFormat="1" applyFill="1" applyBorder="1" applyAlignment="1">
      <alignment horizontal="distributed" vertical="center" shrinkToFit="1"/>
    </xf>
    <xf numFmtId="0" fontId="0" fillId="8" borderId="26" xfId="453" applyNumberFormat="1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27" xfId="453" applyNumberFormat="1" applyFont="1" applyFill="1" applyBorder="1" applyAlignment="1">
      <alignment horizontal="left" vertical="center" shrinkToFit="1"/>
    </xf>
    <xf numFmtId="179" fontId="96" fillId="0" borderId="2" xfId="453" applyNumberFormat="1" applyFont="1" applyFill="1" applyBorder="1" applyAlignment="1">
      <alignment horizontal="right" vertical="center"/>
    </xf>
    <xf numFmtId="185" fontId="1" fillId="8" borderId="26" xfId="453" applyNumberFormat="1" applyFont="1" applyFill="1" applyBorder="1" applyAlignment="1">
      <alignment horizontal="center" vertical="center"/>
    </xf>
    <xf numFmtId="185" fontId="1" fillId="8" borderId="4" xfId="45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1" fontId="1" fillId="0" borderId="3" xfId="454" applyFont="1" applyFill="1" applyBorder="1" applyAlignment="1">
      <alignment horizontal="left" vertical="center" wrapText="1"/>
    </xf>
    <xf numFmtId="232" fontId="2" fillId="0" borderId="27" xfId="453" applyNumberFormat="1" applyFont="1" applyFill="1" applyBorder="1" applyAlignment="1">
      <alignment horizontal="right" vertical="center" shrinkToFit="1"/>
    </xf>
    <xf numFmtId="0" fontId="0" fillId="0" borderId="30" xfId="453" quotePrefix="1" applyNumberFormat="1" applyFont="1" applyFill="1" applyBorder="1" applyAlignment="1">
      <alignment horizontal="right" vertical="center"/>
    </xf>
    <xf numFmtId="0" fontId="0" fillId="0" borderId="4" xfId="453" quotePrefix="1" applyNumberFormat="1" applyFont="1" applyFill="1" applyBorder="1" applyAlignment="1">
      <alignment horizontal="right" vertical="center"/>
    </xf>
    <xf numFmtId="0" fontId="0" fillId="0" borderId="25" xfId="453" applyNumberFormat="1" applyFont="1" applyFill="1" applyBorder="1" applyAlignment="1">
      <alignment horizontal="left" vertical="center"/>
    </xf>
    <xf numFmtId="0" fontId="0" fillId="0" borderId="28" xfId="453" applyNumberFormat="1" applyFont="1" applyFill="1" applyBorder="1" applyAlignment="1">
      <alignment horizontal="left" vertical="center"/>
    </xf>
    <xf numFmtId="0" fontId="0" fillId="0" borderId="0" xfId="453" applyNumberFormat="1" applyFont="1" applyFill="1" applyBorder="1" applyAlignment="1">
      <alignment horizontal="left" vertical="center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453" applyNumberFormat="1" applyFont="1" applyFill="1" applyBorder="1" applyAlignment="1">
      <alignment horizontal="left" vertical="center" shrinkToFit="1"/>
    </xf>
    <xf numFmtId="0" fontId="0" fillId="3" borderId="25" xfId="453" applyNumberFormat="1" applyFont="1" applyFill="1" applyBorder="1" applyAlignment="1">
      <alignment horizontal="distributed" vertical="center"/>
    </xf>
    <xf numFmtId="0" fontId="0" fillId="3" borderId="28" xfId="453" applyNumberFormat="1" applyFont="1" applyFill="1" applyBorder="1" applyAlignment="1">
      <alignment horizontal="distributed" vertical="center"/>
    </xf>
    <xf numFmtId="0" fontId="0" fillId="8" borderId="14" xfId="0" applyNumberFormat="1" applyFill="1" applyBorder="1" applyAlignment="1">
      <alignment vertical="center"/>
    </xf>
    <xf numFmtId="0" fontId="0" fillId="3" borderId="15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vertical="center" wrapText="1"/>
    </xf>
    <xf numFmtId="0" fontId="2" fillId="3" borderId="19" xfId="0" applyNumberFormat="1" applyFont="1" applyFill="1" applyBorder="1" applyAlignment="1">
      <alignment vertical="center"/>
    </xf>
    <xf numFmtId="0" fontId="0" fillId="3" borderId="19" xfId="453" applyNumberFormat="1" applyFont="1" applyFill="1" applyBorder="1" applyAlignment="1">
      <alignment horizontal="distributed" vertical="center"/>
    </xf>
    <xf numFmtId="0" fontId="2" fillId="3" borderId="2" xfId="453" applyNumberFormat="1" applyFont="1" applyFill="1" applyBorder="1" applyAlignment="1">
      <alignment horizontal="distributed" vertical="center"/>
    </xf>
    <xf numFmtId="0" fontId="2" fillId="3" borderId="24" xfId="453" applyNumberFormat="1" applyFont="1" applyFill="1" applyBorder="1" applyAlignment="1">
      <alignment vertical="center"/>
    </xf>
    <xf numFmtId="41" fontId="0" fillId="8" borderId="3" xfId="454" applyFont="1" applyFill="1" applyBorder="1" applyAlignment="1">
      <alignment horizontal="left" vertical="center" wrapText="1"/>
    </xf>
    <xf numFmtId="41" fontId="0" fillId="0" borderId="3" xfId="454" applyFont="1" applyFill="1" applyBorder="1" applyAlignment="1">
      <alignment horizontal="left" vertical="center" wrapText="1"/>
    </xf>
    <xf numFmtId="10" fontId="0" fillId="0" borderId="0" xfId="0" applyNumberFormat="1" applyFont="1" applyFill="1" applyAlignment="1">
      <alignment horizontal="center" vertical="center"/>
    </xf>
    <xf numFmtId="41" fontId="0" fillId="0" borderId="0" xfId="453" applyFont="1" applyFill="1" applyAlignment="1">
      <alignment horizontal="left" vertical="center"/>
    </xf>
    <xf numFmtId="179" fontId="96" fillId="0" borderId="26" xfId="453" applyNumberFormat="1" applyFont="1" applyFill="1" applyBorder="1" applyAlignment="1">
      <alignment horizontal="center" vertical="center"/>
    </xf>
    <xf numFmtId="179" fontId="96" fillId="0" borderId="26" xfId="453" applyNumberFormat="1" applyFont="1" applyFill="1" applyBorder="1" applyAlignment="1">
      <alignment horizontal="right" vertical="center"/>
    </xf>
    <xf numFmtId="0" fontId="96" fillId="0" borderId="27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>
      <alignment horizontal="distributed" vertical="center"/>
    </xf>
    <xf numFmtId="0" fontId="96" fillId="0" borderId="4" xfId="0" applyNumberFormat="1" applyFont="1" applyFill="1" applyBorder="1" applyAlignment="1">
      <alignment horizontal="center" vertical="center"/>
    </xf>
    <xf numFmtId="0" fontId="96" fillId="0" borderId="26" xfId="453" applyNumberFormat="1" applyFont="1" applyFill="1" applyBorder="1" applyAlignment="1">
      <alignment horizontal="center" vertical="center"/>
    </xf>
    <xf numFmtId="0" fontId="96" fillId="0" borderId="27" xfId="453" applyNumberFormat="1" applyFont="1" applyFill="1" applyBorder="1" applyAlignment="1">
      <alignment horizontal="left" vertical="center"/>
    </xf>
    <xf numFmtId="0" fontId="96" fillId="0" borderId="0" xfId="453" applyNumberFormat="1" applyFont="1" applyFill="1" applyBorder="1" applyAlignment="1">
      <alignment horizontal="distributed" vertical="center"/>
    </xf>
    <xf numFmtId="0" fontId="2" fillId="10" borderId="0" xfId="0" applyNumberFormat="1" applyFont="1" applyFill="1" applyAlignment="1">
      <alignment horizontal="center" vertical="center"/>
    </xf>
    <xf numFmtId="183" fontId="2" fillId="10" borderId="24" xfId="453" applyNumberFormat="1" applyFont="1" applyFill="1" applyBorder="1" applyAlignment="1">
      <alignment horizontal="left" vertical="center"/>
    </xf>
    <xf numFmtId="0" fontId="2" fillId="10" borderId="19" xfId="453" applyNumberFormat="1" applyFont="1" applyFill="1" applyBorder="1" applyAlignment="1">
      <alignment horizontal="right" vertical="center"/>
    </xf>
    <xf numFmtId="185" fontId="2" fillId="10" borderId="2" xfId="0" applyNumberFormat="1" applyFont="1" applyFill="1" applyBorder="1" applyAlignment="1">
      <alignment horizontal="right" vertical="center"/>
    </xf>
    <xf numFmtId="179" fontId="2" fillId="10" borderId="24" xfId="453" applyNumberFormat="1" applyFont="1" applyFill="1" applyBorder="1" applyAlignment="1">
      <alignment horizontal="right" vertical="center"/>
    </xf>
    <xf numFmtId="179" fontId="2" fillId="10" borderId="2" xfId="453" applyNumberFormat="1" applyFont="1" applyFill="1" applyBorder="1" applyAlignment="1">
      <alignment horizontal="right" vertical="center"/>
    </xf>
    <xf numFmtId="49" fontId="1" fillId="8" borderId="4" xfId="807" applyNumberFormat="1" applyFont="1" applyFill="1" applyBorder="1" applyAlignment="1">
      <alignment horizontal="center" vertical="center"/>
    </xf>
    <xf numFmtId="49" fontId="1" fillId="8" borderId="26" xfId="807" applyNumberFormat="1" applyFont="1" applyFill="1" applyBorder="1" applyAlignment="1">
      <alignment horizontal="center" vertical="center"/>
    </xf>
    <xf numFmtId="49" fontId="1" fillId="8" borderId="26" xfId="807" applyNumberFormat="1" applyFont="1" applyFill="1" applyBorder="1" applyAlignment="1">
      <alignment horizontal="center" vertical="center"/>
    </xf>
    <xf numFmtId="0" fontId="0" fillId="8" borderId="0" xfId="826" applyFont="1" applyFill="1" applyAlignment="1">
      <alignment horizontal="left" vertical="center"/>
    </xf>
    <xf numFmtId="49" fontId="0" fillId="8" borderId="3" xfId="807" applyNumberFormat="1" applyFont="1" applyFill="1" applyBorder="1" applyAlignment="1">
      <alignment horizontal="center" vertical="center"/>
    </xf>
    <xf numFmtId="41" fontId="96" fillId="8" borderId="3" xfId="988" applyFont="1" applyFill="1" applyBorder="1" applyAlignment="1">
      <alignment horizontal="left" vertical="center" wrapText="1"/>
    </xf>
    <xf numFmtId="41" fontId="96" fillId="8" borderId="3" xfId="988" applyFont="1" applyFill="1" applyBorder="1" applyAlignment="1">
      <alignment horizontal="left" vertical="center" wrapText="1" shrinkToFit="1"/>
    </xf>
    <xf numFmtId="41" fontId="96" fillId="8" borderId="3" xfId="988" applyFont="1" applyFill="1" applyBorder="1" applyAlignment="1">
      <alignment horizontal="left" vertical="center" wrapText="1"/>
    </xf>
    <xf numFmtId="233" fontId="2" fillId="0" borderId="0" xfId="0" applyNumberFormat="1" applyFont="1" applyFill="1" applyAlignment="1">
      <alignment horizontal="center" vertical="center"/>
    </xf>
    <xf numFmtId="179" fontId="87" fillId="0" borderId="28" xfId="822" applyNumberFormat="1" applyFont="1" applyFill="1" applyBorder="1" applyAlignment="1">
      <alignment horizontal="left" wrapText="1"/>
    </xf>
    <xf numFmtId="0" fontId="90" fillId="0" borderId="49" xfId="454" applyNumberFormat="1" applyFont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0" fontId="2" fillId="0" borderId="19" xfId="0" applyNumberFormat="1" applyFont="1" applyFill="1" applyBorder="1" applyAlignment="1">
      <alignment horizontal="distributed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 wrapText="1"/>
    </xf>
    <xf numFmtId="0" fontId="2" fillId="8" borderId="31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27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29" xfId="0" applyNumberFormat="1" applyFont="1" applyFill="1" applyBorder="1" applyAlignment="1">
      <alignment horizontal="center" vertic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0" fontId="1" fillId="8" borderId="26" xfId="0" applyNumberFormat="1" applyFont="1" applyFill="1" applyBorder="1" applyAlignment="1">
      <alignment horizontal="center" vertical="center" wrapText="1"/>
    </xf>
    <xf numFmtId="0" fontId="1" fillId="8" borderId="1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distributed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0" xfId="453" applyNumberFormat="1" applyFont="1" applyFill="1" applyBorder="1" applyAlignment="1">
      <alignment horizontal="center" vertical="center"/>
    </xf>
    <xf numFmtId="0" fontId="2" fillId="0" borderId="31" xfId="453" applyNumberFormat="1" applyFont="1" applyFill="1" applyBorder="1" applyAlignment="1">
      <alignment horizontal="center" vertical="center"/>
    </xf>
    <xf numFmtId="0" fontId="2" fillId="0" borderId="5" xfId="453" applyNumberFormat="1" applyFont="1" applyFill="1" applyBorder="1" applyAlignment="1">
      <alignment horizontal="center" vertical="center"/>
    </xf>
    <xf numFmtId="0" fontId="2" fillId="0" borderId="29" xfId="453" applyNumberFormat="1" applyFont="1" applyFill="1" applyBorder="1" applyAlignment="1">
      <alignment horizontal="center" vertical="center"/>
    </xf>
    <xf numFmtId="183" fontId="2" fillId="0" borderId="31" xfId="453" applyNumberFormat="1" applyFont="1" applyFill="1" applyBorder="1" applyAlignment="1">
      <alignment horizontal="center" vertical="center"/>
    </xf>
    <xf numFmtId="183" fontId="2" fillId="0" borderId="29" xfId="453" applyNumberFormat="1" applyFont="1" applyFill="1" applyBorder="1" applyAlignment="1">
      <alignment horizontal="center" vertical="center"/>
    </xf>
    <xf numFmtId="183" fontId="95" fillId="0" borderId="2" xfId="0" applyNumberFormat="1" applyFont="1" applyFill="1" applyBorder="1" applyAlignment="1">
      <alignment horizontal="center" vertical="center"/>
    </xf>
    <xf numFmtId="183" fontId="95" fillId="0" borderId="24" xfId="0" applyNumberFormat="1" applyFont="1" applyFill="1" applyBorder="1" applyAlignment="1">
      <alignment horizontal="center" vertical="center"/>
    </xf>
    <xf numFmtId="0" fontId="2" fillId="10" borderId="2" xfId="0" applyNumberFormat="1" applyFont="1" applyFill="1" applyBorder="1" applyAlignment="1">
      <alignment horizontal="center" vertical="center"/>
    </xf>
    <xf numFmtId="0" fontId="2" fillId="10" borderId="19" xfId="0" applyNumberFormat="1" applyFont="1" applyFill="1" applyBorder="1" applyAlignment="1">
      <alignment horizontal="center" vertical="center"/>
    </xf>
    <xf numFmtId="0" fontId="2" fillId="10" borderId="2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2" fillId="0" borderId="2" xfId="453" applyNumberFormat="1" applyFont="1" applyFill="1" applyBorder="1" applyAlignment="1">
      <alignment horizontal="center" vertical="center"/>
    </xf>
    <xf numFmtId="0" fontId="2" fillId="0" borderId="24" xfId="453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0" fillId="8" borderId="25" xfId="0" applyNumberFormat="1" applyFill="1" applyBorder="1" applyAlignment="1">
      <alignment vertical="center" wrapText="1"/>
    </xf>
    <xf numFmtId="0" fontId="0" fillId="8" borderId="25" xfId="0" applyNumberFormat="1" applyFill="1" applyBorder="1" applyAlignment="1">
      <alignment vertical="center"/>
    </xf>
    <xf numFmtId="0" fontId="0" fillId="8" borderId="0" xfId="0" applyNumberFormat="1" applyFill="1" applyBorder="1" applyAlignment="1">
      <alignment vertical="center"/>
    </xf>
    <xf numFmtId="0" fontId="2" fillId="8" borderId="25" xfId="0" applyNumberFormat="1" applyFont="1" applyFill="1" applyBorder="1" applyAlignment="1">
      <alignment horizontal="center" vertical="center"/>
    </xf>
    <xf numFmtId="0" fontId="2" fillId="8" borderId="28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15" xfId="453" applyNumberFormat="1" applyFont="1" applyFill="1" applyBorder="1" applyAlignment="1">
      <alignment horizontal="center" vertical="center" wrapText="1"/>
    </xf>
    <xf numFmtId="0" fontId="2" fillId="8" borderId="26" xfId="453" applyNumberFormat="1" applyFont="1" applyFill="1" applyBorder="1" applyAlignment="1">
      <alignment horizontal="center" vertical="center" wrapText="1"/>
    </xf>
    <xf numFmtId="0" fontId="2" fillId="8" borderId="19" xfId="453" applyNumberFormat="1" applyFont="1" applyFill="1" applyBorder="1" applyAlignment="1">
      <alignment horizontal="center" vertical="center"/>
    </xf>
    <xf numFmtId="0" fontId="2" fillId="0" borderId="15" xfId="806" applyNumberFormat="1" applyFont="1" applyFill="1" applyBorder="1" applyAlignment="1">
      <alignment horizontal="center" vertical="center" textRotation="255"/>
    </xf>
    <xf numFmtId="0" fontId="2" fillId="0" borderId="26" xfId="806" applyNumberFormat="1" applyFont="1" applyFill="1" applyBorder="1" applyAlignment="1">
      <alignment horizontal="center" vertical="center" textRotation="255"/>
    </xf>
    <xf numFmtId="0" fontId="2" fillId="0" borderId="14" xfId="806" applyNumberFormat="1" applyFont="1" applyFill="1" applyBorder="1" applyAlignment="1">
      <alignment horizontal="center" vertical="center" textRotation="255"/>
    </xf>
    <xf numFmtId="0" fontId="2" fillId="0" borderId="2" xfId="806" applyNumberFormat="1" applyFont="1" applyFill="1" applyBorder="1" applyAlignment="1">
      <alignment horizontal="center" vertical="center"/>
    </xf>
    <xf numFmtId="0" fontId="2" fillId="0" borderId="19" xfId="806" applyNumberFormat="1" applyFont="1" applyFill="1" applyBorder="1" applyAlignment="1">
      <alignment horizontal="center" vertical="center"/>
    </xf>
    <xf numFmtId="0" fontId="2" fillId="0" borderId="24" xfId="806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30" xfId="833" applyNumberFormat="1" applyFont="1" applyFill="1" applyBorder="1" applyAlignment="1">
      <alignment horizontal="center" vertical="center"/>
    </xf>
    <xf numFmtId="0" fontId="2" fillId="0" borderId="25" xfId="833" applyNumberFormat="1" applyFont="1" applyFill="1" applyBorder="1" applyAlignment="1">
      <alignment horizontal="center" vertical="center"/>
    </xf>
    <xf numFmtId="0" fontId="2" fillId="0" borderId="31" xfId="833" applyNumberFormat="1" applyFont="1" applyFill="1" applyBorder="1" applyAlignment="1">
      <alignment horizontal="center" vertical="center"/>
    </xf>
    <xf numFmtId="0" fontId="2" fillId="0" borderId="5" xfId="833" applyNumberFormat="1" applyFont="1" applyFill="1" applyBorder="1" applyAlignment="1">
      <alignment horizontal="center" vertical="center"/>
    </xf>
    <xf numFmtId="0" fontId="2" fillId="0" borderId="28" xfId="833" applyNumberFormat="1" applyFont="1" applyFill="1" applyBorder="1" applyAlignment="1">
      <alignment horizontal="center" vertical="center"/>
    </xf>
    <xf numFmtId="0" fontId="2" fillId="0" borderId="29" xfId="833" applyNumberFormat="1" applyFont="1" applyFill="1" applyBorder="1" applyAlignment="1">
      <alignment horizontal="center" vertical="center"/>
    </xf>
    <xf numFmtId="0" fontId="2" fillId="0" borderId="15" xfId="823" applyNumberFormat="1" applyFont="1" applyFill="1" applyBorder="1" applyAlignment="1">
      <alignment horizontal="center" vertical="center"/>
    </xf>
    <xf numFmtId="0" fontId="2" fillId="0" borderId="14" xfId="823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9" xfId="453" applyNumberFormat="1" applyFont="1" applyFill="1" applyBorder="1" applyAlignment="1">
      <alignment horizontal="center" vertical="center"/>
    </xf>
    <xf numFmtId="0" fontId="2" fillId="0" borderId="15" xfId="826" applyNumberFormat="1" applyFont="1" applyFill="1" applyBorder="1" applyAlignment="1">
      <alignment horizontal="center" vertical="center" wrapText="1"/>
    </xf>
    <xf numFmtId="0" fontId="2" fillId="0" borderId="14" xfId="826" applyNumberFormat="1" applyFont="1" applyFill="1" applyBorder="1" applyAlignment="1">
      <alignment horizontal="center" vertical="center" wrapText="1"/>
    </xf>
    <xf numFmtId="0" fontId="2" fillId="0" borderId="15" xfId="453" applyNumberFormat="1" applyFont="1" applyFill="1" applyBorder="1" applyAlignment="1">
      <alignment horizontal="center" vertical="center"/>
    </xf>
    <xf numFmtId="0" fontId="2" fillId="0" borderId="14" xfId="453" applyNumberFormat="1" applyFont="1" applyFill="1" applyBorder="1" applyAlignment="1">
      <alignment horizontal="center" vertical="center"/>
    </xf>
    <xf numFmtId="0" fontId="2" fillId="8" borderId="15" xfId="454" applyNumberFormat="1" applyFont="1" applyFill="1" applyBorder="1" applyAlignment="1">
      <alignment horizontal="center" vertical="center" wrapText="1"/>
    </xf>
    <xf numFmtId="0" fontId="2" fillId="8" borderId="26" xfId="454" applyNumberFormat="1" applyFont="1" applyFill="1" applyBorder="1" applyAlignment="1">
      <alignment horizontal="center" vertical="center"/>
    </xf>
    <xf numFmtId="0" fontId="2" fillId="8" borderId="14" xfId="454" applyNumberFormat="1" applyFont="1" applyFill="1" applyBorder="1" applyAlignment="1">
      <alignment horizontal="center" vertical="center"/>
    </xf>
    <xf numFmtId="0" fontId="2" fillId="8" borderId="15" xfId="826" applyNumberFormat="1" applyFont="1" applyFill="1" applyBorder="1" applyAlignment="1">
      <alignment horizontal="center" vertical="center" wrapText="1"/>
    </xf>
    <xf numFmtId="0" fontId="2" fillId="8" borderId="14" xfId="826" applyNumberFormat="1" applyFont="1" applyFill="1" applyBorder="1" applyAlignment="1">
      <alignment horizontal="center" vertical="center"/>
    </xf>
    <xf numFmtId="0" fontId="2" fillId="8" borderId="15" xfId="807" applyNumberFormat="1" applyFont="1" applyFill="1" applyBorder="1" applyAlignment="1">
      <alignment horizontal="center" vertical="center"/>
    </xf>
    <xf numFmtId="0" fontId="2" fillId="8" borderId="14" xfId="807" applyNumberFormat="1" applyFont="1" applyFill="1" applyBorder="1" applyAlignment="1">
      <alignment horizontal="center" vertical="center"/>
    </xf>
    <xf numFmtId="0" fontId="2" fillId="8" borderId="25" xfId="826" applyNumberFormat="1" applyFont="1" applyFill="1" applyBorder="1" applyAlignment="1">
      <alignment horizontal="center" vertical="center"/>
    </xf>
    <xf numFmtId="0" fontId="2" fillId="8" borderId="28" xfId="826" applyNumberFormat="1" applyFont="1" applyFill="1" applyBorder="1" applyAlignment="1">
      <alignment horizontal="center" vertical="center"/>
    </xf>
    <xf numFmtId="0" fontId="2" fillId="8" borderId="30" xfId="826" applyNumberFormat="1" applyFont="1" applyFill="1" applyBorder="1" applyAlignment="1">
      <alignment horizontal="center" vertical="center"/>
    </xf>
    <xf numFmtId="0" fontId="2" fillId="8" borderId="5" xfId="826" applyNumberFormat="1" applyFont="1" applyFill="1" applyBorder="1" applyAlignment="1">
      <alignment horizontal="center" vertical="center"/>
    </xf>
    <xf numFmtId="0" fontId="2" fillId="8" borderId="31" xfId="826" applyNumberFormat="1" applyFont="1" applyFill="1" applyBorder="1" applyAlignment="1">
      <alignment horizontal="center" vertical="center"/>
    </xf>
    <xf numFmtId="0" fontId="2" fillId="8" borderId="29" xfId="826" applyNumberFormat="1" applyFont="1" applyFill="1" applyBorder="1" applyAlignment="1">
      <alignment horizontal="center" vertical="center"/>
    </xf>
    <xf numFmtId="0" fontId="22" fillId="8" borderId="19" xfId="835" applyNumberFormat="1" applyFont="1" applyFill="1" applyBorder="1" applyAlignment="1">
      <alignment horizontal="center" vertical="center" wrapText="1"/>
    </xf>
    <xf numFmtId="0" fontId="22" fillId="8" borderId="2" xfId="835" applyNumberFormat="1" applyFont="1" applyFill="1" applyBorder="1" applyAlignment="1">
      <alignment horizontal="center" vertical="center" wrapText="1"/>
    </xf>
    <xf numFmtId="0" fontId="26" fillId="8" borderId="24" xfId="0" applyNumberFormat="1" applyFont="1" applyFill="1" applyBorder="1" applyAlignment="1">
      <alignment vertical="center"/>
    </xf>
  </cellXfs>
  <cellStyles count="995">
    <cellStyle name="          _x000d__x000a_386grabber=vga.3gr_x000d__x000a_" xfId="2"/>
    <cellStyle name="          _x000d__x000a_386grabber=vga.3gr_x000d__x000a_ 2" xfId="981"/>
    <cellStyle name="          _x000d__x000a_386grabber=vga.3gr_x000d__x000a_ 3" xfId="967"/>
    <cellStyle name="Ი_x000b_" xfId="3"/>
    <cellStyle name="&quot;" xfId="4"/>
    <cellStyle name="#" xfId="5"/>
    <cellStyle name="# 2" xfId="982"/>
    <cellStyle name="# 3" xfId="968"/>
    <cellStyle name="#,##0" xfId="6"/>
    <cellStyle name="#,##0.0" xfId="7"/>
    <cellStyle name="#,##0.00" xfId="8"/>
    <cellStyle name="#,##0.000" xfId="9"/>
    <cellStyle name="#,##0_목차" xfId="10"/>
    <cellStyle name="#_1. 경기문화재단" xfId="11"/>
    <cellStyle name="#_1-1. 경기문화재단" xfId="12"/>
    <cellStyle name="#_2. 경기도박물관" xfId="13"/>
    <cellStyle name="#_4. 경기도자박물관" xfId="14"/>
    <cellStyle name="#_경기문화재단종합관리" xfId="15"/>
    <cellStyle name="#_청소업무용역(수정-최종)" xfId="16"/>
    <cellStyle name="$" xfId="17"/>
    <cellStyle name="$_0008금감원통합감독검사정보시스템" xfId="18"/>
    <cellStyle name="$_0009김포공항LED교체공사(광일)" xfId="19"/>
    <cellStyle name="$_0011KIST소각설비제작설치" xfId="29"/>
    <cellStyle name="$_0011긴급전화기정산(99년형광일)" xfId="20"/>
    <cellStyle name="$_0011부산종합경기장전광판" xfId="21"/>
    <cellStyle name="$_0011부산종합경기장전광판_강원지역본부(2006년_060109)" xfId="22"/>
    <cellStyle name="$_0011부산종합경기장전광판_경남지역본부-" xfId="23"/>
    <cellStyle name="$_0011부산종합경기장전광판_경북지역본부-" xfId="24"/>
    <cellStyle name="$_0011부산종합경기장전광판_중부지역본부-" xfId="25"/>
    <cellStyle name="$_0011부산종합경기장전광판_충청지역본부-" xfId="26"/>
    <cellStyle name="$_0011부산종합경기장전광판_통행료면탈방지시스템(최종)" xfId="27"/>
    <cellStyle name="$_0011부산종합경기장전광판_호남지역본부-" xfId="28"/>
    <cellStyle name="$_0012문화유적지표석제작설치" xfId="30"/>
    <cellStyle name="$_0102국제조명신공항분수조명" xfId="31"/>
    <cellStyle name="$_0102국제조명신공항분수조명_강원지역본부(2006년_060109)" xfId="32"/>
    <cellStyle name="$_0102국제조명신공항분수조명_경남지역본부-" xfId="33"/>
    <cellStyle name="$_0102국제조명신공항분수조명_경북지역본부-" xfId="34"/>
    <cellStyle name="$_0102국제조명신공항분수조명_중부지역본부-" xfId="35"/>
    <cellStyle name="$_0102국제조명신공항분수조명_충청지역본부-" xfId="36"/>
    <cellStyle name="$_0102국제조명신공항분수조명_통행료면탈방지시스템(최종)" xfId="37"/>
    <cellStyle name="$_0102국제조명신공항분수조명_호남지역본부-" xfId="38"/>
    <cellStyle name="$_0103회전식현수막게시대제작설치" xfId="39"/>
    <cellStyle name="$_0104포항시침출수처리시스템" xfId="40"/>
    <cellStyle name="$_0105담배자판기개조원가" xfId="41"/>
    <cellStyle name="$_0105담배자판기개조원가_강원지역본부(2006년_060109)" xfId="42"/>
    <cellStyle name="$_0105담배자판기개조원가_경남지역본부-" xfId="43"/>
    <cellStyle name="$_0105담배자판기개조원가_경북지역본부-" xfId="44"/>
    <cellStyle name="$_0105담배자판기개조원가_중부지역본부-" xfId="45"/>
    <cellStyle name="$_0105담배자판기개조원가_충청지역본부-" xfId="46"/>
    <cellStyle name="$_0105담배자판기개조원가_통행료면탈방지시스템(최종)" xfId="47"/>
    <cellStyle name="$_0105담배자판기개조원가_호남지역본부-" xfId="48"/>
    <cellStyle name="$_0106LG인버터냉난방기제작-1" xfId="49"/>
    <cellStyle name="$_0106LG인버터냉난방기제작-1_강원지역본부(2006년_060109)" xfId="50"/>
    <cellStyle name="$_0106LG인버터냉난방기제작-1_경남지역본부-" xfId="51"/>
    <cellStyle name="$_0106LG인버터냉난방기제작-1_경북지역본부-" xfId="52"/>
    <cellStyle name="$_0106LG인버터냉난방기제작-1_중부지역본부-" xfId="53"/>
    <cellStyle name="$_0106LG인버터냉난방기제작-1_충청지역본부-" xfId="54"/>
    <cellStyle name="$_0106LG인버터냉난방기제작-1_통행료면탈방지시스템(최종)" xfId="55"/>
    <cellStyle name="$_0106LG인버터냉난방기제작-1_호남지역본부-" xfId="56"/>
    <cellStyle name="$_0107광전송장비구매설치" xfId="57"/>
    <cellStyle name="$_0107도공IBS설비SW부문(참조)" xfId="58"/>
    <cellStyle name="$_0107문화재복원용목재-8월6일" xfId="59"/>
    <cellStyle name="$_0107문화재복원용목재-8월6일_강원지역본부(2006년_060109)" xfId="60"/>
    <cellStyle name="$_0107문화재복원용목재-8월6일_경남지역본부-" xfId="61"/>
    <cellStyle name="$_0107문화재복원용목재-8월6일_경북지역본부-" xfId="62"/>
    <cellStyle name="$_0107문화재복원용목재-8월6일_중부지역본부-" xfId="63"/>
    <cellStyle name="$_0107문화재복원용목재-8월6일_충청지역본부-" xfId="64"/>
    <cellStyle name="$_0107문화재복원용목재-8월6일_통행료면탈방지시스템(최종)" xfId="65"/>
    <cellStyle name="$_0107문화재복원용목재-8월6일_호남지역본부-" xfId="66"/>
    <cellStyle name="$_0107포천영중수배전반(제조,설치)" xfId="67"/>
    <cellStyle name="$_0108농기반미곡건조기제작설치" xfId="68"/>
    <cellStyle name="$_0108담배인삼공사영업춘추복" xfId="69"/>
    <cellStyle name="$_0108한국전기교통-LED교통신호등((원본))" xfId="70"/>
    <cellStyle name="$_0108한국전기교통-LED교통신호등((원본))_강원지역본부(2006년_060109)" xfId="71"/>
    <cellStyle name="$_0108한국전기교통-LED교통신호등((원본))_경남지역본부-" xfId="72"/>
    <cellStyle name="$_0108한국전기교통-LED교통신호등((원본))_경북지역본부-" xfId="73"/>
    <cellStyle name="$_0108한국전기교통-LED교통신호등((원본))_중부지역본부-" xfId="74"/>
    <cellStyle name="$_0108한국전기교통-LED교통신호등((원본))_충청지역본부-" xfId="75"/>
    <cellStyle name="$_0108한국전기교통-LED교통신호등((원본))_통행료면탈방지시스템(최종)" xfId="76"/>
    <cellStyle name="$_0108한국전기교통-LED교통신호등((원본))_호남지역본부-" xfId="77"/>
    <cellStyle name="$_0111해양수산부등명기제작" xfId="78"/>
    <cellStyle name="$_0111핸디소프트-전자표준문서시스템" xfId="79"/>
    <cellStyle name="$_0112금감원사무자동화시스템" xfId="80"/>
    <cellStyle name="$_0112수도권매립지SW원가" xfId="81"/>
    <cellStyle name="$_0112중고원-HRD종합정보망구축(完)" xfId="82"/>
    <cellStyle name="$_0201종합예술회관의자제작설치" xfId="83"/>
    <cellStyle name="$_0201종합예술회관의자제작설치-1" xfId="84"/>
    <cellStyle name="$_0202마사회근무복" xfId="85"/>
    <cellStyle name="$_0202마사회근무복_강원지역본부(2006년_060109)" xfId="86"/>
    <cellStyle name="$_0202마사회근무복_경남지역본부-" xfId="87"/>
    <cellStyle name="$_0202마사회근무복_경북지역본부-" xfId="88"/>
    <cellStyle name="$_0202마사회근무복_중부지역본부-" xfId="89"/>
    <cellStyle name="$_0202마사회근무복_충청지역본부-" xfId="90"/>
    <cellStyle name="$_0202마사회근무복_통행료면탈방지시스템(최종)" xfId="91"/>
    <cellStyle name="$_0202마사회근무복_호남지역본부-" xfId="92"/>
    <cellStyle name="$_0202부경교재-승강칠판" xfId="93"/>
    <cellStyle name="$_0202부경교재-승강칠판_강원지역본부(2006년_060109)" xfId="94"/>
    <cellStyle name="$_0202부경교재-승강칠판_경남지역본부-" xfId="95"/>
    <cellStyle name="$_0202부경교재-승강칠판_경북지역본부-" xfId="96"/>
    <cellStyle name="$_0202부경교재-승강칠판_중부지역본부-" xfId="97"/>
    <cellStyle name="$_0202부경교재-승강칠판_충청지역본부-" xfId="98"/>
    <cellStyle name="$_0202부경교재-승강칠판_통행료면탈방지시스템(최종)" xfId="99"/>
    <cellStyle name="$_0202부경교재-승강칠판_호남지역본부-" xfId="100"/>
    <cellStyle name="$_0204한국석묘납골함-1규격" xfId="101"/>
    <cellStyle name="$_0205TTMS-긴급전화기&amp;전체총괄" xfId="102"/>
    <cellStyle name="$_0206금감원금융정보교환망재구축" xfId="103"/>
    <cellStyle name="$_0206정통부수납장표기기제작설치" xfId="104"/>
    <cellStyle name="$_0207담배인삼공사-담요" xfId="105"/>
    <cellStyle name="$_0208레비텍-다층여과기설계변경" xfId="106"/>
    <cellStyle name="$_0209이산화염소발생기-설치(50K)" xfId="107"/>
    <cellStyle name="$_0210현대정보기술-TD이중계" xfId="108"/>
    <cellStyle name="$_0211조달청-#1대북지원사업정산(1월7일)" xfId="109"/>
    <cellStyle name="$_0212금감원-법규정보시스템(完)" xfId="110"/>
    <cellStyle name="$_0301교통방송-CCTV유지보수" xfId="111"/>
    <cellStyle name="$_0302인천경찰청-무인단속기위탁관리" xfId="112"/>
    <cellStyle name="$_0302조달청-대북지원2차(안성연)" xfId="113"/>
    <cellStyle name="$_0302조달청-대북지원2차(최수현)" xfId="114"/>
    <cellStyle name="$_0302표준문서-쌍용정보통신(신)" xfId="115"/>
    <cellStyle name="$_0304소프트파워-정부표준전자문서시스템" xfId="116"/>
    <cellStyle name="$_0304소프트파워-정부표준전자문서시스템(完)" xfId="117"/>
    <cellStyle name="$_0304철도청-주변환장치-1" xfId="118"/>
    <cellStyle name="$_0305금감원-금융통계정보시스템구축(完)" xfId="119"/>
    <cellStyle name="$_0305제낭조합-면범포지" xfId="120"/>
    <cellStyle name="$_0306제낭공업협동조합-면범포지원단(경비까지)" xfId="121"/>
    <cellStyle name="$_0307경찰청-무인교통단속표준SW개발용역(完)" xfId="122"/>
    <cellStyle name="$_0308조달청-#8대북지원사업정산" xfId="123"/>
    <cellStyle name="$_0309두합크린텍-설치원가" xfId="124"/>
    <cellStyle name="$_0309조달청-#9대북지원사업정산" xfId="125"/>
    <cellStyle name="$_0310여주상수도-탈수기(유천ENG)" xfId="126"/>
    <cellStyle name="$_0311대기해양작업시간" xfId="127"/>
    <cellStyle name="$_0311대기해양중형등명기" xfId="128"/>
    <cellStyle name="$_0312국민체육진흥공단-전기부문" xfId="129"/>
    <cellStyle name="$_0312대기해양-중형등명기제작설치" xfId="130"/>
    <cellStyle name="$_0312라이준-칼라아스콘4규격" xfId="131"/>
    <cellStyle name="$_0401집진기프로그램SW개발비산정" xfId="132"/>
    <cellStyle name="$_13. 관리동" xfId="133"/>
    <cellStyle name="$_2001-06조달청신성-한냉지형" xfId="134"/>
    <cellStyle name="$_2002-03경찰대학-졸업식" xfId="135"/>
    <cellStyle name="$_2002-03경찰청-경찰표지장" xfId="136"/>
    <cellStyle name="$_2002-03반디-가로등(열주형)" xfId="137"/>
    <cellStyle name="$_2002-03신화전자-감지기" xfId="138"/>
    <cellStyle name="$_2002-04강원랜드-슬러트머신" xfId="139"/>
    <cellStyle name="$_2002-04메가컴-외주무대" xfId="140"/>
    <cellStyle name="$_2002-04엘지애드-무대" xfId="141"/>
    <cellStyle name="$_2002-05강원랜드-슬러트머신(넥스터)" xfId="142"/>
    <cellStyle name="$_2002-05경기경찰청-냉온수기공사" xfId="143"/>
    <cellStyle name="$_2002-05대통령비서실-카페트" xfId="144"/>
    <cellStyle name="$_2002결과표" xfId="145"/>
    <cellStyle name="$_2002결과표_강원지역본부(2006년_060109)" xfId="146"/>
    <cellStyle name="$_2002결과표_경남지역본부-" xfId="147"/>
    <cellStyle name="$_2002결과표_경북지역본부-" xfId="148"/>
    <cellStyle name="$_2002결과표_중부지역본부-" xfId="149"/>
    <cellStyle name="$_2002결과표_충청지역본부-" xfId="150"/>
    <cellStyle name="$_2002결과표_통행료면탈방지시스템(최종)" xfId="151"/>
    <cellStyle name="$_2002결과표_호남지역본부-" xfId="152"/>
    <cellStyle name="$_2002결과표1" xfId="153"/>
    <cellStyle name="$_2003-01정일사-표창5종" xfId="154"/>
    <cellStyle name="$_db진흥" xfId="221"/>
    <cellStyle name="$_Pilot플랜트-계변경" xfId="222"/>
    <cellStyle name="$_Pilot플랜트이전설치-변경최종" xfId="223"/>
    <cellStyle name="$_SE40" xfId="224"/>
    <cellStyle name="$_SW(케이비)" xfId="225"/>
    <cellStyle name="$_간지,목차,페이지,표지" xfId="155"/>
    <cellStyle name="$_강원지역본부(2006년_060109)" xfId="156"/>
    <cellStyle name="$_견적2" xfId="157"/>
    <cellStyle name="$_경남지역본부-" xfId="158"/>
    <cellStyle name="$_경북지역본부-" xfId="159"/>
    <cellStyle name="$_경찰청-근무,기동복" xfId="160"/>
    <cellStyle name="$_공사일반관리비양식" xfId="161"/>
    <cellStyle name="$_관리동sw" xfId="162"/>
    <cellStyle name="$_기아" xfId="163"/>
    <cellStyle name="$_기초공사" xfId="164"/>
    <cellStyle name="$_네인텍정보기술-회로카드(수현)" xfId="165"/>
    <cellStyle name="$_대기해양노무비" xfId="166"/>
    <cellStyle name="$_대북자재8월분" xfId="167"/>
    <cellStyle name="$_대북자재8월분-1" xfId="168"/>
    <cellStyle name="$_동산용사촌수현(원본)" xfId="169"/>
    <cellStyle name="$_목차" xfId="170"/>
    <cellStyle name="$_백제군사전시1" xfId="171"/>
    <cellStyle name="$_수초제거기(대양기계)" xfId="172"/>
    <cellStyle name="$_수초제거기(대양기계)_강원지역본부(2006년_060109)" xfId="173"/>
    <cellStyle name="$_수초제거기(대양기계)_경남지역본부-" xfId="174"/>
    <cellStyle name="$_수초제거기(대양기계)_경북지역본부-" xfId="175"/>
    <cellStyle name="$_수초제거기(대양기계)_중부지역본부-" xfId="176"/>
    <cellStyle name="$_수초제거기(대양기계)_충청지역본부-" xfId="177"/>
    <cellStyle name="$_수초제거기(대양기계)_통행료면탈방지시스템(최종)" xfId="178"/>
    <cellStyle name="$_수초제거기(대양기계)_호남지역본부-" xfId="179"/>
    <cellStyle name="$_시설용역" xfId="180"/>
    <cellStyle name="$_암전정밀실체현미경(수현)" xfId="181"/>
    <cellStyle name="$_오리엔탈" xfId="182"/>
    <cellStyle name="$_원본 - 한국전기교통-개선형신호등 4종" xfId="183"/>
    <cellStyle name="$_원본 - 한국전기교통-개선형신호등 4종_강원지역본부(2006년_060109)" xfId="184"/>
    <cellStyle name="$_원본 - 한국전기교통-개선형신호등 4종_경남지역본부-" xfId="185"/>
    <cellStyle name="$_원본 - 한국전기교통-개선형신호등 4종_경북지역본부-" xfId="186"/>
    <cellStyle name="$_원본 - 한국전기교통-개선형신호등 4종_중부지역본부-" xfId="187"/>
    <cellStyle name="$_원본 - 한국전기교통-개선형신호등 4종_충청지역본부-" xfId="188"/>
    <cellStyle name="$_원본 - 한국전기교통-개선형신호등 4종_통행료면탈방지시스템(최종)" xfId="189"/>
    <cellStyle name="$_원본 - 한국전기교통-개선형신호등 4종_호남지역본부-" xfId="190"/>
    <cellStyle name="$_제경비율모음" xfId="191"/>
    <cellStyle name="$_제조원가" xfId="192"/>
    <cellStyle name="$_조달청-B판사천강교제작(최종본)" xfId="201"/>
    <cellStyle name="$_조달청-대북지원3차(최수현)" xfId="193"/>
    <cellStyle name="$_조달청-대북지원4차(최수현)" xfId="194"/>
    <cellStyle name="$_조달청-대북지원5차(최수현)" xfId="195"/>
    <cellStyle name="$_조달청-대북지원6차(번호)" xfId="196"/>
    <cellStyle name="$_조달청-대북지원6차(최수현)" xfId="197"/>
    <cellStyle name="$_조달청-대북지원7차(최수현)" xfId="198"/>
    <cellStyle name="$_조달청-대북지원8차(최수현)" xfId="199"/>
    <cellStyle name="$_조달청-대북지원9차(최수현)" xfId="200"/>
    <cellStyle name="$_중부지역본부-" xfId="202"/>
    <cellStyle name="$_중앙선관위(투표,개표)" xfId="203"/>
    <cellStyle name="$_중앙선관위(투표,개표)-사본" xfId="204"/>
    <cellStyle name="$_철공가공조립" xfId="205"/>
    <cellStyle name="$_최종-한국전기교통-개선형신호등 4종(공수조정)" xfId="206"/>
    <cellStyle name="$_최종-한국전기교통-개선형신호등 4종(공수조정)_강원지역본부(2006년_060109)" xfId="207"/>
    <cellStyle name="$_최종-한국전기교통-개선형신호등 4종(공수조정)_경남지역본부-" xfId="208"/>
    <cellStyle name="$_최종-한국전기교통-개선형신호등 4종(공수조정)_경북지역본부-" xfId="209"/>
    <cellStyle name="$_최종-한국전기교통-개선형신호등 4종(공수조정)_중부지역본부-" xfId="210"/>
    <cellStyle name="$_최종-한국전기교통-개선형신호등 4종(공수조정)_충청지역본부-" xfId="211"/>
    <cellStyle name="$_최종-한국전기교통-개선형신호등 4종(공수조정)_통행료면탈방지시스템(최종)" xfId="212"/>
    <cellStyle name="$_최종-한국전기교통-개선형신호등 4종(공수조정)_호남지역본부-" xfId="213"/>
    <cellStyle name="$_충청지역본부-" xfId="214"/>
    <cellStyle name="$_코솔라-제조원가" xfId="215"/>
    <cellStyle name="$_토지공사-간접비" xfId="216"/>
    <cellStyle name="$_통행료면탈방지시스템(최종)" xfId="217"/>
    <cellStyle name="$_한국도로공사" xfId="218"/>
    <cellStyle name="$_한전내역서-최종" xfId="219"/>
    <cellStyle name="$_호남지역본부-" xfId="220"/>
    <cellStyle name="??&amp;O?&amp;H?_x0008__x000f__x0007_?_x0007__x0001__x0001_" xfId="227"/>
    <cellStyle name="??&amp;O?&amp;H?_x0008_??_x0007__x0001__x0001_" xfId="228"/>
    <cellStyle name="??&amp;쏗?뷐9_x0008__x0011__x0007_?_x0007__x0001__x0001_" xfId="226"/>
    <cellStyle name="???­ [0]_¸ð??¸·" xfId="229"/>
    <cellStyle name="???­_¸ð??¸·" xfId="230"/>
    <cellStyle name="???Ø_¸ð??¸·" xfId="231"/>
    <cellStyle name="?Þ¸¶ [0]_¸ð??¸·" xfId="233"/>
    <cellStyle name="?Þ¸¶_¸ð??¸·" xfId="234"/>
    <cellStyle name="?W?_laroux" xfId="235"/>
    <cellStyle name="?曹%U?&amp;H?_x0008_?s_x000a__x0007__x0001__x0001_" xfId="232"/>
    <cellStyle name="@_laroux" xfId="236"/>
    <cellStyle name="@_laroux_제트베인" xfId="237"/>
    <cellStyle name="@_laroux_제트베인_1" xfId="238"/>
    <cellStyle name="_06년)하이패스_점검내역" xfId="239"/>
    <cellStyle name="_1_터널교통관리시설구축_공사설계서(달성12터널외2개소)" xfId="240"/>
    <cellStyle name="_11.통합보안관리서버" xfId="241"/>
    <cellStyle name="_1220-원가조사-전자지불" xfId="242"/>
    <cellStyle name="_2001 장애조치" xfId="243"/>
    <cellStyle name="_2002결과표1" xfId="244"/>
    <cellStyle name="_C앤C" xfId="379"/>
    <cellStyle name="_C앤C(네트웍)" xfId="380"/>
    <cellStyle name="_C앤C원가계산" xfId="381"/>
    <cellStyle name="_GN_극동건설(주)_덕정병원_토목(작업)-1" xfId="382"/>
    <cellStyle name="_TCS 영업소(050214)" xfId="383"/>
    <cellStyle name="_간지" xfId="245"/>
    <cellStyle name="_간지,목차,페이지,표지" xfId="246"/>
    <cellStyle name="_감가상각(01년도) (2)" xfId="247"/>
    <cellStyle name="_감가상각(01년도) (3)" xfId="248"/>
    <cellStyle name="_강산FRP" xfId="249"/>
    <cellStyle name="_강원지역본부(2006년_060109)" xfId="252"/>
    <cellStyle name="_개요" xfId="256"/>
    <cellStyle name="_개요(봉림)-참고용" xfId="257"/>
    <cellStyle name="_개요(봉림)-최종" xfId="258"/>
    <cellStyle name="_개요(주안-인천)" xfId="259"/>
    <cellStyle name="_견적서_모바일경기-정현창" xfId="260"/>
    <cellStyle name="_경남지역본부-" xfId="264"/>
    <cellStyle name="_경북031002" xfId="298"/>
    <cellStyle name="_경북지역본부-" xfId="299"/>
    <cellStyle name="_계중기(051216)" xfId="301"/>
    <cellStyle name="_고객서비스모니터링" xfId="302"/>
    <cellStyle name="_과학의 날 행사용 영상물제작" xfId="303"/>
    <cellStyle name="_광가입자전송장비(FLC)삼성" xfId="304"/>
    <cellStyle name="_광안리내역서(구도)" xfId="305"/>
    <cellStyle name="_광케이블_SNI_LGCNS_1" xfId="306"/>
    <cellStyle name="_구로지사 증축 및 보수공사 2차(최종)-12.16(신규)" xfId="307"/>
    <cellStyle name="_구로지사 증축 및 보수공사(최종)+개요" xfId="308"/>
    <cellStyle name="_기초공사" xfId="309"/>
    <cellStyle name="_나노엔텍(임금)" xfId="310"/>
    <cellStyle name="_내역(991895-7)" xfId="311"/>
    <cellStyle name="_내역(991895-7)-01" xfId="312"/>
    <cellStyle name="_내역(991895-7)-12-3일작업" xfId="313"/>
    <cellStyle name="_내역서" xfId="314"/>
    <cellStyle name="_내역서(서남권)" xfId="315"/>
    <cellStyle name="_내역서+개요(월배통신)" xfId="316"/>
    <cellStyle name="_내역서+개요(전기)-6.7(최종)" xfId="317"/>
    <cellStyle name="_내역서+개요(통신)" xfId="318"/>
    <cellStyle name="_농수로3종외-최종" xfId="319"/>
    <cellStyle name="_단가비교" xfId="320"/>
    <cellStyle name="_대전망운용국 대수선 전기공사+개요" xfId="321"/>
    <cellStyle name="_동목포전화국제4회기성청구서" xfId="322"/>
    <cellStyle name="_동학농민(전기)(02.09.05)" xfId="323"/>
    <cellStyle name="_모바일 경기넷 구축 사업(최종)" xfId="324"/>
    <cellStyle name="_목차" xfId="325"/>
    <cellStyle name="_목차 2" xfId="983"/>
    <cellStyle name="_목차 3" xfId="969"/>
    <cellStyle name="_목차_1. 경기문화재단" xfId="326"/>
    <cellStyle name="_목차_1-1. 경기문화재단" xfId="327"/>
    <cellStyle name="_목차_2. 경기도박물관" xfId="328"/>
    <cellStyle name="_목차_4. 경기도자박물관" xfId="329"/>
    <cellStyle name="_목차_경기문화재단종합관리" xfId="330"/>
    <cellStyle name="_목차_청소업무용역(수정-최종)" xfId="331"/>
    <cellStyle name="_무역 전시회 지원성과" xfId="332"/>
    <cellStyle name="_봉림고교 교사신축(최종)" xfId="333"/>
    <cellStyle name="_봉림고교 교사신축(최종)-참고용" xfId="334"/>
    <cellStyle name="_브랜드개발" xfId="335"/>
    <cellStyle name="_샤워식분무기(최종)" xfId="336"/>
    <cellStyle name="_서울과학관의장" xfId="337"/>
    <cellStyle name="_신흥기업사-최종" xfId="338"/>
    <cellStyle name="_안양지식산업진흥원" xfId="339"/>
    <cellStyle name="_연구원실험대(24종)-최종" xfId="340"/>
    <cellStyle name="_원격유지관리시스템(2004)" xfId="341"/>
    <cellStyle name="_유선설비(051216)" xfId="342"/>
    <cellStyle name="_일위대가" xfId="343"/>
    <cellStyle name="_자재비교표" xfId="344"/>
    <cellStyle name="_장현중(내역서+개요)" xfId="345"/>
    <cellStyle name="_재료비" xfId="346"/>
    <cellStyle name="_전자지불(삼성SDS)" xfId="347"/>
    <cellStyle name="_전자지불-(케이비)" xfId="348"/>
    <cellStyle name="_정보통신-광통신망관리(050214)" xfId="349"/>
    <cellStyle name="_제일은행하계근무복" xfId="350"/>
    <cellStyle name="_중부지역본부-" xfId="351"/>
    <cellStyle name="_증권예탁원_퇴직연금시스템_구축_요약_Ver2" xfId="361"/>
    <cellStyle name="_직접경비" xfId="362"/>
    <cellStyle name="_창(에리트(설치제외)" xfId="363"/>
    <cellStyle name="_총괄(최종)" xfId="364"/>
    <cellStyle name="_춘천전화국증축통신+개요" xfId="365"/>
    <cellStyle name="_춘천합동내역+개요(수정한최종)" xfId="366"/>
    <cellStyle name="_충청지역본부-" xfId="367"/>
    <cellStyle name="_테마공사새로03" xfId="368"/>
    <cellStyle name="_통행료 전자지불 SW" xfId="369"/>
    <cellStyle name="_통행료면탈방지시스템(최종)" xfId="370"/>
    <cellStyle name="_퇴직연금 기록관리 시스템" xfId="372"/>
    <cellStyle name="_표지" xfId="373"/>
    <cellStyle name="_하이패스 전자지불(050214)" xfId="374"/>
    <cellStyle name="_하이패스(최종)" xfId="375"/>
    <cellStyle name="_호남지역본부-" xfId="376"/>
    <cellStyle name="_호남지역본부-20041220" xfId="377"/>
    <cellStyle name="_흙막이공사(일위)" xfId="378"/>
    <cellStyle name="´þ·?" xfId="386"/>
    <cellStyle name="’E‰Y [0.00]_laroux" xfId="387"/>
    <cellStyle name="’E‰Y_laroux" xfId="388"/>
    <cellStyle name="¤@?e_TEST-1 " xfId="389"/>
    <cellStyle name="°ia¤¼o¼ya¡" xfId="390"/>
    <cellStyle name="°ia¤aa·a1" xfId="391"/>
    <cellStyle name="°ia¤aa·a2" xfId="392"/>
    <cellStyle name="" xfId="1"/>
    <cellStyle name="_TCS_축중기" xfId="384"/>
    <cellStyle name="_TTMS위탁수량(KHC)" xfId="385"/>
    <cellStyle name="_강원지역본부" xfId="250"/>
    <cellStyle name="_강원지역본부(2006년)" xfId="251"/>
    <cellStyle name="_강원지역본부(2006년_060109)" xfId="253"/>
    <cellStyle name="_강원지역본부(2006년-051228)" xfId="254"/>
    <cellStyle name="_강원지역본부(2006년-060102)" xfId="255"/>
    <cellStyle name="_경남본부_2006년도_유지관리대상수량" xfId="261"/>
    <cellStyle name="_경남본부_2006년도_유지관리대상수량_경남지역본부(2006년)" xfId="262"/>
    <cellStyle name="_경남본부_2006년도_유지관리대상수량_경남지역본부(2006년도)" xfId="263"/>
    <cellStyle name="_경남지역본부-" xfId="265"/>
    <cellStyle name="_경남지역본부_20041220_상반기" xfId="266"/>
    <cellStyle name="_경남지역본부_20041220_상반기_2005년도급내역서" xfId="267"/>
    <cellStyle name="_경남지역본부_20041220_상반기_2005년도급내역서_TTMS위탁수량(KHC)" xfId="282"/>
    <cellStyle name="_경남지역본부_20041220_상반기_2005년도급내역서_강원지역본부(2006년)" xfId="268"/>
    <cellStyle name="_경남지역본부_20041220_상반기_2005년도급내역서_강원지역본부(2006년-051228)" xfId="269"/>
    <cellStyle name="_경남지역본부_20041220_상반기_2005년도급내역서_강원지역본부(2006년-060102)" xfId="270"/>
    <cellStyle name="_경남지역본부_20041220_상반기_2005년도급내역서_경남본부_2006년도_유지관리대상수량" xfId="271"/>
    <cellStyle name="_경남지역본부_20041220_상반기_2005년도급내역서_경남본부_2006년도_유지관리대상수량_경남지역본부(2006년)" xfId="272"/>
    <cellStyle name="_경남지역본부_20041220_상반기_2005년도급내역서_경남본부_2006년도_유지관리대상수량_경남지역본부(2006년도)" xfId="273"/>
    <cellStyle name="_경남지역본부_20041220_상반기_2005년도급내역서_중부지역본부(2006년)_기준" xfId="274"/>
    <cellStyle name="_경남지역본부_20041220_상반기_2005년도급내역서_중부지역본부(2006년)_기준_경남지역본부(2006년)" xfId="275"/>
    <cellStyle name="_경남지역본부_20041220_상반기_2005년도급내역서_중부지역본부(2006년)_기준_경남지역본부(2006년도)" xfId="276"/>
    <cellStyle name="_경남지역본부_20041220_상반기_2005년도급내역서_중부지역본부(2006년)_기준_경북지역본부(2006년)" xfId="277"/>
    <cellStyle name="_경남지역본부_20041220_상반기_2005년도급내역서_중부지역본부(2006년)_기준_경북지역본부(2006년도)" xfId="278"/>
    <cellStyle name="_경남지역본부_20041220_상반기_2005년도급내역서_중부지역본부(2006년-051220)" xfId="279"/>
    <cellStyle name="_경남지역본부_20041220_상반기_2005년도급내역서_중부지역본부(2006년-051228)" xfId="280"/>
    <cellStyle name="_경남지역본부_20041220_상반기_2005년도급내역서_중부지역본부(2006년-060102)" xfId="281"/>
    <cellStyle name="_경남지역본부_20041220_상반기_TTMS위탁수량(KHC)" xfId="297"/>
    <cellStyle name="_경남지역본부_20041220_상반기_강원지역본부(2006년)" xfId="283"/>
    <cellStyle name="_경남지역본부_20041220_상반기_강원지역본부(2006년-051228)" xfId="284"/>
    <cellStyle name="_경남지역본부_20041220_상반기_강원지역본부(2006년-060102)" xfId="285"/>
    <cellStyle name="_경남지역본부_20041220_상반기_경남본부_2006년도_유지관리대상수량" xfId="286"/>
    <cellStyle name="_경남지역본부_20041220_상반기_경남본부_2006년도_유지관리대상수량_경남지역본부(2006년)" xfId="287"/>
    <cellStyle name="_경남지역본부_20041220_상반기_경남본부_2006년도_유지관리대상수량_경남지역본부(2006년도)" xfId="288"/>
    <cellStyle name="_경남지역본부_20041220_상반기_중부지역본부(2006년)_기준" xfId="289"/>
    <cellStyle name="_경남지역본부_20041220_상반기_중부지역본부(2006년)_기준_경남지역본부(2006년)" xfId="290"/>
    <cellStyle name="_경남지역본부_20041220_상반기_중부지역본부(2006년)_기준_경남지역본부(2006년도)" xfId="291"/>
    <cellStyle name="_경남지역본부_20041220_상반기_중부지역본부(2006년)_기준_경북지역본부(2006년)" xfId="292"/>
    <cellStyle name="_경남지역본부_20041220_상반기_중부지역본부(2006년)_기준_경북지역본부(2006년도)" xfId="293"/>
    <cellStyle name="_경남지역본부_20041220_상반기_중부지역본부(2006년-051220)" xfId="294"/>
    <cellStyle name="_경남지역본부_20041220_상반기_중부지역본부(2006년-051228)" xfId="295"/>
    <cellStyle name="_경남지역본부_20041220_상반기_중부지역본부(2006년-060102)" xfId="296"/>
    <cellStyle name="_경북지역본부-" xfId="300"/>
    <cellStyle name="_중부지역본부-" xfId="352"/>
    <cellStyle name="_중부지역본부(2006년)_기준" xfId="353"/>
    <cellStyle name="_중부지역본부(2006년)_기준_경남지역본부(2006년)" xfId="354"/>
    <cellStyle name="_중부지역본부(2006년)_기준_경남지역본부(2006년도)" xfId="355"/>
    <cellStyle name="_중부지역본부(2006년)_기준_경북지역본부(2006년)" xfId="356"/>
    <cellStyle name="_중부지역본부(2006년)_기준_경북지역본부(2006년도)" xfId="357"/>
    <cellStyle name="_중부지역본부(2006년-051220)" xfId="358"/>
    <cellStyle name="_중부지역본부(2006년-051228)" xfId="359"/>
    <cellStyle name="_중부지역본부(2006년-060102)" xfId="360"/>
    <cellStyle name="_통행료면탈방지시스템(최종)" xfId="371"/>
    <cellStyle name="0%" xfId="393"/>
    <cellStyle name="0% 2" xfId="984"/>
    <cellStyle name="0% 3" xfId="970"/>
    <cellStyle name="0,0_x000d__x000a_NA_x000d__x000a_" xfId="394"/>
    <cellStyle name="0.0" xfId="395"/>
    <cellStyle name="0.0%" xfId="396"/>
    <cellStyle name="0.0% 2" xfId="985"/>
    <cellStyle name="0.0% 3" xfId="971"/>
    <cellStyle name="0.00" xfId="397"/>
    <cellStyle name="0.00%" xfId="398"/>
    <cellStyle name="0.00% 2" xfId="986"/>
    <cellStyle name="0.00% 3" xfId="972"/>
    <cellStyle name="0.000%" xfId="399"/>
    <cellStyle name="0.000% 2" xfId="987"/>
    <cellStyle name="0.000% 3" xfId="973"/>
    <cellStyle name="0.0000%" xfId="400"/>
    <cellStyle name="1" xfId="401"/>
    <cellStyle name="10" xfId="402"/>
    <cellStyle name="120" xfId="403"/>
    <cellStyle name="19990216" xfId="404"/>
    <cellStyle name="¹éº" xfId="406"/>
    <cellStyle name="1월" xfId="405"/>
    <cellStyle name="³?a￥" xfId="407"/>
    <cellStyle name="60" xfId="408"/>
    <cellStyle name="_x0014_7." xfId="409"/>
    <cellStyle name="aa" xfId="843"/>
    <cellStyle name="aa 2" xfId="994"/>
    <cellStyle name="aa 3" xfId="980"/>
    <cellStyle name="Actual Date" xfId="844"/>
    <cellStyle name="Åë" xfId="845"/>
    <cellStyle name="Aee­ " xfId="846"/>
    <cellStyle name="Åëè­ [" xfId="847"/>
    <cellStyle name="ÅëÈ­ [0]_¸ðÇü¸·" xfId="848"/>
    <cellStyle name="AeE­ [0]_±a¼uAe½A " xfId="849"/>
    <cellStyle name="ÅëÈ­ [0]_laroux" xfId="850"/>
    <cellStyle name="Aee­ _06년)하이패스_점검내역" xfId="851"/>
    <cellStyle name="ÅëÈ­_¸ðÇü¸·" xfId="852"/>
    <cellStyle name="AeE­_±a¼uAe½A " xfId="853"/>
    <cellStyle name="ÅëÈ­_laroux" xfId="854"/>
    <cellStyle name="Æu¼¾æR" xfId="855"/>
    <cellStyle name="ALIGNMENT" xfId="856"/>
    <cellStyle name="Äþ" xfId="857"/>
    <cellStyle name="Äþ¸¶ [" xfId="858"/>
    <cellStyle name="ÄÞ¸¶ [0]_¸ðÇü¸·" xfId="859"/>
    <cellStyle name="AÞ¸¶ [0]_±a¼uAe½A " xfId="860"/>
    <cellStyle name="ÄÞ¸¶ [0]_laroux" xfId="861"/>
    <cellStyle name="ÄÞ¸¶_¸ðÇü¸·" xfId="862"/>
    <cellStyle name="AÞ¸¶_±a¼uAe½A " xfId="863"/>
    <cellStyle name="ÄÞ¸¶_laroux" xfId="864"/>
    <cellStyle name="Au¸R¼o" xfId="865"/>
    <cellStyle name="Au¸R¼o0" xfId="866"/>
    <cellStyle name="b?þ?b?þ?b?þ?b?þ?b?þ?b?þ?b?þ?b?þ?b?þ?b?þ?b灌þ?b?þ?&lt;?b?þ?b濬þ?b?þ?b?þ昰_x0018_?þ????_x0008_" xfId="867"/>
    <cellStyle name="b?þ?b?þ?b?þ?b灌þ?b?þ?&lt;?b?þ?b濬þ?b?þ?b?þ昰_x0018_?þ????_x0008_" xfId="868"/>
    <cellStyle name="b␌þකb濰þඪb瀠þයb灌þ්b炈þ宐&lt;෢b濈þෲb濬þขb瀐þฒb瀰þ昰_x0018_⋸þ㤕䰀ጤܕ_x0008_" xfId="869"/>
    <cellStyle name="body" xfId="871"/>
    <cellStyle name="b嬜þപb嬼þഺb孬þൊb⍜þ൚b⍼þ൪b⎨þൺb⏜þඊb␌þකb濰þඪb瀠þයb灌þ්b炈þ宐&lt;෢b濈þෲb濬þขb瀐þฒb瀰þ昰_x0018_⋸þ㤕䰀ጤܕ_x0008_" xfId="870"/>
    <cellStyle name="C¡IA¨ª_Sheet1 (2)" xfId="872"/>
    <cellStyle name="Ç¥" xfId="873"/>
    <cellStyle name="C￥AØ_  FAB AIA¤  " xfId="874"/>
    <cellStyle name="Ç¥ÁØ_¸ðÇü¸·" xfId="875"/>
    <cellStyle name="C￥AØ_¿μ¾÷CoE² " xfId="876"/>
    <cellStyle name="Ç¥ÁØ_°­´ç (2)" xfId="877"/>
    <cellStyle name="C￥AØ_°A·¡≫oE²" xfId="878"/>
    <cellStyle name="Calc Currency (0)" xfId="879"/>
    <cellStyle name="category" xfId="880"/>
    <cellStyle name="CIAIÆU¸μAⓒ" xfId="881"/>
    <cellStyle name="Co≫e" xfId="882"/>
    <cellStyle name="Comma" xfId="883"/>
    <cellStyle name="Comma [0]" xfId="884"/>
    <cellStyle name="comma zerodec" xfId="885"/>
    <cellStyle name="Comma_ SG&amp;A Bridge " xfId="886"/>
    <cellStyle name="Comma0" xfId="887"/>
    <cellStyle name="Copied" xfId="888"/>
    <cellStyle name="Curren?_x0012_퐀_x0017_?" xfId="889"/>
    <cellStyle name="Currency" xfId="890"/>
    <cellStyle name="Currency [0]" xfId="891"/>
    <cellStyle name="Currency_ SG&amp;A Bridge " xfId="892"/>
    <cellStyle name="Currency0" xfId="893"/>
    <cellStyle name="Currency1" xfId="894"/>
    <cellStyle name="Date" xfId="895"/>
    <cellStyle name="Dezimal [0]_Ausdruck RUND (D)" xfId="896"/>
    <cellStyle name="Dezimal_Ausdruck RUND (D)" xfId="897"/>
    <cellStyle name="Dollar (zero dec)" xfId="898"/>
    <cellStyle name="E­æo±ae￡" xfId="899"/>
    <cellStyle name="E­æo±ae￡0" xfId="900"/>
    <cellStyle name="Entered" xfId="901"/>
    <cellStyle name="Euro" xfId="902"/>
    <cellStyle name="F2" xfId="903"/>
    <cellStyle name="F3" xfId="904"/>
    <cellStyle name="F4" xfId="905"/>
    <cellStyle name="F5" xfId="906"/>
    <cellStyle name="F6" xfId="907"/>
    <cellStyle name="F7" xfId="908"/>
    <cellStyle name="F8" xfId="909"/>
    <cellStyle name="Fixed" xfId="910"/>
    <cellStyle name="G/표준" xfId="911"/>
    <cellStyle name="Grey" xfId="912"/>
    <cellStyle name="head" xfId="913"/>
    <cellStyle name="head 1" xfId="914"/>
    <cellStyle name="head 1-1" xfId="915"/>
    <cellStyle name="HEADER" xfId="916"/>
    <cellStyle name="Header1" xfId="917"/>
    <cellStyle name="Header2" xfId="918"/>
    <cellStyle name="Heading 1" xfId="919"/>
    <cellStyle name="Heading 2" xfId="920"/>
    <cellStyle name="Heading1" xfId="921"/>
    <cellStyle name="Heading2" xfId="922"/>
    <cellStyle name="Helv8_PFD4.XLS" xfId="923"/>
    <cellStyle name="HIGHLIGHT" xfId="924"/>
    <cellStyle name="Hyperlink_NEGS" xfId="925"/>
    <cellStyle name="Input [yellow]" xfId="926"/>
    <cellStyle name="Milliers [0]_Arabian Spec" xfId="927"/>
    <cellStyle name="Milliers_Arabian Spec" xfId="928"/>
    <cellStyle name="Model" xfId="929"/>
    <cellStyle name="Mon?aire [0]_Arabian Spec" xfId="930"/>
    <cellStyle name="Mon?aire_Arabian Spec" xfId="931"/>
    <cellStyle name="no dec" xfId="932"/>
    <cellStyle name="Normal - Style1" xfId="934"/>
    <cellStyle name="Normal - Style2" xfId="935"/>
    <cellStyle name="Normal - Style3" xfId="936"/>
    <cellStyle name="Normal - Style4" xfId="937"/>
    <cellStyle name="Normal - Style5" xfId="938"/>
    <cellStyle name="Normal - Style6" xfId="939"/>
    <cellStyle name="Normal - Style7" xfId="940"/>
    <cellStyle name="Normal - Style8" xfId="941"/>
    <cellStyle name="Normal - 유형1" xfId="933"/>
    <cellStyle name="Normal_ SG&amp;A Bridge" xfId="942"/>
    <cellStyle name="Œ…?æ맖?e [0.00]_laroux" xfId="943"/>
    <cellStyle name="Œ…?æ맖?e_laroux" xfId="944"/>
    <cellStyle name="oft Excel]_x000d__x000a_Comment=The open=/f lines load custom functions into the Paste Function list._x000d__x000a_Maximized=3_x000d__x000a_AutoFormat=" xfId="945"/>
    <cellStyle name="Percent" xfId="946"/>
    <cellStyle name="Percent [2]" xfId="947"/>
    <cellStyle name="Percent_06년)하이패스_점검내역" xfId="948"/>
    <cellStyle name="RevList" xfId="949"/>
    <cellStyle name="STANDARD" xfId="950"/>
    <cellStyle name="STD" xfId="951"/>
    <cellStyle name="subhead" xfId="952"/>
    <cellStyle name="Subtotal" xfId="953"/>
    <cellStyle name="þ?b?þ?b?þ?b?þ?b?þ?b?þ?b?þ?b灌þ?b?þ?&lt;?b?þ?b濬þ?b?þ?b?þ昰_x0018_?þ????_x0008_" xfId="954"/>
    <cellStyle name="þ൚b⍼þ൪b⎨þൺb⏜þඊb␌þකb濰þඪb瀠þයb灌þ්b炈þ宐&lt;෢b濈þෲb濬þขb瀐þฒb瀰þ昰_x0018_⋸þ㤕䰀ጤܕ_x0008_" xfId="955"/>
    <cellStyle name="Title" xfId="956"/>
    <cellStyle name="title [1]" xfId="957"/>
    <cellStyle name="title [2]" xfId="958"/>
    <cellStyle name="Total" xfId="959"/>
    <cellStyle name="UM" xfId="960"/>
    <cellStyle name="Unprot" xfId="961"/>
    <cellStyle name="Unprot$" xfId="962"/>
    <cellStyle name="Unprotect" xfId="963"/>
    <cellStyle name="W?rung [0]_Ausdruck RUND (D)" xfId="964"/>
    <cellStyle name="W?rung_Ausdruck RUND (D)" xfId="965"/>
    <cellStyle name="μU¿¡ ¿A´A CIAIÆU¸μAⓒ" xfId="966"/>
    <cellStyle name="고정소숫점" xfId="410"/>
    <cellStyle name="고정출력1" xfId="411"/>
    <cellStyle name="고정출력2" xfId="412"/>
    <cellStyle name="咬訌裝?INCOM1" xfId="413"/>
    <cellStyle name="咬訌裝?INCOM10" xfId="414"/>
    <cellStyle name="咬訌裝?INCOM2" xfId="415"/>
    <cellStyle name="咬訌裝?INCOM3" xfId="416"/>
    <cellStyle name="咬訌裝?INCOM4" xfId="417"/>
    <cellStyle name="咬訌裝?INCOM5" xfId="418"/>
    <cellStyle name="咬訌裝?INCOM6" xfId="419"/>
    <cellStyle name="咬訌裝?INCOM7" xfId="420"/>
    <cellStyle name="咬訌裝?INCOM8" xfId="421"/>
    <cellStyle name="咬訌裝?INCOM9" xfId="422"/>
    <cellStyle name="咬訌裝?PRIB11" xfId="423"/>
    <cellStyle name="구        분" xfId="424"/>
    <cellStyle name="금액" xfId="425"/>
    <cellStyle name="김해전기" xfId="426"/>
    <cellStyle name="날짜" xfId="427"/>
    <cellStyle name="내역서" xfId="428"/>
    <cellStyle name="단위(원)" xfId="429"/>
    <cellStyle name="달러" xfId="430"/>
    <cellStyle name="뒤에 오는 하이퍼링크" xfId="431"/>
    <cellStyle name="똿뗦먛귟 [0.00]_laroux" xfId="432"/>
    <cellStyle name="똿뗦먛귟_laroux" xfId="433"/>
    <cellStyle name="믅됞 [0.00]_laroux" xfId="434"/>
    <cellStyle name="믅됞_laroux" xfId="435"/>
    <cellStyle name="배분" xfId="436"/>
    <cellStyle name="백분율 [0]" xfId="437"/>
    <cellStyle name="백분율 [2]" xfId="438"/>
    <cellStyle name="백분율［△1］" xfId="439"/>
    <cellStyle name="백분율［△2］" xfId="440"/>
    <cellStyle name="뷭?_?긚??_1" xfId="441"/>
    <cellStyle name="선택영역의 가운데로" xfId="442"/>
    <cellStyle name="설계서" xfId="443"/>
    <cellStyle name="설계서-내용" xfId="444"/>
    <cellStyle name="설계서-내용-소수점" xfId="445"/>
    <cellStyle name="설계서-내용-우" xfId="446"/>
    <cellStyle name="설계서-내용-좌" xfId="447"/>
    <cellStyle name="설계서-소제목" xfId="448"/>
    <cellStyle name="설계서-타이틀" xfId="449"/>
    <cellStyle name="설계서-항목" xfId="450"/>
    <cellStyle name="수산" xfId="451"/>
    <cellStyle name="숫자(R)" xfId="452"/>
    <cellStyle name="쉼표 [0]" xfId="453" builtinId="6"/>
    <cellStyle name="쉼표 [0] 2" xfId="454"/>
    <cellStyle name="쉼표 [0] 3" xfId="988"/>
    <cellStyle name="쉼표 [0] 4" xfId="974"/>
    <cellStyle name="쉼표 [0]_2. 냉온수" xfId="455"/>
    <cellStyle name="쉼표 [0]_목차_1" xfId="456"/>
    <cellStyle name="스타일 1" xfId="457"/>
    <cellStyle name="스타일 1 2" xfId="989"/>
    <cellStyle name="스타일 1 3" xfId="975"/>
    <cellStyle name="스타일 10" xfId="458"/>
    <cellStyle name="스타일 11" xfId="459"/>
    <cellStyle name="스타일 12" xfId="460"/>
    <cellStyle name="스타일 13" xfId="461"/>
    <cellStyle name="스타일 14" xfId="462"/>
    <cellStyle name="스타일 15" xfId="463"/>
    <cellStyle name="스타일 15 2" xfId="990"/>
    <cellStyle name="스타일 15 3" xfId="976"/>
    <cellStyle name="스타일 16" xfId="464"/>
    <cellStyle name="스타일 17" xfId="465"/>
    <cellStyle name="스타일 18" xfId="466"/>
    <cellStyle name="스타일 19" xfId="467"/>
    <cellStyle name="스타일 2" xfId="468"/>
    <cellStyle name="스타일 20" xfId="469"/>
    <cellStyle name="스타일 21" xfId="470"/>
    <cellStyle name="스타일 22" xfId="471"/>
    <cellStyle name="스타일 22 2" xfId="991"/>
    <cellStyle name="스타일 22 3" xfId="977"/>
    <cellStyle name="스타일 23" xfId="472"/>
    <cellStyle name="스타일 24" xfId="473"/>
    <cellStyle name="스타일 25" xfId="474"/>
    <cellStyle name="스타일 26" xfId="475"/>
    <cellStyle name="스타일 27" xfId="476"/>
    <cellStyle name="스타일 28" xfId="477"/>
    <cellStyle name="스타일 29" xfId="478"/>
    <cellStyle name="스타일 3" xfId="479"/>
    <cellStyle name="스타일 30" xfId="480"/>
    <cellStyle name="스타일 31" xfId="481"/>
    <cellStyle name="스타일 32" xfId="482"/>
    <cellStyle name="스타일 32 2" xfId="992"/>
    <cellStyle name="스타일 32 3" xfId="978"/>
    <cellStyle name="스타일 33" xfId="483"/>
    <cellStyle name="스타일 34" xfId="484"/>
    <cellStyle name="스타일 35" xfId="485"/>
    <cellStyle name="스타일 36" xfId="486"/>
    <cellStyle name="스타일 37" xfId="487"/>
    <cellStyle name="스타일 38" xfId="488"/>
    <cellStyle name="스타일 39" xfId="489"/>
    <cellStyle name="스타일 4" xfId="490"/>
    <cellStyle name="스타일 5" xfId="491"/>
    <cellStyle name="스타일 6" xfId="492"/>
    <cellStyle name="스타일 7" xfId="493"/>
    <cellStyle name="스타일 8" xfId="494"/>
    <cellStyle name="스타일 8 2" xfId="993"/>
    <cellStyle name="스타일 8 3" xfId="979"/>
    <cellStyle name="스타일 9" xfId="495"/>
    <cellStyle name="안건회계법인" xfId="496"/>
    <cellStyle name="원" xfId="497"/>
    <cellStyle name="원_0008금감원통합감독검사정보시스템" xfId="498"/>
    <cellStyle name="원_0009김포공항LED교체공사(광일)" xfId="499"/>
    <cellStyle name="원_0009김포공항LED교체공사(광일)_강원지역본부(2006년_060109)" xfId="500"/>
    <cellStyle name="원_0009김포공항LED교체공사(광일)_경남지역본부-" xfId="501"/>
    <cellStyle name="원_0009김포공항LED교체공사(광일)_경북지역본부-" xfId="502"/>
    <cellStyle name="원_0009김포공항LED교체공사(광일)_중부지역본부-" xfId="503"/>
    <cellStyle name="원_0009김포공항LED교체공사(광일)_충청지역본부-" xfId="504"/>
    <cellStyle name="원_0009김포공항LED교체공사(광일)_통행료면탈방지시스템(최종)" xfId="505"/>
    <cellStyle name="원_0009김포공항LED교체공사(광일)_호남지역본부-" xfId="506"/>
    <cellStyle name="원_0011KIST소각설비제작설치" xfId="523"/>
    <cellStyle name="원_0011KIST소각설비제작설치_강원지역본부(2006년_060109)" xfId="524"/>
    <cellStyle name="원_0011KIST소각설비제작설치_경남지역본부-" xfId="525"/>
    <cellStyle name="원_0011KIST소각설비제작설치_경북지역본부-" xfId="526"/>
    <cellStyle name="원_0011KIST소각설비제작설치_중부지역본부-" xfId="527"/>
    <cellStyle name="원_0011KIST소각설비제작설치_충청지역본부-" xfId="528"/>
    <cellStyle name="원_0011KIST소각설비제작설치_통행료면탈방지시스템(최종)" xfId="529"/>
    <cellStyle name="원_0011KIST소각설비제작설치_호남지역본부-" xfId="530"/>
    <cellStyle name="원_0011긴급전화기정산(99년형광일)" xfId="507"/>
    <cellStyle name="원_0011긴급전화기정산(99년형광일)_강원지역본부(2006년_060109)" xfId="508"/>
    <cellStyle name="원_0011긴급전화기정산(99년형광일)_경남지역본부-" xfId="509"/>
    <cellStyle name="원_0011긴급전화기정산(99년형광일)_경북지역본부-" xfId="510"/>
    <cellStyle name="원_0011긴급전화기정산(99년형광일)_중부지역본부-" xfId="511"/>
    <cellStyle name="원_0011긴급전화기정산(99년형광일)_충청지역본부-" xfId="512"/>
    <cellStyle name="원_0011긴급전화기정산(99년형광일)_통행료면탈방지시스템(최종)" xfId="513"/>
    <cellStyle name="원_0011긴급전화기정산(99년형광일)_호남지역본부-" xfId="514"/>
    <cellStyle name="원_0011부산종합경기장전광판" xfId="515"/>
    <cellStyle name="원_0011부산종합경기장전광판_강원지역본부(2006년_060109)" xfId="516"/>
    <cellStyle name="원_0011부산종합경기장전광판_경남지역본부-" xfId="517"/>
    <cellStyle name="원_0011부산종합경기장전광판_경북지역본부-" xfId="518"/>
    <cellStyle name="원_0011부산종합경기장전광판_중부지역본부-" xfId="519"/>
    <cellStyle name="원_0011부산종합경기장전광판_충청지역본부-" xfId="520"/>
    <cellStyle name="원_0011부산종합경기장전광판_통행료면탈방지시스템(최종)" xfId="521"/>
    <cellStyle name="원_0011부산종합경기장전광판_호남지역본부-" xfId="522"/>
    <cellStyle name="원_0012문화유적지표석제작설치" xfId="531"/>
    <cellStyle name="원_0012문화유적지표석제작설치_강원지역본부(2006년_060109)" xfId="532"/>
    <cellStyle name="원_0012문화유적지표석제작설치_경남지역본부-" xfId="533"/>
    <cellStyle name="원_0012문화유적지표석제작설치_경북지역본부-" xfId="534"/>
    <cellStyle name="원_0012문화유적지표석제작설치_중부지역본부-" xfId="535"/>
    <cellStyle name="원_0012문화유적지표석제작설치_충청지역본부-" xfId="536"/>
    <cellStyle name="원_0012문화유적지표석제작설치_통행료면탈방지시스템(최종)" xfId="537"/>
    <cellStyle name="원_0012문화유적지표석제작설치_호남지역본부-" xfId="538"/>
    <cellStyle name="원_0102국제조명신공항분수조명" xfId="539"/>
    <cellStyle name="원_0102국제조명신공항분수조명_강원지역본부(2006년_060109)" xfId="540"/>
    <cellStyle name="원_0102국제조명신공항분수조명_경남지역본부-" xfId="541"/>
    <cellStyle name="원_0102국제조명신공항분수조명_경북지역본부-" xfId="542"/>
    <cellStyle name="원_0102국제조명신공항분수조명_중부지역본부-" xfId="543"/>
    <cellStyle name="원_0102국제조명신공항분수조명_충청지역본부-" xfId="544"/>
    <cellStyle name="원_0102국제조명신공항분수조명_통행료면탈방지시스템(최종)" xfId="545"/>
    <cellStyle name="원_0102국제조명신공항분수조명_호남지역본부-" xfId="546"/>
    <cellStyle name="원_0103회전식현수막게시대제작설치" xfId="547"/>
    <cellStyle name="원_0104포항시침출수처리시스템" xfId="548"/>
    <cellStyle name="원_0105담배자판기개조원가" xfId="549"/>
    <cellStyle name="원_0105담배자판기개조원가_강원지역본부(2006년_060109)" xfId="550"/>
    <cellStyle name="원_0105담배자판기개조원가_경남지역본부-" xfId="551"/>
    <cellStyle name="원_0105담배자판기개조원가_경북지역본부-" xfId="552"/>
    <cellStyle name="원_0105담배자판기개조원가_중부지역본부-" xfId="553"/>
    <cellStyle name="원_0105담배자판기개조원가_충청지역본부-" xfId="554"/>
    <cellStyle name="원_0105담배자판기개조원가_통행료면탈방지시스템(최종)" xfId="555"/>
    <cellStyle name="원_0105담배자판기개조원가_호남지역본부-" xfId="556"/>
    <cellStyle name="원_0106LG인버터냉난방기제작-1" xfId="557"/>
    <cellStyle name="원_0106LG인버터냉난방기제작-1_강원지역본부(2006년_060109)" xfId="558"/>
    <cellStyle name="원_0106LG인버터냉난방기제작-1_경남지역본부-" xfId="559"/>
    <cellStyle name="원_0106LG인버터냉난방기제작-1_경북지역본부-" xfId="560"/>
    <cellStyle name="원_0106LG인버터냉난방기제작-1_중부지역본부-" xfId="561"/>
    <cellStyle name="원_0106LG인버터냉난방기제작-1_충청지역본부-" xfId="562"/>
    <cellStyle name="원_0106LG인버터냉난방기제작-1_통행료면탈방지시스템(최종)" xfId="563"/>
    <cellStyle name="원_0106LG인버터냉난방기제작-1_호남지역본부-" xfId="564"/>
    <cellStyle name="원_0107광전송장비구매설치" xfId="565"/>
    <cellStyle name="원_0107광전송장비구매설치_강원지역본부(2006년_060109)" xfId="566"/>
    <cellStyle name="원_0107광전송장비구매설치_경남지역본부-" xfId="567"/>
    <cellStyle name="원_0107광전송장비구매설치_경북지역본부-" xfId="568"/>
    <cellStyle name="원_0107광전송장비구매설치_중부지역본부-" xfId="569"/>
    <cellStyle name="원_0107광전송장비구매설치_충청지역본부-" xfId="570"/>
    <cellStyle name="원_0107광전송장비구매설치_통행료면탈방지시스템(최종)" xfId="571"/>
    <cellStyle name="원_0107광전송장비구매설치_호남지역본부-" xfId="572"/>
    <cellStyle name="원_0107도공IBS설비SW부문(참조)" xfId="573"/>
    <cellStyle name="원_0107도공IBS설비SW부문(참조)_강원지역본부(2006년_060109)" xfId="574"/>
    <cellStyle name="원_0107도공IBS설비SW부문(참조)_경남지역본부-" xfId="575"/>
    <cellStyle name="원_0107도공IBS설비SW부문(참조)_경북지역본부-" xfId="576"/>
    <cellStyle name="원_0107도공IBS설비SW부문(참조)_중부지역본부-" xfId="577"/>
    <cellStyle name="원_0107도공IBS설비SW부문(참조)_충청지역본부-" xfId="578"/>
    <cellStyle name="원_0107도공IBS설비SW부문(참조)_통행료면탈방지시스템(최종)" xfId="579"/>
    <cellStyle name="원_0107도공IBS설비SW부문(참조)_호남지역본부-" xfId="580"/>
    <cellStyle name="원_0107문화재복원용목재-8월6일" xfId="581"/>
    <cellStyle name="원_0107문화재복원용목재-8월6일_강원지역본부(2006년_060109)" xfId="582"/>
    <cellStyle name="원_0107문화재복원용목재-8월6일_경남지역본부-" xfId="583"/>
    <cellStyle name="원_0107문화재복원용목재-8월6일_경북지역본부-" xfId="584"/>
    <cellStyle name="원_0107문화재복원용목재-8월6일_중부지역본부-" xfId="585"/>
    <cellStyle name="원_0107문화재복원용목재-8월6일_충청지역본부-" xfId="586"/>
    <cellStyle name="원_0107문화재복원용목재-8월6일_통행료면탈방지시스템(최종)" xfId="587"/>
    <cellStyle name="원_0107문화재복원용목재-8월6일_호남지역본부-" xfId="588"/>
    <cellStyle name="원_0107포천영중수배전반(제조,설치)" xfId="589"/>
    <cellStyle name="원_0107포천영중수배전반(제조,설치)_강원지역본부(2006년_060109)" xfId="590"/>
    <cellStyle name="원_0107포천영중수배전반(제조,설치)_경남지역본부-" xfId="591"/>
    <cellStyle name="원_0107포천영중수배전반(제조,설치)_경북지역본부-" xfId="592"/>
    <cellStyle name="원_0107포천영중수배전반(제조,설치)_중부지역본부-" xfId="593"/>
    <cellStyle name="원_0107포천영중수배전반(제조,설치)_충청지역본부-" xfId="594"/>
    <cellStyle name="원_0107포천영중수배전반(제조,설치)_통행료면탈방지시스템(최종)" xfId="595"/>
    <cellStyle name="원_0107포천영중수배전반(제조,설치)_호남지역본부-" xfId="596"/>
    <cellStyle name="원_0108농기반미곡건조기제작설치" xfId="597"/>
    <cellStyle name="원_0108담배인삼공사영업춘추복" xfId="598"/>
    <cellStyle name="원_0108한국전기교통-LED교통신호등((원본))" xfId="599"/>
    <cellStyle name="원_0108한국전기교통-LED교통신호등((원본))_강원지역본부(2006년_060109)" xfId="600"/>
    <cellStyle name="원_0108한국전기교통-LED교통신호등((원본))_경남지역본부-" xfId="601"/>
    <cellStyle name="원_0108한국전기교통-LED교통신호등((원본))_경북지역본부-" xfId="602"/>
    <cellStyle name="원_0108한국전기교통-LED교통신호등((원본))_중부지역본부-" xfId="603"/>
    <cellStyle name="원_0108한국전기교통-LED교통신호등((원본))_충청지역본부-" xfId="604"/>
    <cellStyle name="원_0108한국전기교통-LED교통신호등((원본))_통행료면탈방지시스템(최종)" xfId="605"/>
    <cellStyle name="원_0108한국전기교통-LED교통신호등((원본))_호남지역본부-" xfId="606"/>
    <cellStyle name="원_0111해양수산부등명기제작" xfId="607"/>
    <cellStyle name="원_0111해양수산부등명기제작_강원지역본부(2006년_060109)" xfId="608"/>
    <cellStyle name="원_0111해양수산부등명기제작_경남지역본부-" xfId="609"/>
    <cellStyle name="원_0111해양수산부등명기제작_경북지역본부-" xfId="610"/>
    <cellStyle name="원_0111해양수산부등명기제작_중부지역본부-" xfId="611"/>
    <cellStyle name="원_0111해양수산부등명기제작_충청지역본부-" xfId="612"/>
    <cellStyle name="원_0111해양수산부등명기제작_통행료면탈방지시스템(최종)" xfId="613"/>
    <cellStyle name="원_0111해양수산부등명기제작_호남지역본부-" xfId="614"/>
    <cellStyle name="원_0111핸디소프트-전자표준문서시스템" xfId="615"/>
    <cellStyle name="원_0112금감원사무자동화시스템" xfId="616"/>
    <cellStyle name="원_0112금감원사무자동화시스템_강원지역본부(2006년_060109)" xfId="617"/>
    <cellStyle name="원_0112금감원사무자동화시스템_경남지역본부-" xfId="618"/>
    <cellStyle name="원_0112금감원사무자동화시스템_경북지역본부-" xfId="619"/>
    <cellStyle name="원_0112금감원사무자동화시스템_중부지역본부-" xfId="620"/>
    <cellStyle name="원_0112금감원사무자동화시스템_충청지역본부-" xfId="621"/>
    <cellStyle name="원_0112금감원사무자동화시스템_통행료면탈방지시스템(최종)" xfId="622"/>
    <cellStyle name="원_0112금감원사무자동화시스템_호남지역본부-" xfId="623"/>
    <cellStyle name="원_0112수도권매립지SW원가" xfId="624"/>
    <cellStyle name="원_0112수도권매립지SW원가_강원지역본부(2006년_060109)" xfId="625"/>
    <cellStyle name="원_0112수도권매립지SW원가_경남지역본부-" xfId="626"/>
    <cellStyle name="원_0112수도권매립지SW원가_경북지역본부-" xfId="627"/>
    <cellStyle name="원_0112수도권매립지SW원가_중부지역본부-" xfId="628"/>
    <cellStyle name="원_0112수도권매립지SW원가_충청지역본부-" xfId="629"/>
    <cellStyle name="원_0112수도권매립지SW원가_통행료면탈방지시스템(최종)" xfId="630"/>
    <cellStyle name="원_0112수도권매립지SW원가_호남지역본부-" xfId="631"/>
    <cellStyle name="원_0112중고원-HRD종합정보망구축(完)" xfId="632"/>
    <cellStyle name="원_0201종합예술회관의자제작설치" xfId="633"/>
    <cellStyle name="원_0201종합예술회관의자제작설치-1" xfId="634"/>
    <cellStyle name="원_0202마사회근무복" xfId="635"/>
    <cellStyle name="원_0202마사회근무복_강원지역본부(2006년_060109)" xfId="636"/>
    <cellStyle name="원_0202마사회근무복_경남지역본부-" xfId="637"/>
    <cellStyle name="원_0202마사회근무복_경북지역본부-" xfId="638"/>
    <cellStyle name="원_0202마사회근무복_중부지역본부-" xfId="639"/>
    <cellStyle name="원_0202마사회근무복_충청지역본부-" xfId="640"/>
    <cellStyle name="원_0202마사회근무복_통행료면탈방지시스템(최종)" xfId="641"/>
    <cellStyle name="원_0202마사회근무복_호남지역본부-" xfId="642"/>
    <cellStyle name="원_0202부경교재-승강칠판" xfId="643"/>
    <cellStyle name="원_0202부경교재-승강칠판_강원지역본부(2006년_060109)" xfId="644"/>
    <cellStyle name="원_0202부경교재-승강칠판_경남지역본부-" xfId="645"/>
    <cellStyle name="원_0202부경교재-승강칠판_경북지역본부-" xfId="646"/>
    <cellStyle name="원_0202부경교재-승강칠판_중부지역본부-" xfId="647"/>
    <cellStyle name="원_0202부경교재-승강칠판_충청지역본부-" xfId="648"/>
    <cellStyle name="원_0202부경교재-승강칠판_통행료면탈방지시스템(최종)" xfId="649"/>
    <cellStyle name="원_0202부경교재-승강칠판_호남지역본부-" xfId="650"/>
    <cellStyle name="원_0204한국석묘납골함-1규격" xfId="651"/>
    <cellStyle name="원_0204한국석묘납골함-1규격_강원지역본부(2006년_060109)" xfId="652"/>
    <cellStyle name="원_0204한국석묘납골함-1규격_경남지역본부-" xfId="653"/>
    <cellStyle name="원_0204한국석묘납골함-1규격_경북지역본부-" xfId="654"/>
    <cellStyle name="원_0204한국석묘납골함-1규격_중부지역본부-" xfId="655"/>
    <cellStyle name="원_0204한국석묘납골함-1규격_충청지역본부-" xfId="656"/>
    <cellStyle name="원_0204한국석묘납골함-1규격_통행료면탈방지시스템(최종)" xfId="657"/>
    <cellStyle name="원_0204한국석묘납골함-1규격_호남지역본부-" xfId="658"/>
    <cellStyle name="원_0205TTMS-긴급전화기&amp;전체총괄" xfId="659"/>
    <cellStyle name="원_0206금감원금융정보교환망재구축" xfId="660"/>
    <cellStyle name="원_0206정통부수납장표기기제작설치" xfId="661"/>
    <cellStyle name="원_0207담배인삼공사-담요" xfId="662"/>
    <cellStyle name="원_0208레비텍-다층여과기설계변경" xfId="663"/>
    <cellStyle name="원_0209이산화염소발생기-설치(50K)" xfId="664"/>
    <cellStyle name="원_0210현대정보기술-TD이중계" xfId="665"/>
    <cellStyle name="원_0211조달청-#1대북지원사업정산(1월7일)" xfId="666"/>
    <cellStyle name="원_0212금감원-법규정보시스템(完)" xfId="667"/>
    <cellStyle name="원_0301교통방송-CCTV유지보수" xfId="668"/>
    <cellStyle name="원_0302인천경찰청-무인단속기위탁관리" xfId="669"/>
    <cellStyle name="원_0302조달청-대북지원2차(안성연)" xfId="670"/>
    <cellStyle name="원_0302조달청-대북지원2차(최수현)" xfId="671"/>
    <cellStyle name="원_0302표준문서-쌍용정보통신(신)" xfId="672"/>
    <cellStyle name="원_0304소프트파워-정부표준전자문서시스템" xfId="673"/>
    <cellStyle name="원_0304소프트파워-정부표준전자문서시스템(完)" xfId="674"/>
    <cellStyle name="원_0304철도청-주변환장치-1" xfId="675"/>
    <cellStyle name="원_0305금감원-금융통계정보시스템구축(完)" xfId="676"/>
    <cellStyle name="원_0305제낭조합-면범포지" xfId="677"/>
    <cellStyle name="원_0306제낭공업협동조합-면범포지원단(경비까지)" xfId="678"/>
    <cellStyle name="원_0307경찰청-무인교통단속표준SW개발용역(完)" xfId="679"/>
    <cellStyle name="원_0308조달청-#8대북지원사업정산" xfId="680"/>
    <cellStyle name="원_0309두합크린텍-설치원가" xfId="681"/>
    <cellStyle name="원_0309조달청-#9대북지원사업정산" xfId="682"/>
    <cellStyle name="원_0310여주상수도-탈수기(유천ENG)" xfId="683"/>
    <cellStyle name="원_0311대기해양작업시간" xfId="684"/>
    <cellStyle name="원_0311대기해양중형등명기" xfId="685"/>
    <cellStyle name="원_0312국민체육진흥공단-전기부문" xfId="686"/>
    <cellStyle name="원_0312대기해양-중형등명기제작설치" xfId="687"/>
    <cellStyle name="원_0312라이준-칼라아스콘4규격" xfId="688"/>
    <cellStyle name="원_0401집진기프로그램SW개발비산정" xfId="689"/>
    <cellStyle name="원_13. 관리동" xfId="690"/>
    <cellStyle name="원_2001-06조달청신성-한냉지형" xfId="691"/>
    <cellStyle name="원_2002-03경찰대학-졸업식" xfId="692"/>
    <cellStyle name="원_2002-03경찰청-경찰표지장" xfId="693"/>
    <cellStyle name="원_2002-03반디-가로등(열주형)" xfId="694"/>
    <cellStyle name="원_2002-03신화전자-감지기" xfId="695"/>
    <cellStyle name="원_2002-04강원랜드-슬러트머신" xfId="696"/>
    <cellStyle name="원_2002-04메가컴-외주무대" xfId="697"/>
    <cellStyle name="원_2002-04엘지애드-무대" xfId="698"/>
    <cellStyle name="원_2002-05강원랜드-슬러트머신(넥스터)" xfId="699"/>
    <cellStyle name="원_2002-05경기경찰청-냉온수기공사" xfId="700"/>
    <cellStyle name="원_2002-05대통령비서실-카페트" xfId="701"/>
    <cellStyle name="원_2002결과표" xfId="702"/>
    <cellStyle name="원_2002결과표_강원지역본부(2006년_060109)" xfId="703"/>
    <cellStyle name="원_2002결과표_경남지역본부-" xfId="704"/>
    <cellStyle name="원_2002결과표_경북지역본부-" xfId="705"/>
    <cellStyle name="원_2002결과표_중부지역본부-" xfId="706"/>
    <cellStyle name="원_2002결과표_충청지역본부-" xfId="707"/>
    <cellStyle name="원_2002결과표_통행료면탈방지시스템(최종)" xfId="708"/>
    <cellStyle name="원_2002결과표_호남지역본부-" xfId="709"/>
    <cellStyle name="원_2002결과표1" xfId="710"/>
    <cellStyle name="원_2003-01정일사-표창5종" xfId="711"/>
    <cellStyle name="원_Pilot플랜트-계변경" xfId="790"/>
    <cellStyle name="원_Pilot플랜트이전설치-변경최종" xfId="791"/>
    <cellStyle name="원_SW(케이비)" xfId="792"/>
    <cellStyle name="원_간지,목차,페이지,표지" xfId="712"/>
    <cellStyle name="원_강원지역본부(2006년_060109)" xfId="713"/>
    <cellStyle name="원_경남지역본부-" xfId="714"/>
    <cellStyle name="원_경북지역본부-" xfId="715"/>
    <cellStyle name="원_경찰청-근무,기동복" xfId="716"/>
    <cellStyle name="원_공사일반관리비양식" xfId="717"/>
    <cellStyle name="원_관리동sw" xfId="718"/>
    <cellStyle name="원_기초공사" xfId="719"/>
    <cellStyle name="원_네인텍정보기술-회로카드(수현)" xfId="720"/>
    <cellStyle name="원_대기해양노무비" xfId="721"/>
    <cellStyle name="원_대북자재8월분" xfId="722"/>
    <cellStyle name="원_대북자재8월분-1" xfId="723"/>
    <cellStyle name="원_동산용사촌수현(원본)" xfId="724"/>
    <cellStyle name="원_동산용사촌수현(원본)_강원지역본부(2006년_060109)" xfId="725"/>
    <cellStyle name="원_동산용사촌수현(원본)_경남지역본부-" xfId="726"/>
    <cellStyle name="원_동산용사촌수현(원본)_경북지역본부-" xfId="727"/>
    <cellStyle name="원_동산용사촌수현(원본)_중부지역본부-" xfId="728"/>
    <cellStyle name="원_동산용사촌수현(원본)_충청지역본부-" xfId="729"/>
    <cellStyle name="원_동산용사촌수현(원본)_통행료면탈방지시스템(최종)" xfId="730"/>
    <cellStyle name="원_동산용사촌수현(원본)_호남지역본부-" xfId="731"/>
    <cellStyle name="원_목차" xfId="732"/>
    <cellStyle name="원_백제군사전시1" xfId="733"/>
    <cellStyle name="원_수초제거기(대양기계)" xfId="734"/>
    <cellStyle name="원_수초제거기(대양기계)_강원지역본부(2006년_060109)" xfId="735"/>
    <cellStyle name="원_수초제거기(대양기계)_경남지역본부-" xfId="736"/>
    <cellStyle name="원_수초제거기(대양기계)_경북지역본부-" xfId="737"/>
    <cellStyle name="원_수초제거기(대양기계)_중부지역본부-" xfId="738"/>
    <cellStyle name="원_수초제거기(대양기계)_충청지역본부-" xfId="739"/>
    <cellStyle name="원_수초제거기(대양기계)_통행료면탈방지시스템(최종)" xfId="740"/>
    <cellStyle name="원_수초제거기(대양기계)_호남지역본부-" xfId="741"/>
    <cellStyle name="원_시설용역" xfId="742"/>
    <cellStyle name="원_암전정밀실체현미경(수현)" xfId="743"/>
    <cellStyle name="원_오리엔탈" xfId="744"/>
    <cellStyle name="원_원본 - 한국전기교통-개선형신호등 4종" xfId="745"/>
    <cellStyle name="원_원본 - 한국전기교통-개선형신호등 4종_강원지역본부(2006년_060109)" xfId="746"/>
    <cellStyle name="원_원본 - 한국전기교통-개선형신호등 4종_경남지역본부-" xfId="747"/>
    <cellStyle name="원_원본 - 한국전기교통-개선형신호등 4종_경북지역본부-" xfId="748"/>
    <cellStyle name="원_원본 - 한국전기교통-개선형신호등 4종_중부지역본부-" xfId="749"/>
    <cellStyle name="원_원본 - 한국전기교통-개선형신호등 4종_충청지역본부-" xfId="750"/>
    <cellStyle name="원_원본 - 한국전기교통-개선형신호등 4종_통행료면탈방지시스템(최종)" xfId="751"/>
    <cellStyle name="원_원본 - 한국전기교통-개선형신호등 4종_호남지역본부-" xfId="752"/>
    <cellStyle name="원_제경비율모음" xfId="753"/>
    <cellStyle name="원_제조원가" xfId="754"/>
    <cellStyle name="원_조달청-B판사천강교제작(최종본)" xfId="763"/>
    <cellStyle name="원_조달청-대북지원3차(최수현)" xfId="755"/>
    <cellStyle name="원_조달청-대북지원4차(최수현)" xfId="756"/>
    <cellStyle name="원_조달청-대북지원5차(최수현)" xfId="757"/>
    <cellStyle name="원_조달청-대북지원6차(번호)" xfId="758"/>
    <cellStyle name="원_조달청-대북지원6차(최수현)" xfId="759"/>
    <cellStyle name="원_조달청-대북지원7차(최수현)" xfId="760"/>
    <cellStyle name="원_조달청-대북지원8차(최수현)" xfId="761"/>
    <cellStyle name="원_조달청-대북지원9차(최수현)" xfId="762"/>
    <cellStyle name="원_중부지역본부-" xfId="764"/>
    <cellStyle name="원_중앙선관위(투표,개표)" xfId="765"/>
    <cellStyle name="원_중앙선관위(투표,개표)_강원지역본부(2006년_060109)" xfId="766"/>
    <cellStyle name="원_중앙선관위(투표,개표)_경남지역본부-" xfId="767"/>
    <cellStyle name="원_중앙선관위(투표,개표)_경북지역본부-" xfId="768"/>
    <cellStyle name="원_중앙선관위(투표,개표)_중부지역본부-" xfId="769"/>
    <cellStyle name="원_중앙선관위(투표,개표)_충청지역본부-" xfId="770"/>
    <cellStyle name="원_중앙선관위(투표,개표)_통행료면탈방지시스템(최종)" xfId="771"/>
    <cellStyle name="원_중앙선관위(투표,개표)_호남지역본부-" xfId="772"/>
    <cellStyle name="원_중앙선관위(투표,개표)-사본" xfId="773"/>
    <cellStyle name="원_철공가공조립" xfId="774"/>
    <cellStyle name="원_최종-한국전기교통-개선형신호등 4종(공수조정)" xfId="775"/>
    <cellStyle name="원_최종-한국전기교통-개선형신호등 4종(공수조정)_강원지역본부(2006년_060109)" xfId="776"/>
    <cellStyle name="원_최종-한국전기교통-개선형신호등 4종(공수조정)_경남지역본부-" xfId="777"/>
    <cellStyle name="원_최종-한국전기교통-개선형신호등 4종(공수조정)_경북지역본부-" xfId="778"/>
    <cellStyle name="원_최종-한국전기교통-개선형신호등 4종(공수조정)_중부지역본부-" xfId="779"/>
    <cellStyle name="원_최종-한국전기교통-개선형신호등 4종(공수조정)_충청지역본부-" xfId="780"/>
    <cellStyle name="원_최종-한국전기교통-개선형신호등 4종(공수조정)_통행료면탈방지시스템(최종)" xfId="781"/>
    <cellStyle name="원_최종-한국전기교통-개선형신호등 4종(공수조정)_호남지역본부-" xfId="782"/>
    <cellStyle name="원_충청지역본부-" xfId="783"/>
    <cellStyle name="원_코솔라-제조원가" xfId="784"/>
    <cellStyle name="원_토지공사-간접비" xfId="785"/>
    <cellStyle name="원_통행료면탈방지시스템(최종)" xfId="786"/>
    <cellStyle name="원_한국도로공사" xfId="787"/>
    <cellStyle name="원_한전내역서-최종" xfId="788"/>
    <cellStyle name="원_호남지역본부-" xfId="789"/>
    <cellStyle name="유영" xfId="793"/>
    <cellStyle name="일위대가" xfId="794"/>
    <cellStyle name="자리수" xfId="795"/>
    <cellStyle name="자리수0" xfId="796"/>
    <cellStyle name="점선" xfId="797"/>
    <cellStyle name="제목[1 줄]" xfId="798"/>
    <cellStyle name="제목[2줄 아래]" xfId="799"/>
    <cellStyle name="제목[2줄 위]" xfId="800"/>
    <cellStyle name="제목1" xfId="801"/>
    <cellStyle name="지정되지 않음" xfId="802"/>
    <cellStyle name="콤마 [#]" xfId="803"/>
    <cellStyle name="콤마 []" xfId="804"/>
    <cellStyle name="콤마 [0]" xfId="805"/>
    <cellStyle name="콤마 [0]_경비" xfId="806"/>
    <cellStyle name="콤마 [0]_국영테크" xfId="807"/>
    <cellStyle name="콤마 [0]_모형제조" xfId="808"/>
    <cellStyle name="콤마 [0]기기자재비" xfId="809"/>
    <cellStyle name="콤마 [2]" xfId="810"/>
    <cellStyle name="콤마 [금액]" xfId="811"/>
    <cellStyle name="콤마 [소수]" xfId="812"/>
    <cellStyle name="콤마 [수량]" xfId="813"/>
    <cellStyle name="콤마[ ]" xfId="814"/>
    <cellStyle name="콤마[*]" xfId="815"/>
    <cellStyle name="콤마[.]" xfId="816"/>
    <cellStyle name="콤마[0]" xfId="817"/>
    <cellStyle name="콤마_  종  합  " xfId="818"/>
    <cellStyle name="퍼센트" xfId="819"/>
    <cellStyle name="표준" xfId="0" builtinId="0"/>
    <cellStyle name="표준_1(1).청사경비용역" xfId="820"/>
    <cellStyle name="표준_1. 경기지역본부" xfId="821"/>
    <cellStyle name="표준_1.태백산맥(전시시설)" xfId="822"/>
    <cellStyle name="표준_2. 냉온수" xfId="823"/>
    <cellStyle name="標準_Akia(F）-8" xfId="836"/>
    <cellStyle name="표준_가변형_신성금고제작" xfId="824"/>
    <cellStyle name="표준_간지" xfId="825"/>
    <cellStyle name="표준_국영공사" xfId="826"/>
    <cellStyle name="표준_단말기" xfId="827"/>
    <cellStyle name="표준_마권용지" xfId="828"/>
    <cellStyle name="표준_모형제조" xfId="829"/>
    <cellStyle name="표준_모형제조_2-사인공사조정" xfId="830"/>
    <cellStyle name="표준_목차" xfId="831"/>
    <cellStyle name="표준_배부율" xfId="832"/>
    <cellStyle name="표준_비닐백" xfId="833"/>
    <cellStyle name="표준_원가" xfId="834"/>
    <cellStyle name="표준_일반관리비" xfId="835"/>
    <cellStyle name="표준1" xfId="837"/>
    <cellStyle name="표준날짜" xfId="838"/>
    <cellStyle name="표준숫자" xfId="839"/>
    <cellStyle name="합산" xfId="840"/>
    <cellStyle name="화폐기호" xfId="841"/>
    <cellStyle name="화폐기호0" xfId="8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0" y="1247775"/>
          <a:ext cx="2552700" cy="6286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30456" name="Line 1"/>
        <xdr:cNvSpPr>
          <a:spLocks noChangeShapeType="1"/>
        </xdr:cNvSpPr>
      </xdr:nvSpPr>
      <xdr:spPr bwMode="auto">
        <a:xfrm>
          <a:off x="0" y="12477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144</xdr:row>
      <xdr:rowOff>0</xdr:rowOff>
    </xdr:from>
    <xdr:to>
      <xdr:col>6</xdr:col>
      <xdr:colOff>9525</xdr:colOff>
      <xdr:row>146</xdr:row>
      <xdr:rowOff>0</xdr:rowOff>
    </xdr:to>
    <xdr:sp macro="" textlink="">
      <xdr:nvSpPr>
        <xdr:cNvPr id="30457" name="Line 5"/>
        <xdr:cNvSpPr>
          <a:spLocks noChangeShapeType="1"/>
        </xdr:cNvSpPr>
      </xdr:nvSpPr>
      <xdr:spPr bwMode="auto">
        <a:xfrm>
          <a:off x="0" y="358425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41</xdr:row>
      <xdr:rowOff>0</xdr:rowOff>
    </xdr:to>
    <xdr:sp macro="" textlink="">
      <xdr:nvSpPr>
        <xdr:cNvPr id="30458" name="Line 9"/>
        <xdr:cNvSpPr>
          <a:spLocks noChangeShapeType="1"/>
        </xdr:cNvSpPr>
      </xdr:nvSpPr>
      <xdr:spPr bwMode="auto">
        <a:xfrm>
          <a:off x="0" y="98964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179</xdr:row>
      <xdr:rowOff>0</xdr:rowOff>
    </xdr:from>
    <xdr:to>
      <xdr:col>6</xdr:col>
      <xdr:colOff>9525</xdr:colOff>
      <xdr:row>181</xdr:row>
      <xdr:rowOff>0</xdr:rowOff>
    </xdr:to>
    <xdr:sp macro="" textlink="">
      <xdr:nvSpPr>
        <xdr:cNvPr id="30459" name="Line 15"/>
        <xdr:cNvSpPr>
          <a:spLocks noChangeShapeType="1"/>
        </xdr:cNvSpPr>
      </xdr:nvSpPr>
      <xdr:spPr bwMode="auto">
        <a:xfrm>
          <a:off x="0" y="444912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214</xdr:row>
      <xdr:rowOff>0</xdr:rowOff>
    </xdr:from>
    <xdr:to>
      <xdr:col>6</xdr:col>
      <xdr:colOff>9525</xdr:colOff>
      <xdr:row>216</xdr:row>
      <xdr:rowOff>0</xdr:rowOff>
    </xdr:to>
    <xdr:sp macro="" textlink="">
      <xdr:nvSpPr>
        <xdr:cNvPr id="30460" name="Line 16"/>
        <xdr:cNvSpPr>
          <a:spLocks noChangeShapeType="1"/>
        </xdr:cNvSpPr>
      </xdr:nvSpPr>
      <xdr:spPr bwMode="auto">
        <a:xfrm>
          <a:off x="0" y="531399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284</xdr:row>
      <xdr:rowOff>0</xdr:rowOff>
    </xdr:from>
    <xdr:to>
      <xdr:col>6</xdr:col>
      <xdr:colOff>9525</xdr:colOff>
      <xdr:row>286</xdr:row>
      <xdr:rowOff>0</xdr:rowOff>
    </xdr:to>
    <xdr:sp macro="" textlink="">
      <xdr:nvSpPr>
        <xdr:cNvPr id="30461" name="Line 16"/>
        <xdr:cNvSpPr>
          <a:spLocks noChangeShapeType="1"/>
        </xdr:cNvSpPr>
      </xdr:nvSpPr>
      <xdr:spPr bwMode="auto">
        <a:xfrm>
          <a:off x="0" y="704373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319</xdr:row>
      <xdr:rowOff>0</xdr:rowOff>
    </xdr:from>
    <xdr:to>
      <xdr:col>6</xdr:col>
      <xdr:colOff>9525</xdr:colOff>
      <xdr:row>321</xdr:row>
      <xdr:rowOff>0</xdr:rowOff>
    </xdr:to>
    <xdr:sp macro="" textlink="">
      <xdr:nvSpPr>
        <xdr:cNvPr id="30462" name="Line 16"/>
        <xdr:cNvSpPr>
          <a:spLocks noChangeShapeType="1"/>
        </xdr:cNvSpPr>
      </xdr:nvSpPr>
      <xdr:spPr bwMode="auto">
        <a:xfrm>
          <a:off x="0" y="77838300"/>
          <a:ext cx="2438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9525</xdr:colOff>
      <xdr:row>251</xdr:row>
      <xdr:rowOff>0</xdr:rowOff>
    </xdr:to>
    <xdr:sp macro="" textlink="">
      <xdr:nvSpPr>
        <xdr:cNvPr id="30463" name="Line 16"/>
        <xdr:cNvSpPr>
          <a:spLocks noChangeShapeType="1"/>
        </xdr:cNvSpPr>
      </xdr:nvSpPr>
      <xdr:spPr bwMode="auto">
        <a:xfrm>
          <a:off x="0" y="617886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354</xdr:row>
      <xdr:rowOff>0</xdr:rowOff>
    </xdr:from>
    <xdr:to>
      <xdr:col>6</xdr:col>
      <xdr:colOff>9525</xdr:colOff>
      <xdr:row>356</xdr:row>
      <xdr:rowOff>0</xdr:rowOff>
    </xdr:to>
    <xdr:sp macro="" textlink="">
      <xdr:nvSpPr>
        <xdr:cNvPr id="30464" name="Line 16"/>
        <xdr:cNvSpPr>
          <a:spLocks noChangeShapeType="1"/>
        </xdr:cNvSpPr>
      </xdr:nvSpPr>
      <xdr:spPr bwMode="auto">
        <a:xfrm>
          <a:off x="0" y="77838300"/>
          <a:ext cx="2438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3759" name="Line 3"/>
        <xdr:cNvSpPr>
          <a:spLocks noChangeShapeType="1"/>
        </xdr:cNvSpPr>
      </xdr:nvSpPr>
      <xdr:spPr bwMode="auto">
        <a:xfrm>
          <a:off x="1400175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495300</xdr:rowOff>
    </xdr:from>
    <xdr:to>
      <xdr:col>3</xdr:col>
      <xdr:colOff>0</xdr:colOff>
      <xdr:row>3</xdr:row>
      <xdr:rowOff>495300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108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940" name="Line 3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152650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건축"/>
      <sheetName val="건집"/>
      <sheetName val="경산"/>
      <sheetName val="수로교총재료집계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일위대가"/>
      <sheetName val="2F 회의실견적(5_14 일대)"/>
      <sheetName val="I一般比"/>
      <sheetName val="단가산출"/>
      <sheetName val="SHL"/>
      <sheetName val="#REF"/>
      <sheetName val="_HIT__HMC 견적_3900_"/>
      <sheetName val="아산의전"/>
      <sheetName val="직노"/>
      <sheetName val="TABLE"/>
      <sheetName val="J直材4"/>
      <sheetName val="민감도"/>
      <sheetName val="1"/>
      <sheetName val="현장관리비"/>
      <sheetName val="간접비계산"/>
      <sheetName val="설직재-1"/>
      <sheetName val="노임"/>
      <sheetName val="일위대가(가설)"/>
      <sheetName val="N賃率-職"/>
      <sheetName val="1,2공구원가계산서"/>
      <sheetName val="2공구산출내역"/>
      <sheetName val="1공구산출내역서"/>
      <sheetName val="내역서"/>
      <sheetName val="20관리비율"/>
      <sheetName val="기본일위"/>
      <sheetName val="공정집계_국별"/>
      <sheetName val="문학간접"/>
      <sheetName val="CM 1"/>
      <sheetName val="22인공"/>
      <sheetName val="백암비스타내역"/>
      <sheetName val="인부신상자료"/>
      <sheetName val="시화점실행"/>
      <sheetName val="지우지마세요"/>
      <sheetName val="수량산출"/>
      <sheetName val="과천MAIN"/>
      <sheetName val="일위단가"/>
      <sheetName val="직재"/>
      <sheetName val="Sheet22"/>
      <sheetName val="공사비집계"/>
      <sheetName val="2순기"/>
      <sheetName val="9GNG운반"/>
      <sheetName val="INSTR"/>
      <sheetName val="집계표"/>
      <sheetName val="FACTOR"/>
      <sheetName val="전체"/>
      <sheetName val="A 견적"/>
      <sheetName val="을지"/>
      <sheetName val="을지  (2)"/>
      <sheetName val="출고대장"/>
      <sheetName val="2"/>
      <sheetName val="신우"/>
      <sheetName val="하조서"/>
      <sheetName val="말뚝지지력산정"/>
      <sheetName val="입력정보"/>
      <sheetName val="Total"/>
      <sheetName val="현지검측내역"/>
      <sheetName val="산출내역서"/>
      <sheetName val="의장"/>
      <sheetName val="원가계산서"/>
      <sheetName val="산출근거"/>
      <sheetName val="노무비 근거"/>
      <sheetName val="인건비"/>
      <sheetName val="일위대가목록(기계)"/>
      <sheetName val="투자효율분석"/>
      <sheetName val="표지_(5_15)_가구별도"/>
      <sheetName val="_HIT-&gt;HMC_견적(3900)"/>
      <sheetName val="공사비_검토내역서"/>
      <sheetName val="갑(전기)"/>
      <sheetName val="갑(계장)"/>
      <sheetName val="대림경상68억"/>
      <sheetName val="교통대책내역"/>
      <sheetName val="입력"/>
      <sheetName val="TOEIC기준점수"/>
      <sheetName val="정산내역"/>
      <sheetName val="1_2공구원가계산서"/>
      <sheetName val="개요"/>
      <sheetName val="일괄인쇄"/>
      <sheetName val="DATE"/>
      <sheetName val="주소"/>
      <sheetName val="견적서"/>
      <sheetName val="터파기및재료"/>
      <sheetName val="실행내역서 "/>
      <sheetName val="일위대가(1)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  <sheetName val=" HIT-&gt;HMC 견적(39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본일위"/>
      <sheetName val="J直材4"/>
      <sheetName val="현장"/>
      <sheetName val="내역"/>
      <sheetName val="#REF"/>
      <sheetName val="101동"/>
      <sheetName val="2000년1차"/>
      <sheetName val="2000전체분"/>
      <sheetName val="MAIN_TABLE"/>
      <sheetName val="백암비스타내역"/>
      <sheetName val="교통대책내역"/>
      <sheetName val="KKK"/>
      <sheetName val="예산M11A"/>
      <sheetName val="건축내역"/>
      <sheetName val="기초자료"/>
      <sheetName val="출자한도"/>
      <sheetName val="I一般比"/>
      <sheetName val="3BL공동구 수량"/>
      <sheetName val="일대-1"/>
      <sheetName val="공사개요(서광주)"/>
      <sheetName val="공사비총괄표"/>
      <sheetName val="총괄표"/>
      <sheetName val="차수공개요"/>
      <sheetName val="단가조사"/>
      <sheetName val="재료"/>
      <sheetName val="경산"/>
      <sheetName val="대공종"/>
      <sheetName val="산출내역서"/>
      <sheetName val="산근"/>
      <sheetName val="산출근거"/>
      <sheetName val="금액내역서"/>
      <sheetName val="골재산출"/>
      <sheetName val="스포회원매출"/>
      <sheetName val="조명율표"/>
      <sheetName val="자료"/>
      <sheetName val="CTEMCOST"/>
      <sheetName val="일위대가목차"/>
      <sheetName val="N賃率-職"/>
      <sheetName val="영창26"/>
      <sheetName val="지질조사"/>
      <sheetName val="교각별철근수량집계표"/>
      <sheetName val="철탑공사"/>
      <sheetName val="Customer Databas"/>
      <sheetName val="노임"/>
      <sheetName val="당초"/>
      <sheetName val="5공철탑검토표"/>
      <sheetName val="4공철탑검토"/>
      <sheetName val="토공 total"/>
      <sheetName val="조명시설"/>
      <sheetName val="기본단가표"/>
      <sheetName val="본체"/>
      <sheetName val="중기"/>
      <sheetName val="식재인부"/>
      <sheetName val="설직재-1"/>
      <sheetName val="요율"/>
      <sheetName val="본공사"/>
      <sheetName val="적용토목"/>
      <sheetName val="갑지"/>
      <sheetName val="기초내역서"/>
      <sheetName val="수량산출"/>
      <sheetName val="대가목록표"/>
      <sheetName val="식생블럭단위수량"/>
      <sheetName val="1.설계조건"/>
      <sheetName val="노임,재료비"/>
      <sheetName val="설계서"/>
      <sheetName val="LF자재단가"/>
      <sheetName val="목록"/>
      <sheetName val="위생설비"/>
      <sheetName val="실행"/>
      <sheetName val="코드표"/>
      <sheetName val="NYS"/>
      <sheetName val="단중표"/>
      <sheetName val="노무비"/>
      <sheetName val="특외대"/>
      <sheetName val="내역(원안-대안)"/>
      <sheetName val="자재단가"/>
      <sheetName val="토공(우물통,기타) "/>
      <sheetName val="갑지(추정)"/>
      <sheetName val="RE9604"/>
      <sheetName val="102역사"/>
      <sheetName val="물가자료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재료비노무비"/>
      <sheetName val="교수설계"/>
      <sheetName val="단가산출"/>
      <sheetName val="asd"/>
      <sheetName val="6PILE  (돌출)"/>
      <sheetName val="공사직종별노임"/>
      <sheetName val="데이타"/>
      <sheetName val="DATA"/>
      <sheetName val="도급기성"/>
      <sheetName val="설비단가표"/>
      <sheetName val="견적"/>
      <sheetName val="AIR SHOWER(3인용)"/>
      <sheetName val=" HIT-&gt;HMC 견적(3900)"/>
      <sheetName val="CIVIL4"/>
      <sheetName val="데리네이타현황"/>
      <sheetName val="6호기"/>
      <sheetName val="기술부대조건"/>
      <sheetName val="예산"/>
      <sheetName val="지하"/>
      <sheetName val="LEGEND"/>
      <sheetName val="Sheet6"/>
      <sheetName val="연부97-1"/>
      <sheetName val="조건표"/>
      <sheetName val="자갈,시멘트,모래산출"/>
      <sheetName val="오수공수량집계표"/>
      <sheetName val="Sheet5"/>
      <sheetName val="원가 (2)"/>
      <sheetName val="DATE"/>
      <sheetName val="기계경비(시간당)"/>
      <sheetName val="96정변2"/>
      <sheetName val="조경일람"/>
      <sheetName val="사다리"/>
      <sheetName val="내역서2안"/>
      <sheetName val="48전력선로일위"/>
      <sheetName val="단가표"/>
      <sheetName val="시설물기초"/>
      <sheetName val=" 냉각수펌프"/>
      <sheetName val="AHU집계"/>
      <sheetName val="ELEC"/>
      <sheetName val="9GNG운반"/>
      <sheetName val="율촌법률사무소2내역"/>
      <sheetName val="공조기휀"/>
      <sheetName val="내역서(중수)"/>
      <sheetName val="CAT_5"/>
      <sheetName val="단가비교표_공통1"/>
      <sheetName val="N賃率_職"/>
      <sheetName val="내역서 "/>
      <sheetName val="철거산출근거"/>
      <sheetName val="입찰안"/>
      <sheetName val="시멘트"/>
      <sheetName val="금액집계"/>
      <sheetName val="수주추정"/>
      <sheetName val="당진1,2호기전선관설치및접지4차공사내역서-을지"/>
      <sheetName val="본체철근표"/>
      <sheetName val="역공종"/>
      <sheetName val="대치판정"/>
      <sheetName val="원가서"/>
      <sheetName val="전기일위목록"/>
      <sheetName val="노무,재료"/>
      <sheetName val="아파트건축"/>
      <sheetName val="도급견적가"/>
      <sheetName val="공통가설공사"/>
      <sheetName val="표지"/>
      <sheetName val="guard(mac)"/>
      <sheetName val="제-노임"/>
      <sheetName val="제직재"/>
      <sheetName val="총수량집계표"/>
      <sheetName val="제작비추산총괄표"/>
      <sheetName val="갑"/>
      <sheetName val="001"/>
      <sheetName val="단위내역서"/>
      <sheetName val="주beam"/>
      <sheetName val="공사개요"/>
      <sheetName val="견적서"/>
      <sheetName val="원가계산서"/>
      <sheetName val="부대공Ⅱ"/>
      <sheetName val="간접1"/>
      <sheetName val="장비가동"/>
      <sheetName val="내역관리1"/>
      <sheetName val="산출-설비"/>
      <sheetName val="설_(3)"/>
      <sheetName val="설_(2)"/>
      <sheetName val="3BL공동구_수량"/>
      <sheetName val="갑지1"/>
      <sheetName val="전선 및 전선관"/>
      <sheetName val="공통가설"/>
      <sheetName val="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입력변수"/>
      <sheetName val="일위"/>
      <sheetName val="일위대가1"/>
      <sheetName val="계약서"/>
      <sheetName val="노 무 비"/>
      <sheetName val="별표 "/>
      <sheetName val="Sheet7(ㅅ)"/>
      <sheetName val="청주(철골발주의뢰서)"/>
      <sheetName val="200"/>
      <sheetName val="3.2제조설비"/>
      <sheetName val="적용건축"/>
      <sheetName val="단가대비표 (3)"/>
      <sheetName val="Inst."/>
      <sheetName val="01상노임"/>
      <sheetName val="토공"/>
      <sheetName val="터파기및재료"/>
      <sheetName val="2공구산출내역"/>
      <sheetName val="첨부1"/>
      <sheetName val="sub"/>
      <sheetName val="반포2차"/>
      <sheetName val="하도급원가계산총괄표(식재)"/>
      <sheetName val="공사착공계"/>
      <sheetName val="부하자료"/>
      <sheetName val="찍기"/>
      <sheetName val="특별땅고르기"/>
      <sheetName val="단위단가"/>
      <sheetName val="연결관암거"/>
      <sheetName val="소비자가"/>
      <sheetName val="일위대가목록"/>
      <sheetName val="일위_파일"/>
      <sheetName val="Baby일위대가"/>
      <sheetName val="일위(PANEL)"/>
      <sheetName val="효성CB 1P기초"/>
      <sheetName val="계수시트"/>
      <sheetName val="램머"/>
      <sheetName val="경영상태"/>
      <sheetName val="을지"/>
      <sheetName val="단"/>
      <sheetName val="노무비 근거"/>
      <sheetName val="상가분양"/>
      <sheetName val="INPUT"/>
      <sheetName val="물량표"/>
      <sheetName val="국내"/>
      <sheetName val="내역서 제출"/>
      <sheetName val="직접공사비"/>
      <sheetName val="JUCKEYK"/>
      <sheetName val="내역표지"/>
      <sheetName val="건축원가"/>
      <sheetName val="#3_일위대가목록"/>
      <sheetName val="토공집계표"/>
      <sheetName val="기계공사비집계(원안)"/>
      <sheetName val="AIR_SHOWER(3인용)"/>
      <sheetName val="Customer_Databas"/>
      <sheetName val="토공(우물통,기타)_"/>
      <sheetName val="원가_(2)"/>
      <sheetName val="_HIT-&gt;HMC_견적(3900)"/>
      <sheetName val="2000년 공정표"/>
      <sheetName val="기초일위"/>
      <sheetName val="노무비단가"/>
      <sheetName val="설계조건"/>
      <sheetName val="배수내역"/>
      <sheetName val="기흥하도용"/>
      <sheetName val="별표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1공구산출내역서"/>
      <sheetName val="지점장"/>
      <sheetName val="유기공정"/>
      <sheetName val="유림콘도"/>
      <sheetName val="ITEM"/>
      <sheetName val="원본"/>
      <sheetName val="암거단위"/>
      <sheetName val="손익분석"/>
      <sheetName val="원가총괄"/>
      <sheetName val="수량산출(생반)"/>
      <sheetName val="일반전기C"/>
      <sheetName val="청곡지선입력"/>
      <sheetName val="토공_total"/>
      <sheetName val="노(97_1,97_9,98_1)"/>
      <sheetName val="6PILE__(돌출)"/>
      <sheetName val="적용단위길이"/>
      <sheetName val="피벗테이블데이터분석"/>
      <sheetName val="COST"/>
      <sheetName val="부대내역"/>
      <sheetName val="세골재  T2 변경 현황"/>
      <sheetName val="직재"/>
      <sheetName val="통합집계표"/>
      <sheetName val="3본사"/>
      <sheetName val="단가일람"/>
      <sheetName val="갑지.을지"/>
      <sheetName val="실행철강하도"/>
      <sheetName val="BID"/>
      <sheetName val="일위대가(1)"/>
      <sheetName val="기타 정보통신공사"/>
      <sheetName val="재집"/>
      <sheetName val="Sheet1 (2)"/>
      <sheetName val="조명율"/>
      <sheetName val="(1)본선수량집계"/>
      <sheetName val="Macro1"/>
      <sheetName val="1000 DB구축 부표"/>
      <sheetName val="CT "/>
      <sheetName val="발신정보"/>
      <sheetName val="기초대가"/>
      <sheetName val="조도계산서 (도서)"/>
      <sheetName val="명세서"/>
      <sheetName val="구리토평1전기"/>
      <sheetName val="C.전기공사"/>
      <sheetName val="J-EQ"/>
      <sheetName val="총괄내역"/>
      <sheetName val="하이테콤직원"/>
      <sheetName val="맨홀수량산출"/>
      <sheetName val="개요"/>
      <sheetName val="노임단가(08.01)"/>
      <sheetName val="현장관리비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봉방동근생"/>
      <sheetName val="유림골조"/>
      <sheetName val="민감도"/>
      <sheetName val="세부내역서(전기)"/>
      <sheetName val="품셈"/>
      <sheetName val="변경내역(전체)"/>
      <sheetName val="참조자료"/>
      <sheetName val="날개벽수량표"/>
      <sheetName val="신우"/>
      <sheetName val="전기내역"/>
      <sheetName val="자재표"/>
      <sheetName val="을"/>
      <sheetName val="20관리비율"/>
      <sheetName val="98지급계획"/>
      <sheetName val="표  지"/>
      <sheetName val="예가표"/>
      <sheetName val="연습"/>
      <sheetName val="내역서중"/>
      <sheetName val="접지수량"/>
      <sheetName val="교각계산"/>
      <sheetName val="직접노무"/>
      <sheetName val="직접재료"/>
      <sheetName val="계측기"/>
      <sheetName val="패널"/>
      <sheetName val="전기2005"/>
      <sheetName val="통신2005"/>
      <sheetName val="총괄집계표"/>
      <sheetName val="자료입력"/>
      <sheetName val="철콘"/>
      <sheetName val="간접비계산"/>
      <sheetName val="PIPING"/>
      <sheetName val="그림"/>
      <sheetName val="그림2"/>
      <sheetName val="분전반"/>
      <sheetName val="내역서적용수량"/>
      <sheetName val="가도공"/>
      <sheetName val="부대"/>
      <sheetName val="일위CODE"/>
      <sheetName val="gyun"/>
      <sheetName val="유림총괄"/>
      <sheetName val="현장관리비참조"/>
      <sheetName val="작성"/>
      <sheetName val="출력은 금물"/>
      <sheetName val="일위대가(건축)"/>
      <sheetName val="간접비"/>
      <sheetName val="청도공장"/>
      <sheetName val="간접(90)"/>
      <sheetName val="입상내역"/>
      <sheetName val="품셈총괄"/>
      <sheetName val="교각1"/>
      <sheetName val="표층포설및다짐"/>
      <sheetName val="전기"/>
      <sheetName val="인적사항"/>
      <sheetName val="단재적표"/>
      <sheetName val="설계"/>
      <sheetName val="투찰가"/>
      <sheetName val="공문"/>
      <sheetName val="수목표준대가"/>
      <sheetName val="Total"/>
      <sheetName val="예산총괄"/>
      <sheetName val="옥외계측"/>
      <sheetName val="CODE"/>
      <sheetName val="전체"/>
      <sheetName val="인공"/>
      <sheetName val="도급자재"/>
      <sheetName val="일위목록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중기일위대가"/>
      <sheetName val="0Title"/>
      <sheetName val="추가예산"/>
      <sheetName val="오동"/>
      <sheetName val="대조"/>
      <sheetName val="나한"/>
      <sheetName val="물가시세"/>
      <sheetName val="부하"/>
      <sheetName val="단가 "/>
      <sheetName val="COVER"/>
      <sheetName val="ESCO개보수공사"/>
      <sheetName val="지급자재"/>
      <sheetName val="주요기준"/>
      <sheetName val="DATA테이블1 (2)"/>
      <sheetName val="A 견적"/>
      <sheetName val="s.v"/>
      <sheetName val="건축기계설비표선정수장"/>
      <sheetName val="DB"/>
      <sheetName val="공연,전시"/>
      <sheetName val="국내조달(통합-1)"/>
      <sheetName val="제경비율"/>
      <sheetName val="기본가정"/>
      <sheetName val="자재단가비교표"/>
      <sheetName val="빌딩 안내"/>
      <sheetName val="단가대비표"/>
      <sheetName val="터널조도"/>
      <sheetName val="b_balju"/>
      <sheetName val="공사입찰정보입력"/>
      <sheetName val="수량총괄"/>
      <sheetName val="화재 탐지 설비"/>
      <sheetName val="보증수수료산출"/>
      <sheetName val="도담구내 개소별 명세"/>
      <sheetName val="철근중량"/>
      <sheetName val="ABUT수량-A1"/>
      <sheetName val="工관리비율"/>
      <sheetName val="工완성공사율"/>
      <sheetName val="정거장 설계조건"/>
      <sheetName val="인공산출"/>
      <sheetName val="노무단가산정"/>
      <sheetName val="산출0"/>
      <sheetName val="금융비용"/>
      <sheetName val="콘크리트"/>
      <sheetName val="99년하반기"/>
      <sheetName val="말뚝지지력산정"/>
      <sheetName val="철근집계"/>
      <sheetName val="COPING"/>
      <sheetName val="건설기계사용료목록"/>
      <sheetName val="단가조사서"/>
      <sheetName val="집"/>
      <sheetName val="간선계산"/>
      <sheetName val="계화배수"/>
      <sheetName val="1차 내역서"/>
      <sheetName val="현장경비"/>
      <sheetName val="포승중환경개선공사(변경)"/>
      <sheetName val="2000.05"/>
      <sheetName val="구의33고"/>
      <sheetName val="구성1"/>
      <sheetName val="구성2"/>
      <sheetName val="구성3"/>
      <sheetName val="구성4"/>
      <sheetName val="도급내역서(재노경)"/>
      <sheetName val="16-1"/>
      <sheetName val="와동수량"/>
      <sheetName val="직원현황"/>
      <sheetName val="ELECTRIC"/>
      <sheetName val="품셈TABLE"/>
      <sheetName val="공정코드"/>
      <sheetName val="예비용"/>
      <sheetName val="기초목록"/>
      <sheetName val="단가(자재)"/>
      <sheetName val="공사추진현황"/>
      <sheetName val="입력"/>
      <sheetName val="&lt;--"/>
      <sheetName val="단가 및 재료비"/>
      <sheetName val="특별교실"/>
      <sheetName val="견적(100%)"/>
      <sheetName val="직원자료입력"/>
      <sheetName val="견적업체"/>
      <sheetName val="MOTOR"/>
      <sheetName val="교사기준면적(초등)"/>
      <sheetName val="Y-WORK"/>
      <sheetName val="일위대가 "/>
      <sheetName val="하중계산"/>
      <sheetName val="안정성검토"/>
      <sheetName val="설계기준"/>
      <sheetName val="처리단락"/>
      <sheetName val="건축부하"/>
      <sheetName val="약전닥트"/>
      <sheetName val="일지-H"/>
      <sheetName val="김포IO"/>
      <sheetName val="LD"/>
      <sheetName val="FA설치명세"/>
      <sheetName val="Uint보온"/>
      <sheetName val="가설공사"/>
      <sheetName val="단가비교"/>
      <sheetName val="바닥판"/>
      <sheetName val="입력DATA"/>
      <sheetName val="일위(시설)"/>
      <sheetName val="BSD (2)"/>
      <sheetName val="화의-현금흐름"/>
      <sheetName val="전체제잡비"/>
      <sheetName val="실행대비"/>
      <sheetName val="기초분물량표"/>
      <sheetName val="내역전기"/>
      <sheetName val="일위총괄표"/>
      <sheetName val="직공비"/>
      <sheetName val="퍼스트"/>
      <sheetName val="사전공사"/>
      <sheetName val="물집"/>
      <sheetName val="담장산출"/>
      <sheetName val="상행-교대(A1-A2)"/>
      <sheetName val="전기설계변경"/>
      <sheetName val="노임200103"/>
      <sheetName val="집수정토공"/>
      <sheetName val="설계명세서"/>
      <sheetName val="기계설비표선정수장"/>
      <sheetName val="EJ"/>
      <sheetName val="내역서(삼호)"/>
      <sheetName val="일위대가(출입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F 회의실견적(5_14 일대)"/>
      <sheetName val="20관리비율"/>
      <sheetName val="아산의전"/>
      <sheetName val="설계조건"/>
      <sheetName val="안정계산"/>
      <sheetName val="단면검토"/>
      <sheetName val="교통표지"/>
      <sheetName val="J直材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  <sheetName val="화재 탐지 설비"/>
      <sheetName val="OPT7"/>
      <sheetName val="총괄집계표"/>
      <sheetName val="집계"/>
      <sheetName val="GI-LIST"/>
      <sheetName val="기기리스트"/>
      <sheetName val="I一般比"/>
      <sheetName val="노임"/>
      <sheetName val="C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  <sheetName val="암거"/>
      <sheetName val="관급_File"/>
      <sheetName val="DATE"/>
      <sheetName val="토사(P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사당"/>
      <sheetName val="일위대가목록"/>
      <sheetName val="한강운반비"/>
      <sheetName val="1차 내역서"/>
      <sheetName val="공통(20-91)"/>
      <sheetName val="물가"/>
      <sheetName val="일위대가(4층원격)"/>
      <sheetName val="직재"/>
      <sheetName val="6PILE  (돌출)"/>
      <sheetName val="원가 (2)"/>
      <sheetName val="차액보증"/>
      <sheetName val="을"/>
      <sheetName val="백암비스타내역"/>
      <sheetName val="#REF"/>
      <sheetName val="철거산출근거"/>
      <sheetName val="입찰안"/>
      <sheetName val="견적서"/>
      <sheetName val="J直材4"/>
      <sheetName val="부대공"/>
      <sheetName val="포장공"/>
      <sheetName val="토공"/>
      <sheetName val="토목공사일반"/>
      <sheetName val="기초내역서"/>
      <sheetName val="수량산출"/>
      <sheetName val="대가목록표"/>
      <sheetName val="98지급계획"/>
      <sheetName val="현장"/>
      <sheetName val="2공구산출내역"/>
      <sheetName val="내역서2안"/>
      <sheetName val="품셈TABLE"/>
      <sheetName val="추가대화"/>
      <sheetName val="공통가설"/>
      <sheetName val="JUCK"/>
      <sheetName val="금액내역서"/>
      <sheetName val="DATE"/>
      <sheetName val="단가조사"/>
      <sheetName val="산출근거"/>
      <sheetName val="교통대책내역"/>
      <sheetName val="설계서(표지)"/>
      <sheetName val="원가계산서"/>
      <sheetName val="소방사항"/>
      <sheetName val="자재단가리스트"/>
      <sheetName val="공사현황"/>
      <sheetName val="패널"/>
      <sheetName val="계양가시설"/>
      <sheetName val="실행내역"/>
      <sheetName val="공사개요"/>
      <sheetName val="아파트 내역"/>
      <sheetName val="노무"/>
      <sheetName val="평가데이터"/>
      <sheetName val="N賃率-職"/>
      <sheetName val="도급FORM"/>
      <sheetName val="초기화면"/>
      <sheetName val="관급자재"/>
      <sheetName val="TANK견적대지"/>
      <sheetName val="인건-측정"/>
      <sheetName val="20관리비율"/>
      <sheetName val="대상공사(조달청)"/>
      <sheetName val="자료(통합)"/>
      <sheetName val="일위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BID"/>
      <sheetName val="내역서(설비+소방)"/>
      <sheetName val="전체"/>
      <sheetName val="골조시행"/>
      <sheetName val="첨부1"/>
      <sheetName val="부재리스트"/>
      <sheetName val="별표"/>
      <sheetName val="KIM"/>
      <sheetName val="건축원가"/>
      <sheetName val="내역서총집계표"/>
      <sheetName val="NEGO"/>
      <sheetName val="BCK3672"/>
      <sheetName val="설계내역서"/>
      <sheetName val="2공구하도급내역서"/>
      <sheetName val="인테리어내역"/>
      <sheetName val="갑지(추정)"/>
      <sheetName val="토목"/>
      <sheetName val="현장경비"/>
      <sheetName val="중기조종사 단위단가"/>
      <sheetName val="요율"/>
      <sheetName val="2000.11월설계내역"/>
      <sheetName val="자  재"/>
      <sheetName val="건축외주"/>
      <sheetName val="2006년일위대가"/>
      <sheetName val="CT 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감가상각"/>
      <sheetName val="토사(PE)"/>
      <sheetName val="Total"/>
      <sheetName val="LP-S"/>
      <sheetName val="데이타"/>
      <sheetName val="실행"/>
      <sheetName val="104동"/>
      <sheetName val="Sheet4"/>
      <sheetName val="ELECTRIC"/>
      <sheetName val="날개벽"/>
      <sheetName val="사급자재(1단계)"/>
      <sheetName val="단가기준"/>
      <sheetName val="저"/>
      <sheetName val="설계명세서"/>
      <sheetName val="자료입력"/>
      <sheetName val="간접"/>
      <sheetName val="주소"/>
      <sheetName val="직접수량"/>
      <sheetName val="원가계산서 "/>
      <sheetName val="청천내"/>
      <sheetName val="계수시트"/>
      <sheetName val="구천"/>
      <sheetName val="연결관암거"/>
      <sheetName val="단가 (2)"/>
      <sheetName val="설계명세서(a"/>
      <sheetName val="변수값"/>
      <sheetName val="중기상차"/>
      <sheetName val="AS복구"/>
      <sheetName val="중기터파기"/>
      <sheetName val="제품별단가"/>
      <sheetName val="제품별절단길이-0628"/>
      <sheetName val="16-1"/>
      <sheetName val="전체도급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6호기"/>
      <sheetName val="총괄내역서"/>
      <sheetName val="일위대가표"/>
      <sheetName val="도급견적가"/>
      <sheetName val="pier(각형)"/>
      <sheetName val="총괄표"/>
      <sheetName val="자판실행"/>
      <sheetName val="평내중"/>
      <sheetName val="총괄내역"/>
      <sheetName val="말뚝물량"/>
      <sheetName val="실행철강하도"/>
      <sheetName val="COST"/>
      <sheetName val="단가 "/>
      <sheetName val="수목표준대가"/>
      <sheetName val="수목데이타 "/>
      <sheetName val="제직재"/>
      <sheetName val="구조대가"/>
      <sheetName val="포설대가1"/>
      <sheetName val="부대대가"/>
      <sheetName val="중강당 내역"/>
      <sheetName val="급수 (LPM)"/>
      <sheetName val="국별인원"/>
      <sheetName val="현금"/>
      <sheetName val="CP-E2 (품셈표)"/>
      <sheetName val="A-4"/>
      <sheetName val="공통가설공사"/>
      <sheetName val="MIJIBI"/>
      <sheetName val="일위목록-기"/>
      <sheetName val="갑지"/>
      <sheetName val="개요"/>
      <sheetName val="프랜트면허"/>
      <sheetName val="재공품기초자료"/>
      <sheetName val="공통비(전체)"/>
      <sheetName val="공사내역"/>
      <sheetName val="일용직내역"/>
      <sheetName val="2003 일위대가"/>
      <sheetName val="工관리비율"/>
      <sheetName val="A LINE"/>
      <sheetName val="준검 내역서"/>
      <sheetName val="합천내역"/>
      <sheetName val="전차선로 물량표"/>
      <sheetName val="내역서1999.8최종"/>
      <sheetName val="정부노임단가"/>
      <sheetName val="입력"/>
      <sheetName val="재료비"/>
      <sheetName val="원가_(2)"/>
      <sheetName val="1차_내역서"/>
      <sheetName val="6PILE__(돌출)"/>
      <sheetName val="건축공사 분괴표원본데이터(공통+건축)"/>
      <sheetName val="전기혼잡제경비(45)"/>
      <sheetName val="공통(Ȳ_x0000__xd800_䧶_x0000__x0000_"/>
      <sheetName val="FB25JN"/>
      <sheetName val="도급예산내역서봉투"/>
      <sheetName val="공사원가계산서"/>
      <sheetName val="설계산출기초"/>
      <sheetName val="설계산출표지"/>
      <sheetName val="도급예산내역서총괄표"/>
      <sheetName val="을부담운반비"/>
      <sheetName val="운반비산출"/>
      <sheetName val="연부97-1"/>
      <sheetName val="갑지1"/>
      <sheetName val="기존단가 (2)"/>
      <sheetName val="전력"/>
      <sheetName val="Sheet5"/>
      <sheetName val="수목데이타"/>
      <sheetName val="전선 및 전선관"/>
      <sheetName val="6.일위목록"/>
      <sheetName val="시설물기초"/>
      <sheetName val="부대내역"/>
      <sheetName val="자재표"/>
      <sheetName val="단"/>
      <sheetName val="공구"/>
      <sheetName val="연습"/>
      <sheetName val="노임이"/>
      <sheetName val="동원인원"/>
      <sheetName val="99노임기준"/>
      <sheetName val="유림골조"/>
      <sheetName val="비교1"/>
      <sheetName val="TRU"/>
      <sheetName val="토적표"/>
      <sheetName val="원가계산"/>
      <sheetName val="원가계산 (2)"/>
      <sheetName val="내   역"/>
      <sheetName val="PAC"/>
      <sheetName val="기본자료"/>
      <sheetName val="DATA"/>
      <sheetName val="납부서"/>
      <sheetName val="예산명세서"/>
      <sheetName val="외주비"/>
      <sheetName val="소각장스케줄"/>
      <sheetName val="구리토평1전기"/>
      <sheetName val="덕전리"/>
      <sheetName val="fursys"/>
      <sheetName val="유기공정"/>
      <sheetName val="SW개발대상목록(기능점수)"/>
      <sheetName val="지하"/>
      <sheetName val="1000 DB구축 부표"/>
      <sheetName val="설계서"/>
      <sheetName val="증감대비"/>
      <sheetName val="내역서적용수량"/>
      <sheetName val="1차설계변경내역"/>
      <sheetName val="단가및재료비"/>
      <sheetName val="단중표"/>
      <sheetName val="Tool"/>
      <sheetName val="신규DEP"/>
      <sheetName val="가로등내역서"/>
      <sheetName val="전기변내역"/>
      <sheetName val="공통(Ȳ"/>
      <sheetName val="인사자료총집계"/>
      <sheetName val="주식"/>
      <sheetName val="공사기본내용입력"/>
      <sheetName val="실행내역서"/>
      <sheetName val="토공사(흙막이)"/>
      <sheetName val="제-노임"/>
      <sheetName val="70%"/>
      <sheetName val="기초자료입력"/>
      <sheetName val="중기조종사_단위단가"/>
      <sheetName val="아파트_내역"/>
      <sheetName val="경영"/>
      <sheetName val="98년"/>
      <sheetName val="실적"/>
      <sheetName val="명세서"/>
      <sheetName val="직접경비"/>
      <sheetName val="직접인건비"/>
      <sheetName val="1안"/>
      <sheetName val="외삼초"/>
      <sheetName val="서울대규장각(가시설흙막이)"/>
      <sheetName val="CODE(2)"/>
      <sheetName val="기초입력 DATA"/>
      <sheetName val="증감내역서"/>
      <sheetName val="이름정의"/>
      <sheetName val="부하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실행내역"/>
      <sheetName val="일위대가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VXXXXX"/>
      <sheetName val="적용대가"/>
      <sheetName val="지수내역"/>
      <sheetName val="노(97.1,97.9,98.1)"/>
      <sheetName val="노임단가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일위대가목록"/>
      <sheetName val="Baby일위대가"/>
      <sheetName val="철거산출근거"/>
      <sheetName val="경산"/>
      <sheetName val="내역서2안"/>
      <sheetName val="Sheet1"/>
      <sheetName val="일위_파일"/>
      <sheetName val="단가조사"/>
      <sheetName val="일위대가"/>
      <sheetName val="견적서"/>
      <sheetName val="내역서(삼호)"/>
      <sheetName val="KKK"/>
      <sheetName val="저"/>
      <sheetName val="표지"/>
      <sheetName val="간접비"/>
      <sheetName val="출력은 금물"/>
      <sheetName val="일위대가(건축)"/>
      <sheetName val=" 냉각수펌프"/>
      <sheetName val="단가 "/>
      <sheetName val="2공구산출내역"/>
      <sheetName val="소비자가"/>
      <sheetName val="데리네이타현황"/>
      <sheetName val="금액내역서"/>
      <sheetName val="Sheet3"/>
      <sheetName val="도급내역서"/>
      <sheetName val="물가자료"/>
      <sheetName val="COVER"/>
      <sheetName val="직재"/>
      <sheetName val="#REF"/>
      <sheetName val="연결관암거"/>
      <sheetName val="3BL공동구 수량"/>
      <sheetName val="부분별수량산출(조합기초)"/>
      <sheetName val="기자재비"/>
      <sheetName val="전담운영PM"/>
      <sheetName val="단위중량"/>
      <sheetName val="수량산출"/>
      <sheetName val="일위대가(출입)"/>
      <sheetName val="EJ"/>
      <sheetName val="대,유,램"/>
      <sheetName val="국별인원"/>
      <sheetName val="식재일위대가"/>
      <sheetName val="J直材4"/>
      <sheetName val="일위대가(4층원격)"/>
      <sheetName val="기초일위대가"/>
      <sheetName val="단가대비표"/>
      <sheetName val="산출기초"/>
      <sheetName val="적용건축"/>
      <sheetName val="기계내역"/>
      <sheetName val="9GNG운반"/>
      <sheetName val="기계경비(시간당)"/>
      <sheetName val="램머"/>
      <sheetName val="차액보증"/>
      <sheetName val="Sheet1 (2)"/>
      <sheetName val="소방"/>
      <sheetName val="N賃率-職"/>
      <sheetName val="COL"/>
      <sheetName val="손익분석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단가조사서"/>
      <sheetName val="Sheet38"/>
      <sheetName val="터파기및재료"/>
      <sheetName val="2F 회의실견적(5_14 일대)"/>
      <sheetName val="Sheet5"/>
      <sheetName val="Macro1"/>
      <sheetName val="내역서"/>
      <sheetName val="Sheet2"/>
      <sheetName val="일반전기C"/>
      <sheetName val="부대공"/>
      <sheetName val="포장공"/>
      <sheetName val="토공"/>
      <sheetName val="ilch"/>
      <sheetName val="1안"/>
      <sheetName val="부속동"/>
      <sheetName val="일위목록"/>
      <sheetName val="설직재-1"/>
      <sheetName val="을"/>
      <sheetName val="정부노임단가"/>
      <sheetName val="DATA"/>
      <sheetName val="데이타"/>
      <sheetName val="골조시행"/>
      <sheetName val="샘플표지"/>
      <sheetName val="대보~세기"/>
      <sheetName val="AHU집계"/>
      <sheetName val="대운반(철재)"/>
      <sheetName val="쌍송교"/>
      <sheetName val="수지예산"/>
      <sheetName val="단가산출"/>
      <sheetName val="일위"/>
      <sheetName val="산출-설비"/>
      <sheetName val="I一般比"/>
      <sheetName val="노(97_1,97_9,98_1)"/>
      <sheetName val="출력은_금물"/>
      <sheetName val="_냉각수펌프"/>
      <sheetName val="단가_"/>
      <sheetName val="일위대가내역"/>
      <sheetName val="목록"/>
      <sheetName val="ESCO개보수공사"/>
      <sheetName val="부대내역"/>
      <sheetName val="흥양2교토공집계표"/>
      <sheetName val="Base"/>
      <sheetName val="C3"/>
      <sheetName val="납부서"/>
      <sheetName val="건축원가"/>
      <sheetName val="공량(1월22일)"/>
      <sheetName val="도급내역"/>
      <sheetName val="을지"/>
      <sheetName val="대목"/>
      <sheetName val="1차 내역서"/>
      <sheetName val="사업부배부A"/>
      <sheetName val="일위대가표"/>
      <sheetName val="가로등내역서"/>
      <sheetName val="원내역"/>
      <sheetName val="외주비"/>
      <sheetName val="일반공사"/>
      <sheetName val="현장관리비 산출내역"/>
      <sheetName val="공사미수"/>
      <sheetName val="대공종"/>
      <sheetName val="1구간BOQ"/>
      <sheetName val="말뚝지지력산정"/>
      <sheetName val="BOQ(전체)"/>
      <sheetName val="주소"/>
      <sheetName val="설계예시"/>
      <sheetName val="Mc1"/>
      <sheetName val="공통(20-91)"/>
      <sheetName val="ELECTRIC"/>
      <sheetName val="내역(100%)"/>
      <sheetName val="표지1"/>
      <sheetName val="단"/>
      <sheetName val="WORK"/>
      <sheetName val="산출근거(단청공사)"/>
      <sheetName val="갑지(추정)"/>
      <sheetName val="사업수지"/>
      <sheetName val="WEIGHT LIST"/>
      <sheetName val="POL6차-PIPING"/>
      <sheetName val="물량"/>
      <sheetName val="산#2-1 (2)"/>
      <sheetName val="산#3-1"/>
      <sheetName val="기계설비표선정수장"/>
      <sheetName val="토목내역서 (도급단가)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인건비"/>
      <sheetName val="중기사용료"/>
      <sheetName val="패널"/>
      <sheetName val="TANK견적대지"/>
      <sheetName val="sst,stl창호"/>
      <sheetName val="DAN"/>
      <sheetName val="백호우계수"/>
      <sheetName val="공사비"/>
      <sheetName val="재집"/>
      <sheetName val="Y-WORK"/>
      <sheetName val="60명당사(총괄)"/>
      <sheetName val="1공구내역"/>
      <sheetName val="별표"/>
      <sheetName val="건축공사실행"/>
      <sheetName val="공량산출서"/>
      <sheetName val="중기일위대가"/>
      <sheetName val="일위목록-기"/>
      <sheetName val="BOX전기내역"/>
      <sheetName val="공조기휀"/>
      <sheetName val="원가계산서"/>
      <sheetName val="건축내역"/>
      <sheetName val="원가계산"/>
      <sheetName val="수정내역"/>
      <sheetName val="실행내역"/>
      <sheetName val="전시원"/>
      <sheetName val="전시내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단가산출서"/>
      <sheetName val="재료단가"/>
      <sheetName val="현장"/>
      <sheetName val="골재산출"/>
      <sheetName val="MAIN_TABLE"/>
      <sheetName val="백암비스타내역"/>
      <sheetName val="5공철탑검토표"/>
      <sheetName val="4공철탑검토"/>
      <sheetName val="기본일위"/>
      <sheetName val="조명율표"/>
      <sheetName val="CTEMCOST"/>
      <sheetName val="교통대책내역"/>
      <sheetName val="기초자료"/>
      <sheetName val="공사비총괄표"/>
      <sheetName val="예산M11A"/>
      <sheetName val="재료"/>
      <sheetName val="식재수량표"/>
      <sheetName val="길어깨(현황)"/>
      <sheetName val="MOTOR"/>
      <sheetName val="아파트건축"/>
      <sheetName val="실행철강하도"/>
      <sheetName val="산출내역서"/>
      <sheetName val="기둥(원형)"/>
      <sheetName val="기초공"/>
      <sheetName val="101동"/>
      <sheetName val="2000년1차"/>
      <sheetName val="2000전체분"/>
      <sheetName val="출자한도"/>
      <sheetName val="일대-1"/>
      <sheetName val="공사개요(서광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인건비"/>
      <sheetName val="을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5"/>
  <sheetViews>
    <sheetView showGridLines="0" showZeros="0" zoomScale="80" zoomScaleNormal="100" workbookViewId="0">
      <selection activeCell="C17" sqref="C17"/>
    </sheetView>
  </sheetViews>
  <sheetFormatPr defaultColWidth="10.28515625" defaultRowHeight="30" customHeight="1"/>
  <cols>
    <col min="1" max="1" width="7" style="36" bestFit="1" customWidth="1"/>
    <col min="2" max="2" width="5.85546875" style="36" customWidth="1"/>
    <col min="3" max="3" width="66.28515625" style="36" customWidth="1"/>
    <col min="4" max="4" width="8.7109375" style="38" bestFit="1" customWidth="1"/>
    <col min="5" max="16384" width="10.28515625" style="36"/>
  </cols>
  <sheetData>
    <row r="1" spans="1:6" ht="50.1" customHeight="1">
      <c r="B1" s="37"/>
    </row>
    <row r="2" spans="1:6" ht="30" customHeight="1">
      <c r="A2" s="39" t="s">
        <v>185</v>
      </c>
      <c r="B2" s="40"/>
      <c r="C2" s="40"/>
      <c r="D2" s="41"/>
    </row>
    <row r="3" spans="1:6" ht="24.95" customHeight="1">
      <c r="A3" s="39"/>
      <c r="B3" s="40"/>
    </row>
    <row r="4" spans="1:6" ht="21" customHeight="1">
      <c r="A4" s="39"/>
      <c r="B4" s="40"/>
    </row>
    <row r="5" spans="1:6" s="44" customFormat="1" ht="44.25" customHeight="1">
      <c r="A5" s="42" t="s">
        <v>186</v>
      </c>
      <c r="B5" s="43" t="s">
        <v>187</v>
      </c>
      <c r="C5" s="43"/>
      <c r="D5" s="44">
        <v>1</v>
      </c>
    </row>
    <row r="6" spans="1:6" s="44" customFormat="1" ht="44.25" customHeight="1">
      <c r="A6" s="42" t="s">
        <v>188</v>
      </c>
      <c r="B6" s="43" t="s">
        <v>189</v>
      </c>
      <c r="C6" s="45"/>
      <c r="D6" s="44">
        <v>3</v>
      </c>
    </row>
    <row r="7" spans="1:6" s="44" customFormat="1" ht="44.25" customHeight="1">
      <c r="A7" s="42" t="s">
        <v>190</v>
      </c>
      <c r="B7" s="46" t="s">
        <v>192</v>
      </c>
      <c r="C7" s="45"/>
      <c r="D7" s="44">
        <v>6</v>
      </c>
    </row>
    <row r="8" spans="1:6" s="44" customFormat="1" ht="44.25" customHeight="1">
      <c r="A8" s="42" t="s">
        <v>191</v>
      </c>
      <c r="B8" s="46" t="s">
        <v>513</v>
      </c>
      <c r="C8" s="45"/>
      <c r="D8" s="44">
        <v>10</v>
      </c>
    </row>
    <row r="9" spans="1:6" s="44" customFormat="1" ht="44.25" customHeight="1">
      <c r="A9" s="42" t="s">
        <v>507</v>
      </c>
      <c r="B9" s="46" t="s">
        <v>366</v>
      </c>
      <c r="C9" s="45"/>
      <c r="D9" s="44">
        <v>12</v>
      </c>
    </row>
    <row r="10" spans="1:6" s="44" customFormat="1" ht="44.25" customHeight="1">
      <c r="A10" s="42"/>
      <c r="B10" s="46" t="s">
        <v>506</v>
      </c>
      <c r="C10" s="45"/>
      <c r="D10" s="44">
        <v>13</v>
      </c>
    </row>
    <row r="11" spans="1:6" s="44" customFormat="1" ht="44.25" customHeight="1">
      <c r="A11" s="42"/>
      <c r="B11" s="46" t="s">
        <v>508</v>
      </c>
      <c r="C11" s="45"/>
      <c r="D11" s="44">
        <v>24</v>
      </c>
    </row>
    <row r="12" spans="1:6" s="44" customFormat="1" ht="44.25" customHeight="1">
      <c r="A12" s="42"/>
      <c r="B12" s="46" t="s">
        <v>509</v>
      </c>
      <c r="C12" s="45"/>
      <c r="D12" s="44">
        <v>41</v>
      </c>
    </row>
    <row r="13" spans="1:6" s="44" customFormat="1" ht="44.25" customHeight="1">
      <c r="A13" s="42"/>
      <c r="B13" s="46" t="s">
        <v>510</v>
      </c>
      <c r="C13" s="45"/>
      <c r="D13" s="44">
        <v>62</v>
      </c>
    </row>
    <row r="14" spans="1:6" s="44" customFormat="1" ht="44.25" customHeight="1">
      <c r="A14" s="42"/>
      <c r="B14" s="46" t="s">
        <v>511</v>
      </c>
      <c r="C14" s="45"/>
      <c r="D14" s="44">
        <v>65</v>
      </c>
    </row>
    <row r="15" spans="1:6" s="44" customFormat="1" ht="44.25" customHeight="1">
      <c r="A15" s="42"/>
      <c r="B15" s="46" t="s">
        <v>512</v>
      </c>
      <c r="C15" s="45"/>
      <c r="D15" s="44">
        <v>68</v>
      </c>
    </row>
    <row r="16" spans="1:6" ht="20.100000000000001" customHeight="1">
      <c r="A16" s="44"/>
      <c r="B16" s="44"/>
      <c r="C16" s="44"/>
      <c r="D16" s="47"/>
      <c r="E16" s="44"/>
      <c r="F16" s="44"/>
    </row>
    <row r="17" spans="1:6" ht="24.95" customHeight="1">
      <c r="A17" s="44"/>
      <c r="B17" s="44"/>
      <c r="C17" s="44"/>
      <c r="D17" s="47"/>
      <c r="E17" s="44"/>
      <c r="F17" s="44"/>
    </row>
    <row r="18" spans="1:6" ht="24.95" customHeight="1">
      <c r="A18" s="44"/>
      <c r="B18" s="44"/>
      <c r="C18" s="44"/>
      <c r="D18" s="47"/>
      <c r="E18" s="44"/>
      <c r="F18" s="44"/>
    </row>
    <row r="19" spans="1:6" ht="24.95" customHeight="1">
      <c r="A19" s="44"/>
      <c r="B19" s="44"/>
      <c r="C19" s="44"/>
      <c r="D19" s="47"/>
      <c r="E19" s="44"/>
      <c r="F19" s="44"/>
    </row>
    <row r="20" spans="1:6" ht="24.95" customHeight="1">
      <c r="A20" s="44"/>
      <c r="B20" s="44"/>
      <c r="C20" s="44"/>
      <c r="D20" s="47"/>
      <c r="E20" s="44"/>
      <c r="F20" s="44"/>
    </row>
    <row r="21" spans="1:6" ht="24.95" customHeight="1">
      <c r="A21" s="44"/>
      <c r="B21" s="44"/>
      <c r="C21" s="44"/>
      <c r="D21" s="47"/>
      <c r="E21" s="44"/>
      <c r="F21" s="44"/>
    </row>
    <row r="22" spans="1:6" ht="24.95" customHeight="1">
      <c r="A22" s="44"/>
      <c r="B22" s="44"/>
      <c r="C22" s="44"/>
      <c r="D22" s="47"/>
      <c r="E22" s="44"/>
      <c r="F22" s="44"/>
    </row>
    <row r="23" spans="1:6" ht="24.95" customHeight="1">
      <c r="A23" s="44"/>
      <c r="B23" s="44"/>
      <c r="C23" s="44"/>
      <c r="D23" s="47"/>
      <c r="E23" s="44"/>
      <c r="F23" s="44"/>
    </row>
    <row r="24" spans="1:6" ht="24.95" customHeight="1">
      <c r="A24" s="44"/>
      <c r="B24" s="44"/>
      <c r="C24" s="44"/>
      <c r="D24" s="47"/>
      <c r="E24" s="44"/>
      <c r="F24" s="44"/>
    </row>
    <row r="25" spans="1:6" ht="24.95" customHeight="1">
      <c r="A25" s="44"/>
      <c r="B25" s="44"/>
      <c r="C25" s="44"/>
      <c r="D25" s="47"/>
      <c r="E25" s="44"/>
      <c r="F25" s="44"/>
    </row>
    <row r="26" spans="1:6" ht="24.95" customHeight="1">
      <c r="A26" s="44"/>
      <c r="B26" s="44"/>
      <c r="C26" s="44"/>
      <c r="D26" s="47"/>
      <c r="E26" s="44"/>
      <c r="F26" s="44"/>
    </row>
    <row r="27" spans="1:6" ht="24.95" customHeight="1">
      <c r="A27" s="44"/>
      <c r="B27" s="44"/>
      <c r="C27" s="44"/>
      <c r="D27" s="47"/>
      <c r="E27" s="44"/>
      <c r="F27" s="44"/>
    </row>
    <row r="28" spans="1:6" ht="24.95" customHeight="1">
      <c r="A28" s="44"/>
      <c r="B28" s="44"/>
      <c r="C28" s="44"/>
      <c r="D28" s="47"/>
      <c r="E28" s="44"/>
      <c r="F28" s="44"/>
    </row>
    <row r="29" spans="1:6" ht="24.95" customHeight="1">
      <c r="A29" s="44"/>
      <c r="B29" s="44"/>
      <c r="C29" s="44"/>
      <c r="D29" s="47"/>
      <c r="E29" s="44"/>
      <c r="F29" s="44"/>
    </row>
    <row r="30" spans="1:6" ht="24.95" customHeight="1">
      <c r="A30" s="44"/>
      <c r="B30" s="44"/>
      <c r="C30" s="44"/>
      <c r="D30" s="47"/>
      <c r="E30" s="44"/>
      <c r="F30" s="44"/>
    </row>
    <row r="31" spans="1:6" ht="24.95" customHeight="1">
      <c r="A31" s="44"/>
      <c r="B31" s="44"/>
      <c r="C31" s="44"/>
      <c r="D31" s="47"/>
      <c r="E31" s="44"/>
      <c r="F31" s="44"/>
    </row>
    <row r="32" spans="1:6" ht="24.95" customHeight="1">
      <c r="A32" s="44"/>
      <c r="B32" s="44"/>
      <c r="C32" s="44"/>
      <c r="D32" s="47"/>
      <c r="E32" s="44"/>
      <c r="F32" s="44"/>
    </row>
    <row r="33" spans="1:6" ht="30" customHeight="1">
      <c r="A33" s="44"/>
      <c r="B33" s="44"/>
      <c r="C33" s="44"/>
      <c r="D33" s="47"/>
      <c r="E33" s="44"/>
      <c r="F33" s="44"/>
    </row>
    <row r="34" spans="1:6" ht="30" customHeight="1">
      <c r="A34" s="44"/>
      <c r="B34" s="44"/>
      <c r="C34" s="44"/>
      <c r="D34" s="47"/>
      <c r="E34" s="44"/>
      <c r="F34" s="44"/>
    </row>
    <row r="35" spans="1:6" ht="30" customHeight="1">
      <c r="A35" s="44"/>
      <c r="B35" s="44"/>
      <c r="C35" s="44"/>
      <c r="D35" s="47"/>
      <c r="E35" s="44"/>
      <c r="F35" s="44"/>
    </row>
    <row r="36" spans="1:6" ht="30" customHeight="1">
      <c r="A36" s="44"/>
      <c r="B36" s="44"/>
      <c r="C36" s="44"/>
      <c r="D36" s="47"/>
      <c r="E36" s="44"/>
      <c r="F36" s="44"/>
    </row>
    <row r="37" spans="1:6" ht="30" customHeight="1">
      <c r="A37" s="44"/>
      <c r="B37" s="44"/>
      <c r="C37" s="44"/>
      <c r="D37" s="47"/>
      <c r="E37" s="44"/>
      <c r="F37" s="44"/>
    </row>
    <row r="38" spans="1:6" ht="30" customHeight="1">
      <c r="A38" s="44"/>
      <c r="B38" s="44"/>
      <c r="C38" s="44"/>
      <c r="D38" s="47"/>
      <c r="E38" s="44"/>
      <c r="F38" s="44"/>
    </row>
    <row r="39" spans="1:6" ht="30" customHeight="1">
      <c r="A39" s="44"/>
      <c r="B39" s="44"/>
      <c r="C39" s="44"/>
      <c r="D39" s="47"/>
      <c r="E39" s="44"/>
      <c r="F39" s="44"/>
    </row>
    <row r="40" spans="1:6" ht="30" customHeight="1">
      <c r="A40" s="44"/>
      <c r="B40" s="44"/>
      <c r="C40" s="44"/>
      <c r="D40" s="47"/>
      <c r="E40" s="44"/>
      <c r="F40" s="44"/>
    </row>
    <row r="41" spans="1:6" ht="30" customHeight="1">
      <c r="A41" s="44"/>
      <c r="B41" s="44"/>
      <c r="C41" s="44"/>
      <c r="D41" s="47"/>
      <c r="E41" s="44"/>
      <c r="F41" s="44"/>
    </row>
    <row r="42" spans="1:6" ht="30" customHeight="1">
      <c r="A42" s="44"/>
      <c r="B42" s="44"/>
      <c r="C42" s="44"/>
      <c r="D42" s="47"/>
      <c r="E42" s="44"/>
      <c r="F42" s="44"/>
    </row>
    <row r="43" spans="1:6" ht="30" customHeight="1">
      <c r="A43" s="44"/>
      <c r="B43" s="44"/>
      <c r="C43" s="44"/>
      <c r="D43" s="47"/>
      <c r="E43" s="44"/>
      <c r="F43" s="44"/>
    </row>
    <row r="44" spans="1:6" ht="30" customHeight="1">
      <c r="A44" s="44"/>
      <c r="B44" s="44"/>
      <c r="C44" s="44"/>
      <c r="D44" s="47"/>
      <c r="E44" s="44"/>
      <c r="F44" s="44"/>
    </row>
    <row r="45" spans="1:6" ht="30" customHeight="1">
      <c r="A45" s="44"/>
      <c r="B45" s="44"/>
      <c r="C45" s="44"/>
      <c r="D45" s="47"/>
      <c r="E45" s="44"/>
      <c r="F45" s="44"/>
    </row>
    <row r="46" spans="1:6" ht="30" customHeight="1">
      <c r="A46" s="44"/>
      <c r="B46" s="44"/>
      <c r="C46" s="44"/>
      <c r="D46" s="47"/>
      <c r="E46" s="44"/>
      <c r="F46" s="44"/>
    </row>
    <row r="47" spans="1:6" ht="30" customHeight="1">
      <c r="A47" s="44"/>
      <c r="B47" s="44"/>
      <c r="C47" s="44"/>
      <c r="D47" s="47"/>
      <c r="E47" s="44"/>
      <c r="F47" s="44"/>
    </row>
    <row r="48" spans="1:6" ht="30" customHeight="1">
      <c r="A48" s="44"/>
      <c r="B48" s="44"/>
      <c r="C48" s="44"/>
      <c r="D48" s="47"/>
      <c r="E48" s="44"/>
      <c r="F48" s="44"/>
    </row>
    <row r="49" spans="1:6" ht="30" customHeight="1">
      <c r="A49" s="44"/>
      <c r="B49" s="44"/>
      <c r="C49" s="44"/>
      <c r="D49" s="47"/>
      <c r="E49" s="44"/>
      <c r="F49" s="44"/>
    </row>
    <row r="50" spans="1:6" ht="30" customHeight="1">
      <c r="A50" s="44"/>
      <c r="B50" s="44"/>
      <c r="C50" s="44"/>
      <c r="D50" s="47"/>
      <c r="E50" s="44"/>
      <c r="F50" s="44"/>
    </row>
    <row r="51" spans="1:6" ht="30" customHeight="1">
      <c r="A51" s="44"/>
      <c r="B51" s="44"/>
      <c r="C51" s="44"/>
      <c r="D51" s="47"/>
      <c r="E51" s="44"/>
      <c r="F51" s="44"/>
    </row>
    <row r="52" spans="1:6" ht="30" customHeight="1">
      <c r="A52" s="44"/>
      <c r="B52" s="44"/>
      <c r="C52" s="44"/>
      <c r="D52" s="47"/>
      <c r="E52" s="44"/>
      <c r="F52" s="44"/>
    </row>
    <row r="53" spans="1:6" ht="30" customHeight="1">
      <c r="A53" s="44"/>
      <c r="B53" s="44"/>
      <c r="C53" s="44"/>
      <c r="D53" s="47"/>
      <c r="E53" s="44"/>
      <c r="F53" s="44"/>
    </row>
    <row r="54" spans="1:6" ht="30" customHeight="1">
      <c r="A54" s="44"/>
      <c r="B54" s="44"/>
      <c r="C54" s="44"/>
      <c r="D54" s="47"/>
      <c r="E54" s="44"/>
      <c r="F54" s="44"/>
    </row>
    <row r="55" spans="1:6" ht="30" customHeight="1">
      <c r="A55" s="44"/>
      <c r="B55" s="44"/>
      <c r="C55" s="44"/>
      <c r="D55" s="47"/>
      <c r="E55" s="44"/>
      <c r="F55" s="44"/>
    </row>
    <row r="56" spans="1:6" ht="30" customHeight="1">
      <c r="A56" s="44"/>
      <c r="B56" s="44"/>
      <c r="C56" s="44"/>
      <c r="D56" s="47"/>
      <c r="E56" s="44"/>
      <c r="F56" s="44"/>
    </row>
    <row r="57" spans="1:6" ht="30" customHeight="1">
      <c r="A57" s="44"/>
      <c r="B57" s="44"/>
      <c r="C57" s="44"/>
      <c r="D57" s="47"/>
      <c r="E57" s="44"/>
      <c r="F57" s="44"/>
    </row>
    <row r="58" spans="1:6" ht="30" customHeight="1">
      <c r="A58" s="44"/>
      <c r="B58" s="44"/>
      <c r="C58" s="44"/>
      <c r="D58" s="47"/>
      <c r="E58" s="44"/>
      <c r="F58" s="44"/>
    </row>
    <row r="59" spans="1:6" ht="30" customHeight="1">
      <c r="A59" s="44"/>
      <c r="B59" s="44"/>
      <c r="C59" s="44"/>
      <c r="D59" s="47"/>
      <c r="E59" s="44"/>
      <c r="F59" s="44"/>
    </row>
    <row r="60" spans="1:6" ht="30" customHeight="1">
      <c r="A60" s="44"/>
      <c r="B60" s="44"/>
      <c r="C60" s="44"/>
      <c r="D60" s="47"/>
      <c r="E60" s="44"/>
      <c r="F60" s="44"/>
    </row>
    <row r="61" spans="1:6" ht="30" customHeight="1">
      <c r="A61" s="44"/>
      <c r="B61" s="44"/>
      <c r="C61" s="44"/>
      <c r="D61" s="47"/>
      <c r="E61" s="44"/>
      <c r="F61" s="44"/>
    </row>
    <row r="62" spans="1:6" ht="30" customHeight="1">
      <c r="A62" s="44"/>
      <c r="B62" s="44"/>
      <c r="C62" s="44"/>
      <c r="D62" s="47"/>
      <c r="E62" s="44"/>
      <c r="F62" s="44"/>
    </row>
    <row r="63" spans="1:6" ht="30" customHeight="1">
      <c r="A63" s="44"/>
      <c r="B63" s="44"/>
      <c r="C63" s="44"/>
      <c r="D63" s="47"/>
      <c r="E63" s="44"/>
      <c r="F63" s="44"/>
    </row>
    <row r="64" spans="1:6" ht="30" customHeight="1">
      <c r="A64" s="44"/>
      <c r="B64" s="44"/>
      <c r="C64" s="44"/>
      <c r="D64" s="47"/>
      <c r="E64" s="44"/>
      <c r="F64" s="44"/>
    </row>
    <row r="65" spans="1:6" ht="30" customHeight="1">
      <c r="A65" s="44"/>
      <c r="B65" s="44"/>
      <c r="C65" s="44"/>
      <c r="D65" s="47"/>
      <c r="E65" s="44"/>
      <c r="F65" s="44"/>
    </row>
    <row r="66" spans="1:6" ht="30" customHeight="1">
      <c r="A66" s="44"/>
      <c r="B66" s="44"/>
      <c r="C66" s="44"/>
      <c r="D66" s="47"/>
      <c r="E66" s="44"/>
      <c r="F66" s="44"/>
    </row>
    <row r="67" spans="1:6" ht="30" customHeight="1">
      <c r="A67" s="44"/>
      <c r="B67" s="44"/>
      <c r="C67" s="44"/>
      <c r="D67" s="47"/>
      <c r="E67" s="44"/>
      <c r="F67" s="44"/>
    </row>
    <row r="68" spans="1:6" ht="30" customHeight="1">
      <c r="A68" s="44"/>
      <c r="B68" s="44"/>
      <c r="C68" s="44"/>
      <c r="D68" s="47"/>
      <c r="E68" s="44"/>
      <c r="F68" s="44"/>
    </row>
    <row r="69" spans="1:6" ht="30" customHeight="1">
      <c r="A69" s="44"/>
      <c r="B69" s="44"/>
      <c r="C69" s="44"/>
      <c r="D69" s="47"/>
      <c r="E69" s="44"/>
      <c r="F69" s="44"/>
    </row>
    <row r="70" spans="1:6" ht="30" customHeight="1">
      <c r="A70" s="44"/>
      <c r="B70" s="44"/>
      <c r="C70" s="44"/>
      <c r="D70" s="47"/>
      <c r="E70" s="44"/>
      <c r="F70" s="44"/>
    </row>
    <row r="71" spans="1:6" ht="30" customHeight="1">
      <c r="A71" s="44"/>
      <c r="B71" s="44"/>
      <c r="C71" s="44"/>
      <c r="D71" s="47"/>
      <c r="E71" s="44"/>
      <c r="F71" s="44"/>
    </row>
    <row r="72" spans="1:6" ht="30" customHeight="1">
      <c r="A72" s="44"/>
      <c r="B72" s="44"/>
      <c r="C72" s="44"/>
      <c r="D72" s="47"/>
      <c r="E72" s="44"/>
      <c r="F72" s="44"/>
    </row>
    <row r="73" spans="1:6" ht="30" customHeight="1">
      <c r="A73" s="44"/>
      <c r="B73" s="44"/>
      <c r="C73" s="44"/>
      <c r="D73" s="47"/>
      <c r="E73" s="44"/>
      <c r="F73" s="44"/>
    </row>
    <row r="74" spans="1:6" ht="30" customHeight="1">
      <c r="A74" s="44"/>
      <c r="B74" s="44"/>
      <c r="C74" s="44"/>
      <c r="D74" s="47"/>
      <c r="E74" s="44"/>
      <c r="F74" s="44"/>
    </row>
    <row r="75" spans="1:6" ht="30" customHeight="1">
      <c r="A75" s="44"/>
      <c r="B75" s="44"/>
      <c r="C75" s="44"/>
      <c r="D75" s="47"/>
      <c r="E75" s="44"/>
      <c r="F75" s="44"/>
    </row>
    <row r="76" spans="1:6" ht="30" customHeight="1">
      <c r="A76" s="44"/>
      <c r="B76" s="44"/>
      <c r="C76" s="44"/>
      <c r="D76" s="47"/>
      <c r="E76" s="44"/>
      <c r="F76" s="44"/>
    </row>
    <row r="77" spans="1:6" ht="30" customHeight="1">
      <c r="A77" s="44"/>
      <c r="B77" s="44"/>
      <c r="C77" s="44"/>
      <c r="D77" s="47"/>
      <c r="E77" s="44"/>
      <c r="F77" s="44"/>
    </row>
    <row r="78" spans="1:6" ht="30" customHeight="1">
      <c r="A78" s="44"/>
      <c r="B78" s="44"/>
      <c r="C78" s="44"/>
      <c r="D78" s="47"/>
      <c r="E78" s="44"/>
      <c r="F78" s="44"/>
    </row>
    <row r="79" spans="1:6" ht="30" customHeight="1">
      <c r="A79" s="44"/>
      <c r="B79" s="44"/>
      <c r="C79" s="44"/>
      <c r="D79" s="47"/>
      <c r="E79" s="44"/>
      <c r="F79" s="44"/>
    </row>
    <row r="80" spans="1:6" ht="30" customHeight="1">
      <c r="A80" s="44"/>
      <c r="B80" s="44"/>
      <c r="C80" s="44"/>
      <c r="D80" s="47"/>
      <c r="E80" s="44"/>
      <c r="F80" s="44"/>
    </row>
    <row r="81" spans="1:6" ht="30" customHeight="1">
      <c r="A81" s="44"/>
      <c r="B81" s="44"/>
      <c r="C81" s="44"/>
      <c r="D81" s="47"/>
      <c r="E81" s="44"/>
      <c r="F81" s="44"/>
    </row>
    <row r="82" spans="1:6" ht="30" customHeight="1">
      <c r="A82" s="44"/>
      <c r="B82" s="44"/>
      <c r="C82" s="44"/>
      <c r="D82" s="47"/>
      <c r="E82" s="44"/>
      <c r="F82" s="44"/>
    </row>
    <row r="83" spans="1:6" ht="30" customHeight="1">
      <c r="A83" s="44"/>
      <c r="B83" s="44"/>
      <c r="C83" s="44"/>
      <c r="D83" s="47"/>
      <c r="E83" s="44"/>
      <c r="F83" s="44"/>
    </row>
    <row r="84" spans="1:6" ht="30" customHeight="1">
      <c r="A84" s="44"/>
      <c r="B84" s="44"/>
      <c r="C84" s="44"/>
      <c r="D84" s="47"/>
      <c r="E84" s="44"/>
      <c r="F84" s="44"/>
    </row>
    <row r="85" spans="1:6" ht="30" customHeight="1">
      <c r="A85" s="44"/>
      <c r="B85" s="44"/>
      <c r="C85" s="44"/>
      <c r="D85" s="47"/>
      <c r="E85" s="44"/>
      <c r="F85" s="4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385"/>
  <sheetViews>
    <sheetView showGridLines="0" showZeros="0" view="pageBreakPreview" topLeftCell="A356" zoomScaleNormal="100" zoomScaleSheetLayoutView="100" workbookViewId="0">
      <selection activeCell="G385" sqref="G385"/>
    </sheetView>
  </sheetViews>
  <sheetFormatPr defaultRowHeight="12"/>
  <cols>
    <col min="1" max="1" width="1.7109375" style="616" customWidth="1"/>
    <col min="2" max="2" width="3.7109375" style="614" customWidth="1"/>
    <col min="3" max="3" width="6.85546875" style="616" customWidth="1"/>
    <col min="4" max="4" width="1.7109375" style="616" customWidth="1"/>
    <col min="5" max="5" width="20.7109375" style="614" customWidth="1"/>
    <col min="6" max="6" width="1.7109375" style="614" customWidth="1"/>
    <col min="7" max="7" width="14.28515625" style="660" customWidth="1"/>
    <col min="8" max="8" width="1" style="690" customWidth="1"/>
    <col min="9" max="9" width="9.28515625" style="660" bestFit="1" customWidth="1"/>
    <col min="10" max="10" width="1.140625" style="690" customWidth="1"/>
    <col min="11" max="11" width="0.85546875" style="660" customWidth="1"/>
    <col min="12" max="12" width="32.28515625" style="815" customWidth="1"/>
    <col min="13" max="13" width="11.7109375" style="616" bestFit="1" customWidth="1"/>
    <col min="14" max="14" width="13" style="616" bestFit="1" customWidth="1"/>
    <col min="15" max="15" width="9.7109375" style="616" bestFit="1" customWidth="1"/>
    <col min="16" max="16384" width="9.140625" style="616"/>
  </cols>
  <sheetData>
    <row r="1" spans="1:15" ht="20.100000000000001" hidden="1" customHeight="1">
      <c r="A1" s="741" t="s">
        <v>306</v>
      </c>
      <c r="B1" s="741"/>
      <c r="C1" s="741"/>
      <c r="D1" s="741"/>
      <c r="E1" s="616"/>
      <c r="F1" s="616"/>
      <c r="G1" s="616"/>
      <c r="I1" s="690"/>
      <c r="L1" s="808"/>
      <c r="M1" s="690"/>
      <c r="N1" s="690"/>
      <c r="O1" s="690"/>
    </row>
    <row r="2" spans="1:15" s="619" customFormat="1" ht="39.950000000000003" hidden="1" customHeight="1">
      <c r="A2" s="617" t="s">
        <v>475</v>
      </c>
      <c r="B2" s="618"/>
      <c r="C2" s="743"/>
      <c r="D2" s="743"/>
      <c r="E2" s="742"/>
      <c r="F2" s="742"/>
      <c r="G2" s="747"/>
      <c r="H2" s="744"/>
      <c r="I2" s="748"/>
      <c r="J2" s="745"/>
      <c r="K2" s="748"/>
      <c r="L2" s="809"/>
    </row>
    <row r="3" spans="1:15" ht="20.100000000000001" hidden="1" customHeight="1">
      <c r="A3" s="749"/>
      <c r="B3" s="750"/>
      <c r="C3" s="749"/>
      <c r="D3" s="749"/>
      <c r="E3" s="750"/>
      <c r="F3" s="750"/>
      <c r="G3" s="751"/>
      <c r="H3" s="752"/>
      <c r="I3" s="753"/>
      <c r="J3" s="754"/>
      <c r="K3" s="753"/>
      <c r="L3" s="810"/>
      <c r="O3" s="619"/>
    </row>
    <row r="4" spans="1:15" ht="20.100000000000001" hidden="1" customHeight="1">
      <c r="A4" s="656" t="str">
        <f>"구 분 : "&amp;월기본급!B9&amp;"                       직종명 : "&amp;월기본급!F9&amp;""</f>
        <v xml:space="preserve">구 분 :                        직종명 : </v>
      </c>
      <c r="B4" s="612"/>
      <c r="C4" s="656"/>
      <c r="D4" s="656"/>
      <c r="G4" s="687"/>
      <c r="H4" s="687"/>
      <c r="I4" s="687"/>
      <c r="L4" s="811" t="s">
        <v>15</v>
      </c>
      <c r="O4" s="619"/>
    </row>
    <row r="5" spans="1:15" ht="20.100000000000001" hidden="1" customHeight="1">
      <c r="A5" s="755"/>
      <c r="B5" s="756"/>
      <c r="C5" s="756"/>
      <c r="D5" s="756"/>
      <c r="E5" s="757" t="s">
        <v>16</v>
      </c>
      <c r="F5" s="757"/>
      <c r="G5" s="917" t="s">
        <v>17</v>
      </c>
      <c r="H5" s="918"/>
      <c r="I5" s="917" t="s">
        <v>18</v>
      </c>
      <c r="J5" s="918"/>
      <c r="K5" s="917" t="s">
        <v>19</v>
      </c>
      <c r="L5" s="918"/>
      <c r="O5" s="619"/>
    </row>
    <row r="6" spans="1:15" ht="20.100000000000001" hidden="1" customHeight="1">
      <c r="A6" s="758" t="s">
        <v>20</v>
      </c>
      <c r="B6" s="759"/>
      <c r="C6" s="760"/>
      <c r="D6" s="760"/>
      <c r="E6" s="760"/>
      <c r="F6" s="760"/>
      <c r="G6" s="919"/>
      <c r="H6" s="920"/>
      <c r="I6" s="919"/>
      <c r="J6" s="920"/>
      <c r="K6" s="919"/>
      <c r="L6" s="920"/>
    </row>
    <row r="7" spans="1:15" ht="18.95" hidden="1" customHeight="1">
      <c r="A7" s="902" t="s">
        <v>204</v>
      </c>
      <c r="B7" s="903"/>
      <c r="C7" s="914" t="s">
        <v>21</v>
      </c>
      <c r="D7" s="915"/>
      <c r="E7" s="915"/>
      <c r="F7" s="916"/>
      <c r="G7" s="675">
        <f>단위당인건비!E6</f>
        <v>0</v>
      </c>
      <c r="H7" s="676"/>
      <c r="I7" s="675"/>
      <c r="J7" s="676"/>
      <c r="K7" s="761"/>
      <c r="L7" s="812"/>
    </row>
    <row r="8" spans="1:15" ht="18.95" hidden="1" customHeight="1">
      <c r="A8" s="904"/>
      <c r="B8" s="905"/>
      <c r="C8" s="908" t="s">
        <v>256</v>
      </c>
      <c r="D8" s="654"/>
      <c r="E8" s="693" t="s">
        <v>0</v>
      </c>
      <c r="F8" s="654"/>
      <c r="G8" s="675">
        <f>단위당인건비!E7</f>
        <v>0</v>
      </c>
      <c r="H8" s="676"/>
      <c r="I8" s="675"/>
      <c r="J8" s="676"/>
      <c r="K8" s="761"/>
      <c r="L8" s="812"/>
    </row>
    <row r="9" spans="1:15" ht="18.95" hidden="1" customHeight="1">
      <c r="A9" s="904"/>
      <c r="B9" s="905"/>
      <c r="C9" s="909"/>
      <c r="D9" s="654"/>
      <c r="E9" s="693" t="s">
        <v>209</v>
      </c>
      <c r="F9" s="762"/>
      <c r="G9" s="675">
        <f>단위당인건비!E8</f>
        <v>0</v>
      </c>
      <c r="H9" s="676"/>
      <c r="I9" s="675"/>
      <c r="J9" s="676"/>
      <c r="K9" s="761"/>
      <c r="L9" s="812"/>
    </row>
    <row r="10" spans="1:15" ht="18.95" hidden="1" customHeight="1">
      <c r="A10" s="904"/>
      <c r="B10" s="905"/>
      <c r="C10" s="909"/>
      <c r="D10" s="654"/>
      <c r="E10" s="693" t="s">
        <v>4</v>
      </c>
      <c r="F10" s="762"/>
      <c r="G10" s="675">
        <f>단위당인건비!E9</f>
        <v>0</v>
      </c>
      <c r="H10" s="676"/>
      <c r="I10" s="675"/>
      <c r="J10" s="676"/>
      <c r="K10" s="761"/>
      <c r="L10" s="812"/>
    </row>
    <row r="11" spans="1:15" ht="18.95" hidden="1" customHeight="1">
      <c r="A11" s="904"/>
      <c r="B11" s="905"/>
      <c r="C11" s="909"/>
      <c r="D11" s="654"/>
      <c r="E11" s="693" t="s">
        <v>257</v>
      </c>
      <c r="F11" s="762"/>
      <c r="G11" s="675">
        <f>단위당인건비!E10</f>
        <v>0</v>
      </c>
      <c r="H11" s="676"/>
      <c r="I11" s="675"/>
      <c r="J11" s="676"/>
      <c r="K11" s="761"/>
      <c r="L11" s="817"/>
    </row>
    <row r="12" spans="1:15" ht="18.95" hidden="1" customHeight="1">
      <c r="A12" s="904"/>
      <c r="B12" s="905"/>
      <c r="C12" s="910"/>
      <c r="D12" s="654"/>
      <c r="E12" s="763" t="s">
        <v>23</v>
      </c>
      <c r="F12" s="763"/>
      <c r="G12" s="675">
        <f>단위당인건비!E11</f>
        <v>0</v>
      </c>
      <c r="H12" s="676"/>
      <c r="I12" s="764"/>
      <c r="J12" s="676"/>
      <c r="K12" s="761"/>
      <c r="L12" s="818"/>
    </row>
    <row r="13" spans="1:15" ht="18.95" hidden="1" customHeight="1">
      <c r="A13" s="904"/>
      <c r="B13" s="905"/>
      <c r="C13" s="914" t="s">
        <v>24</v>
      </c>
      <c r="D13" s="915"/>
      <c r="E13" s="915"/>
      <c r="F13" s="916"/>
      <c r="G13" s="675">
        <f>단위당인건비!E12</f>
        <v>0</v>
      </c>
      <c r="H13" s="676"/>
      <c r="I13" s="764"/>
      <c r="J13" s="676"/>
      <c r="K13" s="761"/>
      <c r="L13" s="818"/>
    </row>
    <row r="14" spans="1:15" ht="18.95" hidden="1" customHeight="1">
      <c r="A14" s="904"/>
      <c r="B14" s="905"/>
      <c r="C14" s="914" t="s">
        <v>25</v>
      </c>
      <c r="D14" s="915"/>
      <c r="E14" s="915"/>
      <c r="F14" s="916"/>
      <c r="G14" s="675">
        <f>단위당인건비!E13</f>
        <v>0</v>
      </c>
      <c r="H14" s="676"/>
      <c r="I14" s="764"/>
      <c r="J14" s="676"/>
      <c r="K14" s="761"/>
      <c r="L14" s="818"/>
    </row>
    <row r="15" spans="1:15" ht="18.95" hidden="1" customHeight="1">
      <c r="A15" s="906"/>
      <c r="B15" s="907"/>
      <c r="C15" s="914" t="s">
        <v>26</v>
      </c>
      <c r="D15" s="915"/>
      <c r="E15" s="915"/>
      <c r="F15" s="916"/>
      <c r="G15" s="675">
        <f>단위당인건비!E14</f>
        <v>0</v>
      </c>
      <c r="H15" s="676"/>
      <c r="I15" s="765" t="e">
        <f>TRUNC(G15/$G$33*100,2)+0.1</f>
        <v>#DIV/0!</v>
      </c>
      <c r="J15" s="676"/>
      <c r="K15" s="761"/>
      <c r="L15" s="813" t="str">
        <f>단위당인건비!$A$1&amp;"참조"</f>
        <v>&lt; 표 : 4 &gt; 참조</v>
      </c>
    </row>
    <row r="16" spans="1:15" ht="18.95" hidden="1" customHeight="1">
      <c r="A16" s="902" t="s">
        <v>212</v>
      </c>
      <c r="B16" s="903"/>
      <c r="C16" s="908" t="s">
        <v>3</v>
      </c>
      <c r="D16" s="654"/>
      <c r="E16" s="693" t="s">
        <v>27</v>
      </c>
      <c r="F16" s="693"/>
      <c r="G16" s="675">
        <f>경비집계표!E7</f>
        <v>0</v>
      </c>
      <c r="H16" s="676"/>
      <c r="I16" s="675"/>
      <c r="J16" s="676"/>
      <c r="K16" s="761"/>
      <c r="L16" s="813"/>
      <c r="M16" s="766"/>
      <c r="N16" s="766"/>
      <c r="O16" s="766"/>
    </row>
    <row r="17" spans="1:15" ht="18.95" hidden="1" customHeight="1">
      <c r="A17" s="904"/>
      <c r="B17" s="905"/>
      <c r="C17" s="909"/>
      <c r="D17" s="654"/>
      <c r="E17" s="693" t="s">
        <v>28</v>
      </c>
      <c r="F17" s="693"/>
      <c r="G17" s="675">
        <f>경비집계표!E8</f>
        <v>0</v>
      </c>
      <c r="H17" s="676"/>
      <c r="I17" s="675"/>
      <c r="J17" s="676"/>
      <c r="K17" s="761"/>
      <c r="L17" s="818"/>
      <c r="M17" s="766"/>
      <c r="N17" s="766"/>
      <c r="O17" s="766"/>
    </row>
    <row r="18" spans="1:15" ht="18.95" hidden="1" customHeight="1">
      <c r="A18" s="904"/>
      <c r="B18" s="905"/>
      <c r="C18" s="909"/>
      <c r="D18" s="654"/>
      <c r="E18" s="693" t="s">
        <v>29</v>
      </c>
      <c r="F18" s="693"/>
      <c r="G18" s="675">
        <f>경비집계표!E9</f>
        <v>0</v>
      </c>
      <c r="H18" s="676"/>
      <c r="I18" s="675"/>
      <c r="J18" s="676"/>
      <c r="K18" s="761"/>
      <c r="L18" s="813"/>
      <c r="M18" s="766"/>
      <c r="N18" s="766"/>
      <c r="O18" s="766"/>
    </row>
    <row r="19" spans="1:15" ht="18.95" hidden="1" customHeight="1">
      <c r="A19" s="904"/>
      <c r="B19" s="905"/>
      <c r="C19" s="909"/>
      <c r="D19" s="654"/>
      <c r="E19" s="693" t="s">
        <v>30</v>
      </c>
      <c r="F19" s="693"/>
      <c r="G19" s="675">
        <f>경비집계표!E10</f>
        <v>0</v>
      </c>
      <c r="H19" s="676"/>
      <c r="I19" s="675"/>
      <c r="J19" s="676"/>
      <c r="K19" s="761"/>
      <c r="L19" s="813"/>
      <c r="M19" s="766"/>
      <c r="N19" s="766"/>
      <c r="O19" s="766"/>
    </row>
    <row r="20" spans="1:15" ht="18.95" hidden="1" customHeight="1">
      <c r="A20" s="904"/>
      <c r="B20" s="905"/>
      <c r="C20" s="909"/>
      <c r="D20" s="654"/>
      <c r="E20" s="721" t="s">
        <v>255</v>
      </c>
      <c r="F20" s="693"/>
      <c r="G20" s="675">
        <f>경비집계표!E11</f>
        <v>0</v>
      </c>
      <c r="H20" s="676"/>
      <c r="I20" s="675"/>
      <c r="J20" s="676"/>
      <c r="K20" s="761"/>
      <c r="L20" s="813"/>
      <c r="M20" s="766"/>
      <c r="N20" s="766"/>
      <c r="O20" s="766"/>
    </row>
    <row r="21" spans="1:15" ht="18.95" hidden="1" customHeight="1">
      <c r="A21" s="904"/>
      <c r="B21" s="905"/>
      <c r="C21" s="909"/>
      <c r="D21" s="654"/>
      <c r="E21" s="693" t="s">
        <v>31</v>
      </c>
      <c r="F21" s="693"/>
      <c r="G21" s="675">
        <f>경비집계표!E12</f>
        <v>0</v>
      </c>
      <c r="H21" s="676"/>
      <c r="I21" s="675"/>
      <c r="J21" s="676"/>
      <c r="K21" s="761"/>
      <c r="L21" s="813"/>
      <c r="M21" s="766"/>
      <c r="N21" s="766"/>
      <c r="O21" s="766"/>
    </row>
    <row r="22" spans="1:15" ht="18.95" hidden="1" customHeight="1">
      <c r="A22" s="904"/>
      <c r="B22" s="905"/>
      <c r="C22" s="910"/>
      <c r="D22" s="654"/>
      <c r="E22" s="763" t="s">
        <v>23</v>
      </c>
      <c r="F22" s="693"/>
      <c r="G22" s="675">
        <f>경비집계표!E13</f>
        <v>0</v>
      </c>
      <c r="H22" s="676"/>
      <c r="I22" s="675"/>
      <c r="J22" s="676"/>
      <c r="K22" s="761"/>
      <c r="L22" s="813"/>
      <c r="M22" s="767"/>
      <c r="N22" s="766"/>
    </row>
    <row r="23" spans="1:15" ht="18.95" hidden="1" customHeight="1">
      <c r="A23" s="904"/>
      <c r="B23" s="905"/>
      <c r="C23" s="911" t="s">
        <v>304</v>
      </c>
      <c r="D23" s="654"/>
      <c r="E23" s="693" t="s">
        <v>32</v>
      </c>
      <c r="F23" s="693"/>
      <c r="G23" s="675">
        <f>경비집계표!E14</f>
        <v>0</v>
      </c>
      <c r="H23" s="676"/>
      <c r="I23" s="675"/>
      <c r="J23" s="676"/>
      <c r="K23" s="761"/>
      <c r="L23" s="813"/>
    </row>
    <row r="24" spans="1:15" ht="18.95" hidden="1" customHeight="1">
      <c r="A24" s="904"/>
      <c r="B24" s="905"/>
      <c r="C24" s="912"/>
      <c r="D24" s="654"/>
      <c r="E24" s="693" t="s">
        <v>465</v>
      </c>
      <c r="F24" s="693"/>
      <c r="G24" s="675">
        <f>경비집계표!E15</f>
        <v>0</v>
      </c>
      <c r="H24" s="676"/>
      <c r="I24" s="675"/>
      <c r="J24" s="676"/>
      <c r="K24" s="761"/>
      <c r="L24" s="813"/>
    </row>
    <row r="25" spans="1:15" ht="18.95" hidden="1" customHeight="1">
      <c r="A25" s="904"/>
      <c r="B25" s="905"/>
      <c r="C25" s="912"/>
      <c r="D25" s="654"/>
      <c r="E25" s="693" t="s">
        <v>462</v>
      </c>
      <c r="F25" s="693"/>
      <c r="G25" s="675">
        <f>경비집계표!E16</f>
        <v>0</v>
      </c>
      <c r="H25" s="676"/>
      <c r="I25" s="675"/>
      <c r="J25" s="676"/>
      <c r="K25" s="761"/>
      <c r="L25" s="813"/>
    </row>
    <row r="26" spans="1:15" ht="18.95" hidden="1" customHeight="1">
      <c r="A26" s="904"/>
      <c r="B26" s="905"/>
      <c r="C26" s="913"/>
      <c r="D26" s="654"/>
      <c r="E26" s="763" t="s">
        <v>23</v>
      </c>
      <c r="F26" s="693"/>
      <c r="G26" s="675">
        <f>경비집계표!E17</f>
        <v>0</v>
      </c>
      <c r="H26" s="676"/>
      <c r="I26" s="675"/>
      <c r="J26" s="676"/>
      <c r="K26" s="761"/>
      <c r="L26" s="813"/>
    </row>
    <row r="27" spans="1:15" ht="18.95" hidden="1" customHeight="1">
      <c r="A27" s="904"/>
      <c r="B27" s="905"/>
      <c r="C27" s="908" t="s">
        <v>260</v>
      </c>
      <c r="D27" s="654"/>
      <c r="E27" s="693" t="s">
        <v>262</v>
      </c>
      <c r="F27" s="693"/>
      <c r="G27" s="675">
        <f>경비집계표!E18</f>
        <v>0</v>
      </c>
      <c r="H27" s="676"/>
      <c r="I27" s="675"/>
      <c r="J27" s="676"/>
      <c r="K27" s="761"/>
      <c r="L27" s="813"/>
    </row>
    <row r="28" spans="1:15" ht="18.95" hidden="1" customHeight="1">
      <c r="A28" s="904"/>
      <c r="B28" s="905"/>
      <c r="C28" s="910"/>
      <c r="D28" s="654"/>
      <c r="E28" s="693" t="s">
        <v>261</v>
      </c>
      <c r="F28" s="693"/>
      <c r="G28" s="675">
        <f>경비집계표!E19</f>
        <v>0</v>
      </c>
      <c r="H28" s="676"/>
      <c r="I28" s="675"/>
      <c r="J28" s="676"/>
      <c r="K28" s="761"/>
      <c r="L28" s="813"/>
    </row>
    <row r="29" spans="1:15" ht="18.95" hidden="1" customHeight="1">
      <c r="A29" s="906"/>
      <c r="B29" s="907"/>
      <c r="C29" s="914" t="s">
        <v>26</v>
      </c>
      <c r="D29" s="915"/>
      <c r="E29" s="915"/>
      <c r="F29" s="916"/>
      <c r="G29" s="675">
        <f>경비집계표!E20</f>
        <v>0</v>
      </c>
      <c r="H29" s="676"/>
      <c r="I29" s="765" t="e">
        <f>TRUNC(G29/$G$33*100,2)</f>
        <v>#DIV/0!</v>
      </c>
      <c r="J29" s="676"/>
      <c r="K29" s="761"/>
      <c r="L29" s="813" t="str">
        <f>경비집계표!$A$1&amp;"참조"</f>
        <v>&lt; 표 : 11 &gt; 참조</v>
      </c>
    </row>
    <row r="30" spans="1:15" ht="18.95" hidden="1" customHeight="1">
      <c r="A30" s="768"/>
      <c r="B30" s="884" t="s">
        <v>182</v>
      </c>
      <c r="C30" s="884"/>
      <c r="D30" s="884"/>
      <c r="E30" s="884"/>
      <c r="F30" s="769"/>
      <c r="G30" s="675">
        <f>SUM(G15,G29)</f>
        <v>0</v>
      </c>
      <c r="H30" s="676"/>
      <c r="I30" s="765" t="e">
        <f>TRUNC(G30/$G$33*100,2)</f>
        <v>#DIV/0!</v>
      </c>
      <c r="J30" s="676"/>
      <c r="K30" s="761"/>
      <c r="L30" s="813" t="s">
        <v>281</v>
      </c>
    </row>
    <row r="31" spans="1:15" ht="18.95" hidden="1" customHeight="1">
      <c r="A31" s="770"/>
      <c r="B31" s="883" t="s">
        <v>555</v>
      </c>
      <c r="C31" s="883"/>
      <c r="D31" s="883"/>
      <c r="E31" s="883"/>
      <c r="F31" s="771"/>
      <c r="G31" s="675">
        <f>TRUNC(G30*4%,0)</f>
        <v>0</v>
      </c>
      <c r="H31" s="676"/>
      <c r="I31" s="765" t="e">
        <f>TRUNC(G31/$G$33*100,2)</f>
        <v>#DIV/0!</v>
      </c>
      <c r="J31" s="676"/>
      <c r="K31" s="761"/>
      <c r="L31" s="820" t="s">
        <v>557</v>
      </c>
    </row>
    <row r="32" spans="1:15" ht="18.95" hidden="1" customHeight="1">
      <c r="A32" s="770"/>
      <c r="B32" s="883" t="s">
        <v>556</v>
      </c>
      <c r="C32" s="883"/>
      <c r="D32" s="883"/>
      <c r="E32" s="883"/>
      <c r="F32" s="771"/>
      <c r="G32" s="675">
        <f>TRUNC(SUM(G15,G29,G31)*6%,0)</f>
        <v>0</v>
      </c>
      <c r="H32" s="676"/>
      <c r="I32" s="765" t="e">
        <f>TRUNC(G32/$G$33*100,2)</f>
        <v>#DIV/0!</v>
      </c>
      <c r="J32" s="676"/>
      <c r="K32" s="761"/>
      <c r="L32" s="820" t="s">
        <v>558</v>
      </c>
      <c r="O32" s="772"/>
    </row>
    <row r="33" spans="1:15" ht="18.95" hidden="1" customHeight="1">
      <c r="A33" s="770"/>
      <c r="B33" s="901" t="s">
        <v>295</v>
      </c>
      <c r="C33" s="901"/>
      <c r="D33" s="901"/>
      <c r="E33" s="901"/>
      <c r="F33" s="771"/>
      <c r="G33" s="675">
        <f>SUM(G30:G32)</f>
        <v>0</v>
      </c>
      <c r="H33" s="676"/>
      <c r="I33" s="765" t="e">
        <f>TRUNC(G33/$G$33*100,2)</f>
        <v>#DIV/0!</v>
      </c>
      <c r="J33" s="676"/>
      <c r="K33" s="761"/>
      <c r="L33" s="813" t="s">
        <v>271</v>
      </c>
    </row>
    <row r="34" spans="1:15" ht="18.95" hidden="1" customHeight="1">
      <c r="A34" s="770"/>
      <c r="B34" s="901" t="s">
        <v>298</v>
      </c>
      <c r="C34" s="901"/>
      <c r="D34" s="901"/>
      <c r="E34" s="901"/>
      <c r="F34" s="771"/>
      <c r="G34" s="773">
        <f>TRUNC(G33*10%)</f>
        <v>0</v>
      </c>
      <c r="H34" s="774"/>
      <c r="I34" s="775"/>
      <c r="J34" s="774"/>
      <c r="K34" s="776"/>
      <c r="L34" s="814" t="s">
        <v>300</v>
      </c>
    </row>
    <row r="35" spans="1:15" ht="18.95" hidden="1" customHeight="1">
      <c r="A35" s="770"/>
      <c r="B35" s="901" t="s">
        <v>299</v>
      </c>
      <c r="C35" s="901"/>
      <c r="D35" s="901"/>
      <c r="E35" s="901"/>
      <c r="F35" s="771"/>
      <c r="G35" s="773">
        <f>SUM(G33:G34)</f>
        <v>0</v>
      </c>
      <c r="H35" s="774"/>
      <c r="I35" s="775"/>
      <c r="J35" s="774"/>
      <c r="K35" s="776"/>
      <c r="L35" s="814" t="s">
        <v>301</v>
      </c>
    </row>
    <row r="36" spans="1:15" ht="20.100000000000001" hidden="1" customHeight="1">
      <c r="A36" s="741"/>
      <c r="B36" s="741"/>
      <c r="C36" s="741"/>
      <c r="D36" s="741"/>
      <c r="E36" s="616"/>
      <c r="F36" s="616"/>
      <c r="G36" s="616"/>
      <c r="I36" s="690"/>
      <c r="L36" s="808"/>
      <c r="M36" s="690"/>
      <c r="N36" s="690"/>
      <c r="O36" s="690"/>
    </row>
    <row r="37" spans="1:15" s="619" customFormat="1" ht="39.950000000000003" hidden="1" customHeight="1">
      <c r="A37" s="617" t="s">
        <v>475</v>
      </c>
      <c r="B37" s="618"/>
      <c r="C37" s="743"/>
      <c r="D37" s="743"/>
      <c r="E37" s="742"/>
      <c r="F37" s="742"/>
      <c r="G37" s="747"/>
      <c r="H37" s="744"/>
      <c r="I37" s="748"/>
      <c r="J37" s="745"/>
      <c r="K37" s="748"/>
      <c r="L37" s="809"/>
    </row>
    <row r="38" spans="1:15" ht="20.100000000000001" hidden="1" customHeight="1">
      <c r="A38" s="749"/>
      <c r="B38" s="750"/>
      <c r="C38" s="749"/>
      <c r="D38" s="749"/>
      <c r="E38" s="750"/>
      <c r="F38" s="750"/>
      <c r="G38" s="751"/>
      <c r="H38" s="752"/>
      <c r="I38" s="753"/>
      <c r="J38" s="754"/>
      <c r="K38" s="753"/>
      <c r="L38" s="810"/>
      <c r="O38" s="619"/>
    </row>
    <row r="39" spans="1:15" ht="20.100000000000001" hidden="1" customHeight="1">
      <c r="A39" s="656" t="str">
        <f>"구 분 : "&amp;월기본급!B10&amp;"                       직종명 : "&amp;월기본급!F10&amp;""</f>
        <v xml:space="preserve">구 분 :                        직종명 : </v>
      </c>
      <c r="B39" s="612"/>
      <c r="C39" s="656"/>
      <c r="D39" s="656"/>
      <c r="G39" s="687"/>
      <c r="H39" s="687"/>
      <c r="I39" s="687"/>
      <c r="L39" s="811" t="s">
        <v>15</v>
      </c>
      <c r="O39" s="619"/>
    </row>
    <row r="40" spans="1:15" ht="20.100000000000001" hidden="1" customHeight="1">
      <c r="A40" s="755"/>
      <c r="B40" s="756"/>
      <c r="C40" s="756"/>
      <c r="D40" s="756"/>
      <c r="E40" s="757" t="s">
        <v>16</v>
      </c>
      <c r="F40" s="757"/>
      <c r="G40" s="917" t="s">
        <v>17</v>
      </c>
      <c r="H40" s="918"/>
      <c r="I40" s="917" t="s">
        <v>18</v>
      </c>
      <c r="J40" s="918"/>
      <c r="K40" s="777"/>
      <c r="L40" s="921" t="s">
        <v>19</v>
      </c>
      <c r="O40" s="619"/>
    </row>
    <row r="41" spans="1:15" ht="20.100000000000001" hidden="1" customHeight="1">
      <c r="A41" s="758" t="s">
        <v>20</v>
      </c>
      <c r="B41" s="759"/>
      <c r="C41" s="760"/>
      <c r="D41" s="760"/>
      <c r="E41" s="760"/>
      <c r="F41" s="760"/>
      <c r="G41" s="919"/>
      <c r="H41" s="920"/>
      <c r="I41" s="919"/>
      <c r="J41" s="920"/>
      <c r="K41" s="778"/>
      <c r="L41" s="922"/>
    </row>
    <row r="42" spans="1:15" ht="18.95" hidden="1" customHeight="1">
      <c r="A42" s="902" t="s">
        <v>204</v>
      </c>
      <c r="B42" s="903"/>
      <c r="C42" s="914" t="s">
        <v>21</v>
      </c>
      <c r="D42" s="915"/>
      <c r="E42" s="915"/>
      <c r="F42" s="916"/>
      <c r="G42" s="675">
        <f>단위당인건비!E25</f>
        <v>0</v>
      </c>
      <c r="H42" s="676"/>
      <c r="I42" s="675"/>
      <c r="J42" s="676"/>
      <c r="K42" s="761"/>
      <c r="L42" s="812"/>
    </row>
    <row r="43" spans="1:15" ht="18.95" hidden="1" customHeight="1">
      <c r="A43" s="904"/>
      <c r="B43" s="905"/>
      <c r="C43" s="908" t="s">
        <v>256</v>
      </c>
      <c r="D43" s="654"/>
      <c r="E43" s="693" t="s">
        <v>0</v>
      </c>
      <c r="F43" s="654"/>
      <c r="G43" s="675">
        <f>단위당인건비!E26</f>
        <v>0</v>
      </c>
      <c r="H43" s="676"/>
      <c r="I43" s="675"/>
      <c r="J43" s="676"/>
      <c r="K43" s="761"/>
      <c r="L43" s="812"/>
    </row>
    <row r="44" spans="1:15" ht="18.95" hidden="1" customHeight="1">
      <c r="A44" s="904"/>
      <c r="B44" s="905"/>
      <c r="C44" s="909"/>
      <c r="D44" s="654"/>
      <c r="E44" s="693" t="s">
        <v>209</v>
      </c>
      <c r="F44" s="762"/>
      <c r="G44" s="675">
        <f>단위당인건비!E27</f>
        <v>0</v>
      </c>
      <c r="H44" s="676"/>
      <c r="I44" s="675"/>
      <c r="J44" s="676"/>
      <c r="K44" s="761"/>
      <c r="L44" s="812"/>
    </row>
    <row r="45" spans="1:15" ht="18.95" hidden="1" customHeight="1">
      <c r="A45" s="904"/>
      <c r="B45" s="905"/>
      <c r="C45" s="909"/>
      <c r="D45" s="654"/>
      <c r="E45" s="693" t="s">
        <v>4</v>
      </c>
      <c r="F45" s="762"/>
      <c r="G45" s="675">
        <f>단위당인건비!E28</f>
        <v>0</v>
      </c>
      <c r="H45" s="676"/>
      <c r="I45" s="675"/>
      <c r="J45" s="676"/>
      <c r="K45" s="761"/>
      <c r="L45" s="812"/>
    </row>
    <row r="46" spans="1:15" ht="18.95" hidden="1" customHeight="1">
      <c r="A46" s="904"/>
      <c r="B46" s="905"/>
      <c r="C46" s="909"/>
      <c r="D46" s="654"/>
      <c r="E46" s="693" t="s">
        <v>257</v>
      </c>
      <c r="F46" s="762"/>
      <c r="G46" s="675">
        <f>단위당인건비!E29</f>
        <v>0</v>
      </c>
      <c r="H46" s="676"/>
      <c r="I46" s="675"/>
      <c r="J46" s="676"/>
      <c r="K46" s="761"/>
      <c r="L46" s="812"/>
    </row>
    <row r="47" spans="1:15" ht="18.95" hidden="1" customHeight="1">
      <c r="A47" s="904"/>
      <c r="B47" s="905"/>
      <c r="C47" s="910"/>
      <c r="D47" s="654"/>
      <c r="E47" s="763" t="s">
        <v>23</v>
      </c>
      <c r="F47" s="763"/>
      <c r="G47" s="675">
        <f>단위당인건비!E30</f>
        <v>0</v>
      </c>
      <c r="H47" s="676"/>
      <c r="I47" s="764"/>
      <c r="J47" s="676"/>
      <c r="K47" s="761"/>
      <c r="L47" s="813"/>
    </row>
    <row r="48" spans="1:15" ht="18.95" hidden="1" customHeight="1">
      <c r="A48" s="904"/>
      <c r="B48" s="905"/>
      <c r="C48" s="914" t="s">
        <v>24</v>
      </c>
      <c r="D48" s="915"/>
      <c r="E48" s="915"/>
      <c r="F48" s="916"/>
      <c r="G48" s="675">
        <f>단위당인건비!E31</f>
        <v>0</v>
      </c>
      <c r="H48" s="676"/>
      <c r="I48" s="764"/>
      <c r="J48" s="676"/>
      <c r="K48" s="761"/>
      <c r="L48" s="818"/>
    </row>
    <row r="49" spans="1:14" ht="18.95" hidden="1" customHeight="1">
      <c r="A49" s="904"/>
      <c r="B49" s="905"/>
      <c r="C49" s="914" t="s">
        <v>25</v>
      </c>
      <c r="D49" s="915"/>
      <c r="E49" s="915"/>
      <c r="F49" s="916"/>
      <c r="G49" s="675">
        <f>단위당인건비!E32</f>
        <v>0</v>
      </c>
      <c r="H49" s="676"/>
      <c r="I49" s="764"/>
      <c r="J49" s="676"/>
      <c r="K49" s="761"/>
      <c r="L49" s="818"/>
    </row>
    <row r="50" spans="1:14" ht="18.95" hidden="1" customHeight="1">
      <c r="A50" s="906"/>
      <c r="B50" s="907"/>
      <c r="C50" s="914" t="s">
        <v>26</v>
      </c>
      <c r="D50" s="915"/>
      <c r="E50" s="915"/>
      <c r="F50" s="916"/>
      <c r="G50" s="675">
        <f>단위당인건비!E33</f>
        <v>0</v>
      </c>
      <c r="H50" s="676"/>
      <c r="I50" s="765" t="e">
        <f>TRUNC(G50/$G$68*100,2)</f>
        <v>#DIV/0!</v>
      </c>
      <c r="J50" s="676"/>
      <c r="K50" s="761"/>
      <c r="L50" s="813" t="str">
        <f>단위당인건비!$A$1&amp;"참조"</f>
        <v>&lt; 표 : 4 &gt; 참조</v>
      </c>
    </row>
    <row r="51" spans="1:14" ht="18.95" hidden="1" customHeight="1">
      <c r="A51" s="902" t="s">
        <v>212</v>
      </c>
      <c r="B51" s="903"/>
      <c r="C51" s="908" t="s">
        <v>3</v>
      </c>
      <c r="D51" s="654"/>
      <c r="E51" s="693" t="s">
        <v>27</v>
      </c>
      <c r="F51" s="693"/>
      <c r="G51" s="675">
        <f>경비집계표!F7</f>
        <v>0</v>
      </c>
      <c r="H51" s="676"/>
      <c r="I51" s="675"/>
      <c r="J51" s="676"/>
      <c r="K51" s="761"/>
      <c r="L51" s="813"/>
      <c r="M51" s="766"/>
      <c r="N51" s="766"/>
    </row>
    <row r="52" spans="1:14" ht="18.95" hidden="1" customHeight="1">
      <c r="A52" s="904"/>
      <c r="B52" s="905"/>
      <c r="C52" s="909"/>
      <c r="D52" s="654"/>
      <c r="E52" s="693" t="s">
        <v>28</v>
      </c>
      <c r="F52" s="693"/>
      <c r="G52" s="675">
        <f>경비집계표!F8</f>
        <v>0</v>
      </c>
      <c r="H52" s="676"/>
      <c r="I52" s="675"/>
      <c r="J52" s="676"/>
      <c r="K52" s="761"/>
      <c r="L52" s="813"/>
      <c r="M52" s="766"/>
      <c r="N52" s="766"/>
    </row>
    <row r="53" spans="1:14" ht="18.95" hidden="1" customHeight="1">
      <c r="A53" s="904"/>
      <c r="B53" s="905"/>
      <c r="C53" s="909"/>
      <c r="D53" s="654"/>
      <c r="E53" s="693" t="s">
        <v>29</v>
      </c>
      <c r="F53" s="693"/>
      <c r="G53" s="675">
        <f>경비집계표!F9</f>
        <v>0</v>
      </c>
      <c r="H53" s="676"/>
      <c r="I53" s="675"/>
      <c r="J53" s="676"/>
      <c r="K53" s="761"/>
      <c r="L53" s="813"/>
      <c r="M53" s="766"/>
      <c r="N53" s="766"/>
    </row>
    <row r="54" spans="1:14" ht="18.95" hidden="1" customHeight="1">
      <c r="A54" s="904"/>
      <c r="B54" s="905"/>
      <c r="C54" s="909"/>
      <c r="D54" s="654"/>
      <c r="E54" s="693" t="s">
        <v>30</v>
      </c>
      <c r="F54" s="693"/>
      <c r="G54" s="675">
        <f>경비집계표!F10</f>
        <v>0</v>
      </c>
      <c r="H54" s="676"/>
      <c r="I54" s="675"/>
      <c r="J54" s="676"/>
      <c r="K54" s="761"/>
      <c r="L54" s="813"/>
      <c r="M54" s="766"/>
      <c r="N54" s="766"/>
    </row>
    <row r="55" spans="1:14" ht="18.95" hidden="1" customHeight="1">
      <c r="A55" s="904"/>
      <c r="B55" s="905"/>
      <c r="C55" s="909"/>
      <c r="D55" s="654"/>
      <c r="E55" s="721" t="s">
        <v>255</v>
      </c>
      <c r="F55" s="693"/>
      <c r="G55" s="675">
        <f>경비집계표!F11</f>
        <v>0</v>
      </c>
      <c r="H55" s="676"/>
      <c r="I55" s="675"/>
      <c r="J55" s="676"/>
      <c r="K55" s="761"/>
      <c r="L55" s="813"/>
      <c r="M55" s="766"/>
      <c r="N55" s="766"/>
    </row>
    <row r="56" spans="1:14" ht="18.95" hidden="1" customHeight="1">
      <c r="A56" s="904"/>
      <c r="B56" s="905"/>
      <c r="C56" s="909"/>
      <c r="D56" s="654"/>
      <c r="E56" s="693" t="s">
        <v>31</v>
      </c>
      <c r="F56" s="693"/>
      <c r="G56" s="675">
        <f>경비집계표!F12</f>
        <v>0</v>
      </c>
      <c r="H56" s="676"/>
      <c r="I56" s="675"/>
      <c r="J56" s="676"/>
      <c r="K56" s="761"/>
      <c r="L56" s="813"/>
      <c r="M56" s="766"/>
      <c r="N56" s="766"/>
    </row>
    <row r="57" spans="1:14" ht="18.95" hidden="1" customHeight="1">
      <c r="A57" s="904"/>
      <c r="B57" s="905"/>
      <c r="C57" s="910"/>
      <c r="D57" s="654"/>
      <c r="E57" s="763" t="s">
        <v>23</v>
      </c>
      <c r="F57" s="693"/>
      <c r="G57" s="675">
        <f>경비집계표!F13</f>
        <v>0</v>
      </c>
      <c r="H57" s="676"/>
      <c r="I57" s="675"/>
      <c r="J57" s="676"/>
      <c r="K57" s="761"/>
      <c r="L57" s="813"/>
      <c r="M57" s="767"/>
      <c r="N57" s="766"/>
    </row>
    <row r="58" spans="1:14" ht="18.95" hidden="1" customHeight="1">
      <c r="A58" s="904"/>
      <c r="B58" s="905"/>
      <c r="C58" s="911" t="s">
        <v>304</v>
      </c>
      <c r="D58" s="654"/>
      <c r="E58" s="693" t="s">
        <v>32</v>
      </c>
      <c r="F58" s="693"/>
      <c r="G58" s="675">
        <f>경비집계표!F14</f>
        <v>0</v>
      </c>
      <c r="H58" s="676"/>
      <c r="I58" s="675"/>
      <c r="J58" s="676"/>
      <c r="K58" s="761"/>
      <c r="L58" s="813"/>
    </row>
    <row r="59" spans="1:14" ht="18.95" hidden="1" customHeight="1">
      <c r="A59" s="904"/>
      <c r="B59" s="905"/>
      <c r="C59" s="912"/>
      <c r="D59" s="654"/>
      <c r="E59" s="693" t="s">
        <v>465</v>
      </c>
      <c r="F59" s="693"/>
      <c r="G59" s="675">
        <f>경비집계표!F15</f>
        <v>0</v>
      </c>
      <c r="H59" s="676"/>
      <c r="I59" s="675"/>
      <c r="J59" s="676"/>
      <c r="K59" s="761"/>
      <c r="L59" s="813"/>
    </row>
    <row r="60" spans="1:14" ht="18.95" hidden="1" customHeight="1">
      <c r="A60" s="904"/>
      <c r="B60" s="905"/>
      <c r="C60" s="912"/>
      <c r="D60" s="654"/>
      <c r="E60" s="693" t="s">
        <v>462</v>
      </c>
      <c r="F60" s="693"/>
      <c r="G60" s="675">
        <f>경비집계표!F16</f>
        <v>0</v>
      </c>
      <c r="H60" s="676"/>
      <c r="I60" s="675"/>
      <c r="J60" s="676"/>
      <c r="K60" s="761"/>
      <c r="L60" s="813"/>
    </row>
    <row r="61" spans="1:14" ht="18.95" hidden="1" customHeight="1">
      <c r="A61" s="904"/>
      <c r="B61" s="905"/>
      <c r="C61" s="913"/>
      <c r="D61" s="654"/>
      <c r="E61" s="763" t="s">
        <v>23</v>
      </c>
      <c r="F61" s="693"/>
      <c r="G61" s="675">
        <f>경비집계표!F17</f>
        <v>0</v>
      </c>
      <c r="H61" s="676"/>
      <c r="I61" s="675"/>
      <c r="J61" s="676"/>
      <c r="K61" s="761"/>
      <c r="L61" s="813"/>
    </row>
    <row r="62" spans="1:14" ht="18.95" hidden="1" customHeight="1">
      <c r="A62" s="904"/>
      <c r="B62" s="905"/>
      <c r="C62" s="908" t="s">
        <v>260</v>
      </c>
      <c r="D62" s="654"/>
      <c r="E62" s="693" t="s">
        <v>262</v>
      </c>
      <c r="F62" s="693"/>
      <c r="G62" s="675">
        <f>경비집계표!F18</f>
        <v>0</v>
      </c>
      <c r="H62" s="676"/>
      <c r="I62" s="675"/>
      <c r="J62" s="676"/>
      <c r="K62" s="761"/>
      <c r="L62" s="813"/>
    </row>
    <row r="63" spans="1:14" ht="18.95" hidden="1" customHeight="1">
      <c r="A63" s="904"/>
      <c r="B63" s="905"/>
      <c r="C63" s="910"/>
      <c r="D63" s="654"/>
      <c r="E63" s="693" t="s">
        <v>261</v>
      </c>
      <c r="F63" s="693"/>
      <c r="G63" s="675">
        <f>경비집계표!F19</f>
        <v>0</v>
      </c>
      <c r="H63" s="676"/>
      <c r="I63" s="675"/>
      <c r="J63" s="676"/>
      <c r="K63" s="761"/>
      <c r="L63" s="813"/>
    </row>
    <row r="64" spans="1:14" ht="18.95" hidden="1" customHeight="1">
      <c r="A64" s="906"/>
      <c r="B64" s="907"/>
      <c r="C64" s="914" t="s">
        <v>26</v>
      </c>
      <c r="D64" s="915"/>
      <c r="E64" s="915"/>
      <c r="F64" s="916"/>
      <c r="G64" s="675">
        <f>경비집계표!F20</f>
        <v>0</v>
      </c>
      <c r="H64" s="676"/>
      <c r="I64" s="765" t="e">
        <f>ROUNDUP(G64/$G$68*100,1)</f>
        <v>#DIV/0!</v>
      </c>
      <c r="J64" s="676"/>
      <c r="K64" s="761"/>
      <c r="L64" s="813" t="str">
        <f>경비집계표!$A$1&amp;"참조"</f>
        <v>&lt; 표 : 11 &gt; 참조</v>
      </c>
    </row>
    <row r="65" spans="1:15" ht="18.95" hidden="1" customHeight="1">
      <c r="A65" s="768"/>
      <c r="B65" s="884" t="s">
        <v>182</v>
      </c>
      <c r="C65" s="884"/>
      <c r="D65" s="884"/>
      <c r="E65" s="884"/>
      <c r="F65" s="769"/>
      <c r="G65" s="675">
        <f>SUM(G50,G64)</f>
        <v>0</v>
      </c>
      <c r="H65" s="676"/>
      <c r="I65" s="765" t="e">
        <f>TRUNC(G65/$G$68*100,2)</f>
        <v>#DIV/0!</v>
      </c>
      <c r="J65" s="676"/>
      <c r="K65" s="761"/>
      <c r="L65" s="813" t="s">
        <v>281</v>
      </c>
    </row>
    <row r="66" spans="1:15" ht="18.95" hidden="1" customHeight="1">
      <c r="A66" s="770"/>
      <c r="B66" s="883" t="s">
        <v>555</v>
      </c>
      <c r="C66" s="883"/>
      <c r="D66" s="883"/>
      <c r="E66" s="883"/>
      <c r="F66" s="771"/>
      <c r="G66" s="675">
        <f>TRUNC(G65*4%,0)</f>
        <v>0</v>
      </c>
      <c r="H66" s="676"/>
      <c r="I66" s="765" t="e">
        <f>TRUNC(G66/$G$68*100,2)</f>
        <v>#DIV/0!</v>
      </c>
      <c r="J66" s="676"/>
      <c r="K66" s="761"/>
      <c r="L66" s="820" t="s">
        <v>557</v>
      </c>
    </row>
    <row r="67" spans="1:15" ht="18.95" hidden="1" customHeight="1">
      <c r="A67" s="770"/>
      <c r="B67" s="883" t="s">
        <v>556</v>
      </c>
      <c r="C67" s="883"/>
      <c r="D67" s="883"/>
      <c r="E67" s="883"/>
      <c r="F67" s="771"/>
      <c r="G67" s="675">
        <f>TRUNC(SUM(G50,G64,G66)*6%,0)</f>
        <v>0</v>
      </c>
      <c r="H67" s="676"/>
      <c r="I67" s="765" t="e">
        <f>TRUNC(G67/$G$68*100,2)</f>
        <v>#DIV/0!</v>
      </c>
      <c r="J67" s="676"/>
      <c r="K67" s="761"/>
      <c r="L67" s="820" t="s">
        <v>558</v>
      </c>
      <c r="O67" s="772"/>
    </row>
    <row r="68" spans="1:15" ht="18.95" hidden="1" customHeight="1">
      <c r="A68" s="770"/>
      <c r="B68" s="884" t="s">
        <v>294</v>
      </c>
      <c r="C68" s="884"/>
      <c r="D68" s="884"/>
      <c r="E68" s="884"/>
      <c r="F68" s="771"/>
      <c r="G68" s="675">
        <f>SUM(G65:G67)</f>
        <v>0</v>
      </c>
      <c r="H68" s="676"/>
      <c r="I68" s="765" t="e">
        <f>TRUNC(G68/$G$68*100,2)</f>
        <v>#DIV/0!</v>
      </c>
      <c r="J68" s="676"/>
      <c r="K68" s="761"/>
      <c r="L68" s="813" t="s">
        <v>271</v>
      </c>
    </row>
    <row r="69" spans="1:15" ht="18.95" hidden="1" customHeight="1">
      <c r="A69" s="770"/>
      <c r="B69" s="901" t="s">
        <v>298</v>
      </c>
      <c r="C69" s="901"/>
      <c r="D69" s="901"/>
      <c r="E69" s="901"/>
      <c r="F69" s="771"/>
      <c r="G69" s="773">
        <f>TRUNC(G68*10%)</f>
        <v>0</v>
      </c>
      <c r="H69" s="774"/>
      <c r="I69" s="775"/>
      <c r="J69" s="774"/>
      <c r="K69" s="776"/>
      <c r="L69" s="814" t="s">
        <v>300</v>
      </c>
    </row>
    <row r="70" spans="1:15" ht="18.95" hidden="1" customHeight="1">
      <c r="A70" s="770"/>
      <c r="B70" s="901" t="s">
        <v>299</v>
      </c>
      <c r="C70" s="901"/>
      <c r="D70" s="901"/>
      <c r="E70" s="901"/>
      <c r="F70" s="771"/>
      <c r="G70" s="773">
        <f>SUM(G68:G69)</f>
        <v>0</v>
      </c>
      <c r="H70" s="774"/>
      <c r="I70" s="775"/>
      <c r="J70" s="774"/>
      <c r="K70" s="776"/>
      <c r="L70" s="814" t="s">
        <v>301</v>
      </c>
    </row>
    <row r="71" spans="1:15" ht="20.100000000000001" hidden="1" customHeight="1">
      <c r="A71" s="741"/>
      <c r="B71" s="741"/>
      <c r="C71" s="741"/>
      <c r="D71" s="741"/>
      <c r="E71" s="616"/>
      <c r="F71" s="616"/>
      <c r="G71" s="616"/>
      <c r="I71" s="690"/>
      <c r="L71" s="808"/>
      <c r="M71" s="690"/>
      <c r="N71" s="690"/>
      <c r="O71" s="690"/>
    </row>
    <row r="72" spans="1:15" s="619" customFormat="1" ht="39.950000000000003" hidden="1" customHeight="1">
      <c r="A72" s="617" t="s">
        <v>475</v>
      </c>
      <c r="B72" s="618"/>
      <c r="C72" s="743"/>
      <c r="D72" s="743"/>
      <c r="E72" s="742"/>
      <c r="F72" s="742"/>
      <c r="G72" s="747"/>
      <c r="H72" s="744"/>
      <c r="I72" s="748"/>
      <c r="J72" s="745"/>
      <c r="K72" s="748"/>
      <c r="L72" s="809"/>
    </row>
    <row r="73" spans="1:15" ht="20.100000000000001" hidden="1" customHeight="1">
      <c r="A73" s="749"/>
      <c r="B73" s="750"/>
      <c r="C73" s="749"/>
      <c r="D73" s="749"/>
      <c r="E73" s="750"/>
      <c r="F73" s="750"/>
      <c r="G73" s="751"/>
      <c r="H73" s="752"/>
      <c r="I73" s="753"/>
      <c r="J73" s="754"/>
      <c r="K73" s="753"/>
      <c r="L73" s="810"/>
      <c r="O73" s="619"/>
    </row>
    <row r="74" spans="1:15" ht="20.100000000000001" hidden="1" customHeight="1">
      <c r="A74" s="656" t="str">
        <f>"구 분 : "&amp;월기본급!B11&amp;"                       직종명 : "&amp;월기본급!F11&amp;""</f>
        <v xml:space="preserve">구 분 :                        직종명 : </v>
      </c>
      <c r="B74" s="612"/>
      <c r="C74" s="656"/>
      <c r="D74" s="656"/>
      <c r="G74" s="687"/>
      <c r="H74" s="687"/>
      <c r="I74" s="687"/>
      <c r="L74" s="811" t="s">
        <v>15</v>
      </c>
      <c r="O74" s="619"/>
    </row>
    <row r="75" spans="1:15" ht="20.100000000000001" hidden="1" customHeight="1">
      <c r="A75" s="755"/>
      <c r="B75" s="756"/>
      <c r="C75" s="756"/>
      <c r="D75" s="756"/>
      <c r="E75" s="757" t="s">
        <v>16</v>
      </c>
      <c r="F75" s="757"/>
      <c r="G75" s="917" t="s">
        <v>17</v>
      </c>
      <c r="H75" s="918"/>
      <c r="I75" s="917" t="s">
        <v>18</v>
      </c>
      <c r="J75" s="918"/>
      <c r="K75" s="777"/>
      <c r="L75" s="921" t="s">
        <v>19</v>
      </c>
      <c r="O75" s="619"/>
    </row>
    <row r="76" spans="1:15" ht="20.100000000000001" hidden="1" customHeight="1">
      <c r="A76" s="758" t="s">
        <v>20</v>
      </c>
      <c r="B76" s="759"/>
      <c r="C76" s="760"/>
      <c r="D76" s="760"/>
      <c r="E76" s="760"/>
      <c r="F76" s="760"/>
      <c r="G76" s="919"/>
      <c r="H76" s="920"/>
      <c r="I76" s="919"/>
      <c r="J76" s="920"/>
      <c r="K76" s="778"/>
      <c r="L76" s="922"/>
    </row>
    <row r="77" spans="1:15" ht="18.95" hidden="1" customHeight="1">
      <c r="A77" s="902" t="s">
        <v>204</v>
      </c>
      <c r="B77" s="903"/>
      <c r="C77" s="914" t="s">
        <v>21</v>
      </c>
      <c r="D77" s="915"/>
      <c r="E77" s="915"/>
      <c r="F77" s="916"/>
      <c r="G77" s="675">
        <f>단위당인건비!E44</f>
        <v>0</v>
      </c>
      <c r="H77" s="676"/>
      <c r="I77" s="675"/>
      <c r="J77" s="676"/>
      <c r="K77" s="761"/>
      <c r="L77" s="812"/>
    </row>
    <row r="78" spans="1:15" ht="18.95" hidden="1" customHeight="1">
      <c r="A78" s="904"/>
      <c r="B78" s="905"/>
      <c r="C78" s="908" t="s">
        <v>256</v>
      </c>
      <c r="D78" s="654"/>
      <c r="E78" s="693" t="s">
        <v>0</v>
      </c>
      <c r="F78" s="654"/>
      <c r="G78" s="675">
        <f>단위당인건비!E45</f>
        <v>0</v>
      </c>
      <c r="H78" s="676"/>
      <c r="I78" s="675"/>
      <c r="J78" s="676"/>
      <c r="K78" s="761"/>
      <c r="L78" s="812"/>
    </row>
    <row r="79" spans="1:15" ht="18.95" hidden="1" customHeight="1">
      <c r="A79" s="904"/>
      <c r="B79" s="905"/>
      <c r="C79" s="909"/>
      <c r="D79" s="654"/>
      <c r="E79" s="693" t="s">
        <v>209</v>
      </c>
      <c r="F79" s="762"/>
      <c r="G79" s="675">
        <f>단위당인건비!E46</f>
        <v>0</v>
      </c>
      <c r="H79" s="676"/>
      <c r="I79" s="675"/>
      <c r="J79" s="676"/>
      <c r="K79" s="761"/>
      <c r="L79" s="812"/>
    </row>
    <row r="80" spans="1:15" ht="18.95" hidden="1" customHeight="1">
      <c r="A80" s="904"/>
      <c r="B80" s="905"/>
      <c r="C80" s="909"/>
      <c r="D80" s="654"/>
      <c r="E80" s="693" t="s">
        <v>4</v>
      </c>
      <c r="F80" s="762"/>
      <c r="G80" s="675">
        <f>단위당인건비!E47</f>
        <v>0</v>
      </c>
      <c r="H80" s="676"/>
      <c r="I80" s="675"/>
      <c r="J80" s="676"/>
      <c r="K80" s="761"/>
      <c r="L80" s="812"/>
    </row>
    <row r="81" spans="1:14" ht="18.95" hidden="1" customHeight="1">
      <c r="A81" s="904"/>
      <c r="B81" s="905"/>
      <c r="C81" s="909"/>
      <c r="D81" s="654"/>
      <c r="E81" s="693" t="s">
        <v>257</v>
      </c>
      <c r="F81" s="762"/>
      <c r="G81" s="675">
        <f>단위당인건비!E48</f>
        <v>0</v>
      </c>
      <c r="H81" s="676"/>
      <c r="I81" s="675"/>
      <c r="J81" s="676"/>
      <c r="K81" s="761"/>
      <c r="L81" s="812"/>
    </row>
    <row r="82" spans="1:14" ht="18.95" hidden="1" customHeight="1">
      <c r="A82" s="904"/>
      <c r="B82" s="905"/>
      <c r="C82" s="910"/>
      <c r="D82" s="654"/>
      <c r="E82" s="763" t="s">
        <v>23</v>
      </c>
      <c r="F82" s="763"/>
      <c r="G82" s="675">
        <f>단위당인건비!E49</f>
        <v>0</v>
      </c>
      <c r="H82" s="676"/>
      <c r="I82" s="764"/>
      <c r="J82" s="676"/>
      <c r="K82" s="761"/>
      <c r="L82" s="813"/>
    </row>
    <row r="83" spans="1:14" ht="18.95" hidden="1" customHeight="1">
      <c r="A83" s="904"/>
      <c r="B83" s="905"/>
      <c r="C83" s="914" t="s">
        <v>24</v>
      </c>
      <c r="D83" s="915"/>
      <c r="E83" s="915"/>
      <c r="F83" s="916"/>
      <c r="G83" s="675">
        <f>단위당인건비!E50</f>
        <v>0</v>
      </c>
      <c r="H83" s="676"/>
      <c r="I83" s="764"/>
      <c r="J83" s="676"/>
      <c r="K83" s="761"/>
      <c r="L83" s="818"/>
    </row>
    <row r="84" spans="1:14" ht="18.95" hidden="1" customHeight="1">
      <c r="A84" s="904"/>
      <c r="B84" s="905"/>
      <c r="C84" s="914" t="s">
        <v>25</v>
      </c>
      <c r="D84" s="915"/>
      <c r="E84" s="915"/>
      <c r="F84" s="916"/>
      <c r="G84" s="675">
        <f>단위당인건비!E51</f>
        <v>0</v>
      </c>
      <c r="H84" s="676"/>
      <c r="I84" s="764"/>
      <c r="J84" s="676"/>
      <c r="K84" s="761"/>
      <c r="L84" s="818"/>
    </row>
    <row r="85" spans="1:14" ht="18.95" hidden="1" customHeight="1">
      <c r="A85" s="906"/>
      <c r="B85" s="907"/>
      <c r="C85" s="914" t="s">
        <v>26</v>
      </c>
      <c r="D85" s="915"/>
      <c r="E85" s="915"/>
      <c r="F85" s="916"/>
      <c r="G85" s="675">
        <f>단위당인건비!E52</f>
        <v>0</v>
      </c>
      <c r="H85" s="676"/>
      <c r="I85" s="765" t="e">
        <f>TRUNC(G85/$G$103*100,2)</f>
        <v>#DIV/0!</v>
      </c>
      <c r="J85" s="676"/>
      <c r="K85" s="761"/>
      <c r="L85" s="813" t="str">
        <f>단위당인건비!$A$1&amp;"참조"</f>
        <v>&lt; 표 : 4 &gt; 참조</v>
      </c>
    </row>
    <row r="86" spans="1:14" ht="18.95" hidden="1" customHeight="1">
      <c r="A86" s="902" t="s">
        <v>212</v>
      </c>
      <c r="B86" s="903"/>
      <c r="C86" s="908" t="s">
        <v>3</v>
      </c>
      <c r="D86" s="654"/>
      <c r="E86" s="693" t="s">
        <v>27</v>
      </c>
      <c r="F86" s="693"/>
      <c r="G86" s="675">
        <f>경비집계표!G7</f>
        <v>0</v>
      </c>
      <c r="H86" s="676"/>
      <c r="I86" s="675"/>
      <c r="J86" s="676"/>
      <c r="K86" s="761"/>
      <c r="L86" s="813"/>
      <c r="M86" s="766"/>
      <c r="N86" s="766"/>
    </row>
    <row r="87" spans="1:14" ht="18.95" hidden="1" customHeight="1">
      <c r="A87" s="904"/>
      <c r="B87" s="905"/>
      <c r="C87" s="909"/>
      <c r="D87" s="654"/>
      <c r="E87" s="693" t="s">
        <v>28</v>
      </c>
      <c r="F87" s="693"/>
      <c r="G87" s="675">
        <f>경비집계표!G8</f>
        <v>0</v>
      </c>
      <c r="H87" s="676"/>
      <c r="I87" s="675"/>
      <c r="J87" s="676"/>
      <c r="K87" s="761"/>
      <c r="L87" s="813"/>
      <c r="M87" s="766"/>
      <c r="N87" s="766"/>
    </row>
    <row r="88" spans="1:14" ht="18.95" hidden="1" customHeight="1">
      <c r="A88" s="904"/>
      <c r="B88" s="905"/>
      <c r="C88" s="909"/>
      <c r="D88" s="654"/>
      <c r="E88" s="693" t="s">
        <v>29</v>
      </c>
      <c r="F88" s="693"/>
      <c r="G88" s="675">
        <f>경비집계표!G9</f>
        <v>0</v>
      </c>
      <c r="H88" s="676"/>
      <c r="I88" s="675"/>
      <c r="J88" s="676"/>
      <c r="K88" s="761"/>
      <c r="L88" s="813"/>
      <c r="M88" s="766"/>
      <c r="N88" s="766"/>
    </row>
    <row r="89" spans="1:14" ht="18.95" hidden="1" customHeight="1">
      <c r="A89" s="904"/>
      <c r="B89" s="905"/>
      <c r="C89" s="909"/>
      <c r="D89" s="654"/>
      <c r="E89" s="693" t="s">
        <v>30</v>
      </c>
      <c r="F89" s="693"/>
      <c r="G89" s="675">
        <f>경비집계표!G10</f>
        <v>0</v>
      </c>
      <c r="H89" s="676"/>
      <c r="I89" s="675"/>
      <c r="J89" s="676"/>
      <c r="K89" s="761"/>
      <c r="L89" s="813"/>
      <c r="M89" s="766"/>
      <c r="N89" s="766"/>
    </row>
    <row r="90" spans="1:14" ht="18.95" hidden="1" customHeight="1">
      <c r="A90" s="904"/>
      <c r="B90" s="905"/>
      <c r="C90" s="909"/>
      <c r="D90" s="654"/>
      <c r="E90" s="721" t="s">
        <v>255</v>
      </c>
      <c r="F90" s="693"/>
      <c r="G90" s="675">
        <f>경비집계표!G11</f>
        <v>0</v>
      </c>
      <c r="H90" s="676"/>
      <c r="I90" s="675"/>
      <c r="J90" s="676"/>
      <c r="K90" s="761"/>
      <c r="L90" s="813"/>
      <c r="M90" s="766"/>
      <c r="N90" s="766"/>
    </row>
    <row r="91" spans="1:14" ht="18.95" hidden="1" customHeight="1">
      <c r="A91" s="904"/>
      <c r="B91" s="905"/>
      <c r="C91" s="909"/>
      <c r="D91" s="654"/>
      <c r="E91" s="693" t="s">
        <v>31</v>
      </c>
      <c r="F91" s="693"/>
      <c r="G91" s="675">
        <f>경비집계표!G12</f>
        <v>0</v>
      </c>
      <c r="H91" s="676"/>
      <c r="I91" s="675"/>
      <c r="J91" s="676"/>
      <c r="K91" s="761"/>
      <c r="L91" s="813"/>
      <c r="M91" s="766"/>
      <c r="N91" s="766"/>
    </row>
    <row r="92" spans="1:14" ht="18.95" hidden="1" customHeight="1">
      <c r="A92" s="904"/>
      <c r="B92" s="905"/>
      <c r="C92" s="910"/>
      <c r="D92" s="654"/>
      <c r="E92" s="763" t="s">
        <v>23</v>
      </c>
      <c r="F92" s="693"/>
      <c r="G92" s="675">
        <f>경비집계표!G13</f>
        <v>0</v>
      </c>
      <c r="H92" s="676"/>
      <c r="I92" s="675"/>
      <c r="J92" s="676"/>
      <c r="K92" s="761"/>
      <c r="L92" s="813"/>
      <c r="M92" s="767"/>
      <c r="N92" s="766"/>
    </row>
    <row r="93" spans="1:14" ht="18.95" hidden="1" customHeight="1">
      <c r="A93" s="904"/>
      <c r="B93" s="905"/>
      <c r="C93" s="911" t="s">
        <v>304</v>
      </c>
      <c r="D93" s="654"/>
      <c r="E93" s="693" t="s">
        <v>32</v>
      </c>
      <c r="F93" s="693"/>
      <c r="G93" s="675">
        <f>경비집계표!G14</f>
        <v>0</v>
      </c>
      <c r="H93" s="676"/>
      <c r="I93" s="675"/>
      <c r="J93" s="676"/>
      <c r="K93" s="761"/>
      <c r="L93" s="813"/>
      <c r="M93" s="767"/>
      <c r="N93" s="767"/>
    </row>
    <row r="94" spans="1:14" ht="18.95" hidden="1" customHeight="1">
      <c r="A94" s="904"/>
      <c r="B94" s="905"/>
      <c r="C94" s="912"/>
      <c r="D94" s="654"/>
      <c r="E94" s="693" t="s">
        <v>465</v>
      </c>
      <c r="F94" s="693"/>
      <c r="G94" s="675">
        <f>경비집계표!G15</f>
        <v>0</v>
      </c>
      <c r="H94" s="676"/>
      <c r="I94" s="675"/>
      <c r="J94" s="676"/>
      <c r="K94" s="761"/>
      <c r="L94" s="813"/>
      <c r="M94" s="767"/>
      <c r="N94" s="767"/>
    </row>
    <row r="95" spans="1:14" ht="18.95" hidden="1" customHeight="1">
      <c r="A95" s="904"/>
      <c r="B95" s="905"/>
      <c r="C95" s="912"/>
      <c r="D95" s="654"/>
      <c r="E95" s="693" t="s">
        <v>462</v>
      </c>
      <c r="F95" s="693"/>
      <c r="G95" s="675">
        <f>경비집계표!G16</f>
        <v>0</v>
      </c>
      <c r="H95" s="676"/>
      <c r="I95" s="675"/>
      <c r="J95" s="676"/>
      <c r="K95" s="761"/>
      <c r="L95" s="813"/>
      <c r="M95" s="767"/>
      <c r="N95" s="767"/>
    </row>
    <row r="96" spans="1:14" ht="18.95" hidden="1" customHeight="1">
      <c r="A96" s="904"/>
      <c r="B96" s="905"/>
      <c r="C96" s="913"/>
      <c r="D96" s="654"/>
      <c r="E96" s="763" t="s">
        <v>23</v>
      </c>
      <c r="F96" s="693"/>
      <c r="G96" s="675">
        <f>경비집계표!G17</f>
        <v>0</v>
      </c>
      <c r="H96" s="676"/>
      <c r="I96" s="675"/>
      <c r="J96" s="676"/>
      <c r="K96" s="761"/>
      <c r="L96" s="813"/>
    </row>
    <row r="97" spans="1:15" ht="18.95" hidden="1" customHeight="1">
      <c r="A97" s="904"/>
      <c r="B97" s="905"/>
      <c r="C97" s="908" t="s">
        <v>260</v>
      </c>
      <c r="D97" s="654"/>
      <c r="E97" s="693" t="s">
        <v>262</v>
      </c>
      <c r="F97" s="693"/>
      <c r="G97" s="675">
        <f>경비집계표!G18</f>
        <v>0</v>
      </c>
      <c r="H97" s="676"/>
      <c r="I97" s="675"/>
      <c r="J97" s="676"/>
      <c r="K97" s="761"/>
      <c r="L97" s="813"/>
    </row>
    <row r="98" spans="1:15" ht="18.95" hidden="1" customHeight="1">
      <c r="A98" s="904"/>
      <c r="B98" s="905"/>
      <c r="C98" s="910"/>
      <c r="D98" s="654"/>
      <c r="E98" s="693" t="s">
        <v>261</v>
      </c>
      <c r="F98" s="693"/>
      <c r="G98" s="675">
        <f>경비집계표!G19</f>
        <v>0</v>
      </c>
      <c r="H98" s="676"/>
      <c r="I98" s="675"/>
      <c r="J98" s="676"/>
      <c r="K98" s="761"/>
      <c r="L98" s="813"/>
    </row>
    <row r="99" spans="1:15" ht="18.95" hidden="1" customHeight="1">
      <c r="A99" s="906"/>
      <c r="B99" s="907"/>
      <c r="C99" s="914" t="s">
        <v>26</v>
      </c>
      <c r="D99" s="915"/>
      <c r="E99" s="915"/>
      <c r="F99" s="916"/>
      <c r="G99" s="675">
        <f>경비집계표!G20</f>
        <v>0</v>
      </c>
      <c r="H99" s="676"/>
      <c r="I99" s="765" t="e">
        <f>TRUNC(G99/$G$103*100,2)</f>
        <v>#DIV/0!</v>
      </c>
      <c r="J99" s="676"/>
      <c r="K99" s="761"/>
      <c r="L99" s="813" t="str">
        <f>경비집계표!$A$1&amp;"참조"</f>
        <v>&lt; 표 : 11 &gt; 참조</v>
      </c>
    </row>
    <row r="100" spans="1:15" ht="18.95" hidden="1" customHeight="1">
      <c r="A100" s="768"/>
      <c r="B100" s="884" t="s">
        <v>182</v>
      </c>
      <c r="C100" s="884"/>
      <c r="D100" s="884"/>
      <c r="E100" s="884"/>
      <c r="F100" s="769"/>
      <c r="G100" s="675">
        <f>SUM(G85,G99)</f>
        <v>0</v>
      </c>
      <c r="H100" s="676"/>
      <c r="I100" s="765" t="e">
        <f>TRUNC(G100/$G$103*100,2)</f>
        <v>#DIV/0!</v>
      </c>
      <c r="J100" s="676"/>
      <c r="K100" s="761"/>
      <c r="L100" s="813" t="s">
        <v>281</v>
      </c>
    </row>
    <row r="101" spans="1:15" ht="18.95" hidden="1" customHeight="1">
      <c r="A101" s="770"/>
      <c r="B101" s="883" t="s">
        <v>555</v>
      </c>
      <c r="C101" s="883"/>
      <c r="D101" s="883"/>
      <c r="E101" s="883"/>
      <c r="F101" s="771"/>
      <c r="G101" s="675">
        <f>TRUNC(G100*4%,0)</f>
        <v>0</v>
      </c>
      <c r="H101" s="676"/>
      <c r="I101" s="765" t="e">
        <f>TRUNC(G101/$G$103*100,2)</f>
        <v>#DIV/0!</v>
      </c>
      <c r="J101" s="676"/>
      <c r="K101" s="761"/>
      <c r="L101" s="820" t="s">
        <v>557</v>
      </c>
    </row>
    <row r="102" spans="1:15" ht="18.95" hidden="1" customHeight="1">
      <c r="A102" s="770"/>
      <c r="B102" s="883" t="s">
        <v>556</v>
      </c>
      <c r="C102" s="883"/>
      <c r="D102" s="883"/>
      <c r="E102" s="883"/>
      <c r="F102" s="771"/>
      <c r="G102" s="675">
        <f>TRUNC(SUM(G85,G99,G101)*6%,0)</f>
        <v>0</v>
      </c>
      <c r="H102" s="676"/>
      <c r="I102" s="765" t="e">
        <f>TRUNC(G102/$G$103*100,2)</f>
        <v>#DIV/0!</v>
      </c>
      <c r="J102" s="676"/>
      <c r="K102" s="761"/>
      <c r="L102" s="820" t="s">
        <v>558</v>
      </c>
      <c r="O102" s="772"/>
    </row>
    <row r="103" spans="1:15" ht="18.95" hidden="1" customHeight="1">
      <c r="A103" s="770"/>
      <c r="B103" s="884" t="s">
        <v>294</v>
      </c>
      <c r="C103" s="884"/>
      <c r="D103" s="884"/>
      <c r="E103" s="884"/>
      <c r="F103" s="771"/>
      <c r="G103" s="675">
        <f>SUM(G100:G102)</f>
        <v>0</v>
      </c>
      <c r="H103" s="676"/>
      <c r="I103" s="765" t="e">
        <f>TRUNC(G103/$G$103*100,2)</f>
        <v>#DIV/0!</v>
      </c>
      <c r="J103" s="676"/>
      <c r="K103" s="761"/>
      <c r="L103" s="813" t="s">
        <v>271</v>
      </c>
    </row>
    <row r="104" spans="1:15" ht="18.95" hidden="1" customHeight="1">
      <c r="A104" s="770"/>
      <c r="B104" s="901" t="s">
        <v>298</v>
      </c>
      <c r="C104" s="901"/>
      <c r="D104" s="901"/>
      <c r="E104" s="901"/>
      <c r="F104" s="771"/>
      <c r="G104" s="773">
        <f>TRUNC(G103*10%)</f>
        <v>0</v>
      </c>
      <c r="H104" s="774"/>
      <c r="I104" s="775"/>
      <c r="J104" s="774"/>
      <c r="K104" s="776"/>
      <c r="L104" s="814" t="s">
        <v>300</v>
      </c>
    </row>
    <row r="105" spans="1:15" ht="18.95" hidden="1" customHeight="1">
      <c r="A105" s="770"/>
      <c r="B105" s="901" t="s">
        <v>299</v>
      </c>
      <c r="C105" s="901"/>
      <c r="D105" s="901"/>
      <c r="E105" s="901"/>
      <c r="F105" s="771"/>
      <c r="G105" s="773">
        <f>SUM(G103:G104)</f>
        <v>0</v>
      </c>
      <c r="H105" s="774"/>
      <c r="I105" s="775"/>
      <c r="J105" s="774"/>
      <c r="K105" s="776"/>
      <c r="L105" s="814" t="s">
        <v>301</v>
      </c>
    </row>
    <row r="106" spans="1:15" ht="20.100000000000001" hidden="1" customHeight="1">
      <c r="A106" s="741"/>
      <c r="B106" s="741"/>
      <c r="C106" s="741"/>
      <c r="D106" s="741"/>
      <c r="E106" s="616"/>
      <c r="F106" s="616"/>
      <c r="G106" s="616"/>
      <c r="I106" s="690"/>
      <c r="L106" s="808"/>
      <c r="M106" s="690"/>
      <c r="N106" s="690"/>
      <c r="O106" s="690"/>
    </row>
    <row r="107" spans="1:15" s="619" customFormat="1" ht="39.950000000000003" hidden="1" customHeight="1">
      <c r="A107" s="617" t="s">
        <v>475</v>
      </c>
      <c r="B107" s="618"/>
      <c r="C107" s="743"/>
      <c r="D107" s="743"/>
      <c r="E107" s="742"/>
      <c r="F107" s="742"/>
      <c r="G107" s="747"/>
      <c r="H107" s="744"/>
      <c r="I107" s="748"/>
      <c r="J107" s="745"/>
      <c r="K107" s="748"/>
      <c r="L107" s="809"/>
    </row>
    <row r="108" spans="1:15" ht="20.100000000000001" hidden="1" customHeight="1">
      <c r="A108" s="749"/>
      <c r="B108" s="750"/>
      <c r="C108" s="749"/>
      <c r="D108" s="749"/>
      <c r="E108" s="750"/>
      <c r="F108" s="750"/>
      <c r="G108" s="751"/>
      <c r="H108" s="752"/>
      <c r="I108" s="753"/>
      <c r="J108" s="754"/>
      <c r="K108" s="753"/>
      <c r="L108" s="810"/>
      <c r="O108" s="619"/>
    </row>
    <row r="109" spans="1:15" ht="20.100000000000001" hidden="1" customHeight="1">
      <c r="A109" s="656" t="str">
        <f>"구 분 : "&amp;월기본급!B12&amp;"                       직종명 : "&amp;월기본급!F12&amp;""</f>
        <v xml:space="preserve">구 분 :                        직종명 : </v>
      </c>
      <c r="B109" s="612"/>
      <c r="C109" s="656"/>
      <c r="D109" s="656"/>
      <c r="G109" s="687"/>
      <c r="H109" s="687"/>
      <c r="I109" s="687"/>
      <c r="L109" s="811" t="s">
        <v>15</v>
      </c>
      <c r="O109" s="619"/>
    </row>
    <row r="110" spans="1:15" ht="20.100000000000001" hidden="1" customHeight="1">
      <c r="A110" s="755"/>
      <c r="B110" s="756"/>
      <c r="C110" s="756"/>
      <c r="D110" s="756"/>
      <c r="E110" s="757" t="s">
        <v>16</v>
      </c>
      <c r="F110" s="757"/>
      <c r="G110" s="917" t="s">
        <v>17</v>
      </c>
      <c r="H110" s="918"/>
      <c r="I110" s="917" t="s">
        <v>18</v>
      </c>
      <c r="J110" s="918"/>
      <c r="K110" s="777"/>
      <c r="L110" s="921" t="s">
        <v>19</v>
      </c>
      <c r="O110" s="619"/>
    </row>
    <row r="111" spans="1:15" ht="20.100000000000001" hidden="1" customHeight="1">
      <c r="A111" s="758" t="s">
        <v>20</v>
      </c>
      <c r="B111" s="759"/>
      <c r="C111" s="760"/>
      <c r="D111" s="760"/>
      <c r="E111" s="760"/>
      <c r="F111" s="760"/>
      <c r="G111" s="919"/>
      <c r="H111" s="920"/>
      <c r="I111" s="919"/>
      <c r="J111" s="920"/>
      <c r="K111" s="778"/>
      <c r="L111" s="922"/>
    </row>
    <row r="112" spans="1:15" ht="18.95" hidden="1" customHeight="1">
      <c r="A112" s="902" t="s">
        <v>204</v>
      </c>
      <c r="B112" s="903"/>
      <c r="C112" s="914" t="s">
        <v>21</v>
      </c>
      <c r="D112" s="915"/>
      <c r="E112" s="915"/>
      <c r="F112" s="916"/>
      <c r="G112" s="675">
        <f>단위당인건비!E63</f>
        <v>0</v>
      </c>
      <c r="H112" s="676"/>
      <c r="I112" s="675"/>
      <c r="J112" s="676"/>
      <c r="K112" s="761"/>
      <c r="L112" s="812"/>
    </row>
    <row r="113" spans="1:14" ht="18.95" hidden="1" customHeight="1">
      <c r="A113" s="904"/>
      <c r="B113" s="905"/>
      <c r="C113" s="908" t="s">
        <v>256</v>
      </c>
      <c r="D113" s="654"/>
      <c r="E113" s="693" t="s">
        <v>0</v>
      </c>
      <c r="F113" s="654"/>
      <c r="G113" s="675">
        <f>단위당인건비!E64</f>
        <v>0</v>
      </c>
      <c r="H113" s="676"/>
      <c r="I113" s="675"/>
      <c r="J113" s="676"/>
      <c r="K113" s="761"/>
      <c r="L113" s="812"/>
    </row>
    <row r="114" spans="1:14" ht="18.95" hidden="1" customHeight="1">
      <c r="A114" s="904"/>
      <c r="B114" s="905"/>
      <c r="C114" s="909"/>
      <c r="D114" s="654"/>
      <c r="E114" s="693" t="s">
        <v>229</v>
      </c>
      <c r="F114" s="762"/>
      <c r="G114" s="675">
        <f>단위당인건비!E65</f>
        <v>0</v>
      </c>
      <c r="H114" s="676"/>
      <c r="I114" s="675"/>
      <c r="J114" s="676"/>
      <c r="K114" s="761"/>
      <c r="L114" s="812"/>
    </row>
    <row r="115" spans="1:14" ht="18.95" hidden="1" customHeight="1">
      <c r="A115" s="904"/>
      <c r="B115" s="905"/>
      <c r="C115" s="909"/>
      <c r="D115" s="654"/>
      <c r="E115" s="693" t="s">
        <v>4</v>
      </c>
      <c r="F115" s="762"/>
      <c r="G115" s="675">
        <f>단위당인건비!E66</f>
        <v>0</v>
      </c>
      <c r="H115" s="676"/>
      <c r="I115" s="675"/>
      <c r="J115" s="676"/>
      <c r="K115" s="761"/>
      <c r="L115" s="812"/>
    </row>
    <row r="116" spans="1:14" ht="18.95" hidden="1" customHeight="1">
      <c r="A116" s="904"/>
      <c r="B116" s="905"/>
      <c r="C116" s="909"/>
      <c r="D116" s="654"/>
      <c r="E116" s="693" t="s">
        <v>257</v>
      </c>
      <c r="F116" s="762"/>
      <c r="G116" s="675">
        <f>단위당인건비!E67</f>
        <v>0</v>
      </c>
      <c r="H116" s="676"/>
      <c r="I116" s="675"/>
      <c r="J116" s="676"/>
      <c r="K116" s="761"/>
      <c r="L116" s="812"/>
    </row>
    <row r="117" spans="1:14" ht="18.95" hidden="1" customHeight="1">
      <c r="A117" s="904"/>
      <c r="B117" s="905"/>
      <c r="C117" s="910"/>
      <c r="D117" s="654"/>
      <c r="E117" s="763" t="s">
        <v>23</v>
      </c>
      <c r="F117" s="763"/>
      <c r="G117" s="675">
        <f>단위당인건비!E68</f>
        <v>0</v>
      </c>
      <c r="H117" s="676"/>
      <c r="I117" s="764"/>
      <c r="J117" s="676"/>
      <c r="K117" s="761"/>
      <c r="L117" s="813"/>
    </row>
    <row r="118" spans="1:14" ht="18.95" hidden="1" customHeight="1">
      <c r="A118" s="904"/>
      <c r="B118" s="905"/>
      <c r="C118" s="914" t="s">
        <v>24</v>
      </c>
      <c r="D118" s="915"/>
      <c r="E118" s="915"/>
      <c r="F118" s="916"/>
      <c r="G118" s="675">
        <f>단위당인건비!E69</f>
        <v>0</v>
      </c>
      <c r="H118" s="676"/>
      <c r="I118" s="764"/>
      <c r="J118" s="676"/>
      <c r="K118" s="761"/>
      <c r="L118" s="818"/>
    </row>
    <row r="119" spans="1:14" ht="18.95" hidden="1" customHeight="1">
      <c r="A119" s="904"/>
      <c r="B119" s="905"/>
      <c r="C119" s="914" t="s">
        <v>25</v>
      </c>
      <c r="D119" s="915"/>
      <c r="E119" s="915"/>
      <c r="F119" s="916"/>
      <c r="G119" s="675">
        <f>단위당인건비!E70</f>
        <v>0</v>
      </c>
      <c r="H119" s="676"/>
      <c r="I119" s="764"/>
      <c r="J119" s="676"/>
      <c r="K119" s="761"/>
      <c r="L119" s="818"/>
    </row>
    <row r="120" spans="1:14" ht="18.95" hidden="1" customHeight="1">
      <c r="A120" s="906"/>
      <c r="B120" s="907"/>
      <c r="C120" s="914" t="s">
        <v>26</v>
      </c>
      <c r="D120" s="915"/>
      <c r="E120" s="915"/>
      <c r="F120" s="916"/>
      <c r="G120" s="675">
        <f>단위당인건비!E71</f>
        <v>0</v>
      </c>
      <c r="H120" s="676"/>
      <c r="I120" s="765" t="e">
        <f>TRUNC(G120/$G$138*100,2)</f>
        <v>#DIV/0!</v>
      </c>
      <c r="J120" s="676"/>
      <c r="K120" s="761"/>
      <c r="L120" s="813" t="str">
        <f>단위당인건비!$A$1&amp;"참조"</f>
        <v>&lt; 표 : 4 &gt; 참조</v>
      </c>
    </row>
    <row r="121" spans="1:14" ht="18.95" hidden="1" customHeight="1">
      <c r="A121" s="902" t="s">
        <v>212</v>
      </c>
      <c r="B121" s="903"/>
      <c r="C121" s="908" t="s">
        <v>3</v>
      </c>
      <c r="D121" s="654"/>
      <c r="E121" s="693" t="s">
        <v>27</v>
      </c>
      <c r="F121" s="693"/>
      <c r="G121" s="675">
        <f>경비집계표!H7</f>
        <v>0</v>
      </c>
      <c r="H121" s="676"/>
      <c r="I121" s="675"/>
      <c r="J121" s="676"/>
      <c r="K121" s="761"/>
      <c r="L121" s="813"/>
      <c r="M121" s="766"/>
      <c r="N121" s="766"/>
    </row>
    <row r="122" spans="1:14" ht="18.95" hidden="1" customHeight="1">
      <c r="A122" s="904"/>
      <c r="B122" s="905"/>
      <c r="C122" s="909"/>
      <c r="D122" s="654"/>
      <c r="E122" s="693" t="s">
        <v>28</v>
      </c>
      <c r="F122" s="693"/>
      <c r="G122" s="675">
        <f>경비집계표!H8</f>
        <v>0</v>
      </c>
      <c r="H122" s="676"/>
      <c r="I122" s="675"/>
      <c r="J122" s="676"/>
      <c r="K122" s="761"/>
      <c r="L122" s="813"/>
      <c r="M122" s="766"/>
      <c r="N122" s="766"/>
    </row>
    <row r="123" spans="1:14" ht="18.95" hidden="1" customHeight="1">
      <c r="A123" s="904"/>
      <c r="B123" s="905"/>
      <c r="C123" s="909"/>
      <c r="D123" s="654"/>
      <c r="E123" s="693" t="s">
        <v>29</v>
      </c>
      <c r="F123" s="693"/>
      <c r="G123" s="675">
        <f>경비집계표!H9</f>
        <v>0</v>
      </c>
      <c r="H123" s="676"/>
      <c r="I123" s="675"/>
      <c r="J123" s="676"/>
      <c r="K123" s="761"/>
      <c r="L123" s="813"/>
      <c r="M123" s="766"/>
      <c r="N123" s="766"/>
    </row>
    <row r="124" spans="1:14" ht="18.95" hidden="1" customHeight="1">
      <c r="A124" s="904"/>
      <c r="B124" s="905"/>
      <c r="C124" s="909"/>
      <c r="D124" s="654"/>
      <c r="E124" s="693" t="s">
        <v>30</v>
      </c>
      <c r="F124" s="693"/>
      <c r="G124" s="675">
        <f>경비집계표!H10</f>
        <v>0</v>
      </c>
      <c r="H124" s="676"/>
      <c r="I124" s="675"/>
      <c r="J124" s="676"/>
      <c r="K124" s="761"/>
      <c r="L124" s="813"/>
      <c r="M124" s="766"/>
      <c r="N124" s="766"/>
    </row>
    <row r="125" spans="1:14" ht="18.95" hidden="1" customHeight="1">
      <c r="A125" s="904"/>
      <c r="B125" s="905"/>
      <c r="C125" s="909"/>
      <c r="D125" s="654"/>
      <c r="E125" s="721" t="s">
        <v>255</v>
      </c>
      <c r="F125" s="693"/>
      <c r="G125" s="675">
        <f>경비집계표!H11</f>
        <v>0</v>
      </c>
      <c r="H125" s="676"/>
      <c r="I125" s="675"/>
      <c r="J125" s="676"/>
      <c r="K125" s="761"/>
      <c r="L125" s="813"/>
      <c r="M125" s="766"/>
      <c r="N125" s="766"/>
    </row>
    <row r="126" spans="1:14" ht="18.95" hidden="1" customHeight="1">
      <c r="A126" s="904"/>
      <c r="B126" s="905"/>
      <c r="C126" s="909"/>
      <c r="D126" s="654"/>
      <c r="E126" s="693" t="s">
        <v>31</v>
      </c>
      <c r="F126" s="693"/>
      <c r="G126" s="675">
        <f>경비집계표!H12</f>
        <v>0</v>
      </c>
      <c r="H126" s="676"/>
      <c r="I126" s="675"/>
      <c r="J126" s="676"/>
      <c r="K126" s="761"/>
      <c r="L126" s="813"/>
      <c r="M126" s="766"/>
      <c r="N126" s="766"/>
    </row>
    <row r="127" spans="1:14" ht="18.95" hidden="1" customHeight="1">
      <c r="A127" s="904"/>
      <c r="B127" s="905"/>
      <c r="C127" s="910"/>
      <c r="D127" s="654"/>
      <c r="E127" s="763" t="s">
        <v>23</v>
      </c>
      <c r="F127" s="693"/>
      <c r="G127" s="675">
        <f>경비집계표!H13</f>
        <v>0</v>
      </c>
      <c r="H127" s="676"/>
      <c r="I127" s="675"/>
      <c r="J127" s="676"/>
      <c r="K127" s="761"/>
      <c r="L127" s="813"/>
      <c r="M127" s="767"/>
      <c r="N127" s="766"/>
    </row>
    <row r="128" spans="1:14" ht="18.95" hidden="1" customHeight="1">
      <c r="A128" s="904"/>
      <c r="B128" s="905"/>
      <c r="C128" s="911" t="s">
        <v>304</v>
      </c>
      <c r="D128" s="654"/>
      <c r="E128" s="693" t="s">
        <v>32</v>
      </c>
      <c r="F128" s="693"/>
      <c r="G128" s="675">
        <f>경비집계표!H14</f>
        <v>0</v>
      </c>
      <c r="H128" s="676"/>
      <c r="I128" s="675"/>
      <c r="J128" s="676"/>
      <c r="K128" s="761"/>
      <c r="L128" s="813"/>
    </row>
    <row r="129" spans="1:15" ht="18.95" hidden="1" customHeight="1">
      <c r="A129" s="904"/>
      <c r="B129" s="905"/>
      <c r="C129" s="912"/>
      <c r="D129" s="654"/>
      <c r="E129" s="693" t="s">
        <v>465</v>
      </c>
      <c r="F129" s="693"/>
      <c r="G129" s="675">
        <f>경비집계표!H15</f>
        <v>0</v>
      </c>
      <c r="H129" s="676"/>
      <c r="I129" s="675"/>
      <c r="J129" s="676"/>
      <c r="K129" s="761"/>
      <c r="L129" s="813"/>
    </row>
    <row r="130" spans="1:15" ht="18.95" hidden="1" customHeight="1">
      <c r="A130" s="904"/>
      <c r="B130" s="905"/>
      <c r="C130" s="912"/>
      <c r="D130" s="654"/>
      <c r="E130" s="693" t="s">
        <v>462</v>
      </c>
      <c r="F130" s="693"/>
      <c r="G130" s="675">
        <f>경비집계표!H16</f>
        <v>0</v>
      </c>
      <c r="H130" s="676"/>
      <c r="I130" s="675"/>
      <c r="J130" s="676"/>
      <c r="K130" s="761"/>
      <c r="L130" s="813"/>
    </row>
    <row r="131" spans="1:15" ht="18.95" hidden="1" customHeight="1">
      <c r="A131" s="904"/>
      <c r="B131" s="905"/>
      <c r="C131" s="913"/>
      <c r="D131" s="654"/>
      <c r="E131" s="763" t="s">
        <v>23</v>
      </c>
      <c r="F131" s="693"/>
      <c r="G131" s="675">
        <f>경비집계표!H17</f>
        <v>0</v>
      </c>
      <c r="H131" s="676"/>
      <c r="I131" s="675"/>
      <c r="J131" s="676"/>
      <c r="K131" s="761"/>
      <c r="L131" s="813"/>
    </row>
    <row r="132" spans="1:15" ht="18.95" hidden="1" customHeight="1">
      <c r="A132" s="904"/>
      <c r="B132" s="905"/>
      <c r="C132" s="908" t="s">
        <v>260</v>
      </c>
      <c r="D132" s="654"/>
      <c r="E132" s="693" t="s">
        <v>262</v>
      </c>
      <c r="F132" s="693"/>
      <c r="G132" s="675">
        <f>경비집계표!H18</f>
        <v>0</v>
      </c>
      <c r="H132" s="676"/>
      <c r="I132" s="675"/>
      <c r="J132" s="676"/>
      <c r="K132" s="761"/>
      <c r="L132" s="813"/>
    </row>
    <row r="133" spans="1:15" ht="18.95" hidden="1" customHeight="1">
      <c r="A133" s="904"/>
      <c r="B133" s="905"/>
      <c r="C133" s="910"/>
      <c r="D133" s="654"/>
      <c r="E133" s="693" t="s">
        <v>261</v>
      </c>
      <c r="F133" s="693"/>
      <c r="G133" s="675">
        <f>경비집계표!H19</f>
        <v>0</v>
      </c>
      <c r="H133" s="676"/>
      <c r="I133" s="675"/>
      <c r="J133" s="676"/>
      <c r="K133" s="761"/>
      <c r="L133" s="813"/>
    </row>
    <row r="134" spans="1:15" ht="18.95" hidden="1" customHeight="1">
      <c r="A134" s="906"/>
      <c r="B134" s="907"/>
      <c r="C134" s="914" t="s">
        <v>26</v>
      </c>
      <c r="D134" s="915"/>
      <c r="E134" s="915"/>
      <c r="F134" s="916"/>
      <c r="G134" s="675">
        <f>경비집계표!H20</f>
        <v>0</v>
      </c>
      <c r="H134" s="676"/>
      <c r="I134" s="765" t="e">
        <f>TRUNC(G134/$G$138*100,2)</f>
        <v>#DIV/0!</v>
      </c>
      <c r="J134" s="676"/>
      <c r="K134" s="761"/>
      <c r="L134" s="813" t="str">
        <f>경비집계표!$A$1&amp;"참조"</f>
        <v>&lt; 표 : 11 &gt; 참조</v>
      </c>
    </row>
    <row r="135" spans="1:15" ht="18.95" hidden="1" customHeight="1">
      <c r="A135" s="768"/>
      <c r="B135" s="884" t="s">
        <v>182</v>
      </c>
      <c r="C135" s="884"/>
      <c r="D135" s="884"/>
      <c r="E135" s="884"/>
      <c r="F135" s="769"/>
      <c r="G135" s="675">
        <f>SUM(G120,G134)</f>
        <v>0</v>
      </c>
      <c r="H135" s="676"/>
      <c r="I135" s="765" t="e">
        <f>TRUNC(G135/$G$138*100,2)</f>
        <v>#DIV/0!</v>
      </c>
      <c r="J135" s="676"/>
      <c r="K135" s="761"/>
      <c r="L135" s="813" t="s">
        <v>281</v>
      </c>
    </row>
    <row r="136" spans="1:15" ht="18.95" hidden="1" customHeight="1">
      <c r="A136" s="770"/>
      <c r="B136" s="883" t="s">
        <v>555</v>
      </c>
      <c r="C136" s="883"/>
      <c r="D136" s="883"/>
      <c r="E136" s="883"/>
      <c r="F136" s="771"/>
      <c r="G136" s="675">
        <f>TRUNC(G135*4%,0)</f>
        <v>0</v>
      </c>
      <c r="H136" s="676"/>
      <c r="I136" s="765" t="e">
        <f>TRUNC(G136/$G$138*100,2)</f>
        <v>#DIV/0!</v>
      </c>
      <c r="J136" s="676"/>
      <c r="K136" s="761"/>
      <c r="L136" s="820" t="s">
        <v>557</v>
      </c>
    </row>
    <row r="137" spans="1:15" ht="18.95" hidden="1" customHeight="1">
      <c r="A137" s="770"/>
      <c r="B137" s="883" t="s">
        <v>556</v>
      </c>
      <c r="C137" s="883"/>
      <c r="D137" s="883"/>
      <c r="E137" s="883"/>
      <c r="F137" s="771"/>
      <c r="G137" s="675">
        <f>TRUNC(SUM(G120,G134,G136)*6%,0)</f>
        <v>0</v>
      </c>
      <c r="H137" s="676"/>
      <c r="I137" s="765" t="e">
        <f>TRUNC(G137/$G$138*100,2)</f>
        <v>#DIV/0!</v>
      </c>
      <c r="J137" s="676"/>
      <c r="K137" s="761"/>
      <c r="L137" s="820" t="s">
        <v>558</v>
      </c>
      <c r="O137" s="772"/>
    </row>
    <row r="138" spans="1:15" ht="18.95" hidden="1" customHeight="1">
      <c r="A138" s="770"/>
      <c r="B138" s="884" t="s">
        <v>294</v>
      </c>
      <c r="C138" s="884"/>
      <c r="D138" s="884"/>
      <c r="E138" s="884"/>
      <c r="F138" s="771"/>
      <c r="G138" s="675">
        <f>SUM(G135:G137)</f>
        <v>0</v>
      </c>
      <c r="H138" s="676"/>
      <c r="I138" s="765" t="e">
        <f>TRUNC(G138/$G$138*100,2)</f>
        <v>#DIV/0!</v>
      </c>
      <c r="J138" s="676"/>
      <c r="K138" s="761"/>
      <c r="L138" s="813" t="s">
        <v>271</v>
      </c>
    </row>
    <row r="139" spans="1:15" ht="18.95" hidden="1" customHeight="1">
      <c r="A139" s="770"/>
      <c r="B139" s="901" t="s">
        <v>298</v>
      </c>
      <c r="C139" s="901"/>
      <c r="D139" s="901"/>
      <c r="E139" s="901"/>
      <c r="F139" s="771"/>
      <c r="G139" s="773">
        <f>TRUNC(G138*10%)</f>
        <v>0</v>
      </c>
      <c r="H139" s="774"/>
      <c r="I139" s="775"/>
      <c r="J139" s="774"/>
      <c r="K139" s="776"/>
      <c r="L139" s="814" t="s">
        <v>300</v>
      </c>
    </row>
    <row r="140" spans="1:15" ht="18.95" hidden="1" customHeight="1">
      <c r="A140" s="770"/>
      <c r="B140" s="901" t="s">
        <v>299</v>
      </c>
      <c r="C140" s="901"/>
      <c r="D140" s="901"/>
      <c r="E140" s="901"/>
      <c r="F140" s="771"/>
      <c r="G140" s="773">
        <f>SUM(G138:G139)</f>
        <v>0</v>
      </c>
      <c r="H140" s="774"/>
      <c r="I140" s="775"/>
      <c r="J140" s="774"/>
      <c r="K140" s="776"/>
      <c r="L140" s="814" t="s">
        <v>301</v>
      </c>
    </row>
    <row r="141" spans="1:15" ht="20.100000000000001" hidden="1" customHeight="1">
      <c r="A141" s="741"/>
      <c r="B141" s="741"/>
      <c r="C141" s="741"/>
      <c r="D141" s="741"/>
      <c r="E141" s="616"/>
      <c r="F141" s="616"/>
      <c r="G141" s="616"/>
      <c r="I141" s="690"/>
      <c r="L141" s="808"/>
      <c r="M141" s="690"/>
      <c r="N141" s="690"/>
      <c r="O141" s="690"/>
    </row>
    <row r="142" spans="1:15" s="619" customFormat="1" ht="39.950000000000003" hidden="1" customHeight="1">
      <c r="A142" s="617" t="s">
        <v>475</v>
      </c>
      <c r="B142" s="618"/>
      <c r="C142" s="743"/>
      <c r="D142" s="743"/>
      <c r="E142" s="742"/>
      <c r="F142" s="742"/>
      <c r="G142" s="747"/>
      <c r="H142" s="744"/>
      <c r="I142" s="748"/>
      <c r="J142" s="745"/>
      <c r="K142" s="748"/>
      <c r="L142" s="809"/>
    </row>
    <row r="143" spans="1:15" ht="20.100000000000001" hidden="1" customHeight="1">
      <c r="A143" s="749"/>
      <c r="B143" s="750"/>
      <c r="C143" s="749"/>
      <c r="D143" s="749"/>
      <c r="E143" s="750"/>
      <c r="F143" s="750"/>
      <c r="G143" s="751"/>
      <c r="H143" s="752"/>
      <c r="I143" s="753"/>
      <c r="J143" s="754"/>
      <c r="K143" s="753"/>
      <c r="L143" s="810"/>
      <c r="O143" s="619"/>
    </row>
    <row r="144" spans="1:15" ht="20.100000000000001" hidden="1" customHeight="1">
      <c r="A144" s="656" t="str">
        <f>"구 분 : "&amp;월기본급!B13&amp;"                       직종명 : "&amp;월기본급!F13&amp;""</f>
        <v xml:space="preserve">구 분 :                        직종명 : </v>
      </c>
      <c r="B144" s="612"/>
      <c r="C144" s="656"/>
      <c r="D144" s="656"/>
      <c r="G144" s="687"/>
      <c r="H144" s="687"/>
      <c r="I144" s="687"/>
      <c r="L144" s="811" t="s">
        <v>15</v>
      </c>
      <c r="O144" s="619"/>
    </row>
    <row r="145" spans="1:15" ht="20.100000000000001" hidden="1" customHeight="1">
      <c r="A145" s="755"/>
      <c r="B145" s="756"/>
      <c r="C145" s="756"/>
      <c r="D145" s="756"/>
      <c r="E145" s="757" t="s">
        <v>16</v>
      </c>
      <c r="F145" s="757"/>
      <c r="G145" s="917" t="s">
        <v>17</v>
      </c>
      <c r="H145" s="918"/>
      <c r="I145" s="917" t="s">
        <v>18</v>
      </c>
      <c r="J145" s="918"/>
      <c r="K145" s="777"/>
      <c r="L145" s="921" t="s">
        <v>19</v>
      </c>
      <c r="O145" s="619"/>
    </row>
    <row r="146" spans="1:15" ht="20.100000000000001" hidden="1" customHeight="1">
      <c r="A146" s="758" t="s">
        <v>20</v>
      </c>
      <c r="B146" s="759"/>
      <c r="C146" s="760"/>
      <c r="D146" s="760"/>
      <c r="E146" s="760"/>
      <c r="F146" s="760"/>
      <c r="G146" s="919"/>
      <c r="H146" s="920"/>
      <c r="I146" s="919"/>
      <c r="J146" s="920"/>
      <c r="K146" s="778"/>
      <c r="L146" s="922"/>
    </row>
    <row r="147" spans="1:15" ht="18.95" hidden="1" customHeight="1">
      <c r="A147" s="902" t="s">
        <v>204</v>
      </c>
      <c r="B147" s="903"/>
      <c r="C147" s="914" t="s">
        <v>21</v>
      </c>
      <c r="D147" s="915"/>
      <c r="E147" s="915"/>
      <c r="F147" s="916"/>
      <c r="G147" s="675">
        <f>단위당인건비!E82</f>
        <v>0</v>
      </c>
      <c r="H147" s="676"/>
      <c r="I147" s="675"/>
      <c r="J147" s="676"/>
      <c r="K147" s="761"/>
      <c r="L147" s="812"/>
    </row>
    <row r="148" spans="1:15" ht="18.95" hidden="1" customHeight="1">
      <c r="A148" s="904"/>
      <c r="B148" s="905"/>
      <c r="C148" s="908" t="s">
        <v>256</v>
      </c>
      <c r="D148" s="654"/>
      <c r="E148" s="693" t="s">
        <v>0</v>
      </c>
      <c r="F148" s="654"/>
      <c r="G148" s="675">
        <f>단위당인건비!E83</f>
        <v>0</v>
      </c>
      <c r="H148" s="676"/>
      <c r="I148" s="675"/>
      <c r="J148" s="676"/>
      <c r="K148" s="761"/>
      <c r="L148" s="812"/>
    </row>
    <row r="149" spans="1:15" ht="18.95" hidden="1" customHeight="1">
      <c r="A149" s="904"/>
      <c r="B149" s="905"/>
      <c r="C149" s="909"/>
      <c r="D149" s="654"/>
      <c r="E149" s="693" t="s">
        <v>229</v>
      </c>
      <c r="F149" s="762"/>
      <c r="G149" s="675">
        <f>단위당인건비!E84</f>
        <v>0</v>
      </c>
      <c r="H149" s="676"/>
      <c r="I149" s="675"/>
      <c r="J149" s="676"/>
      <c r="K149" s="761"/>
      <c r="L149" s="812"/>
    </row>
    <row r="150" spans="1:15" ht="18.95" hidden="1" customHeight="1">
      <c r="A150" s="904"/>
      <c r="B150" s="905"/>
      <c r="C150" s="909"/>
      <c r="D150" s="654"/>
      <c r="E150" s="693" t="s">
        <v>4</v>
      </c>
      <c r="F150" s="762"/>
      <c r="G150" s="675">
        <f>단위당인건비!E85</f>
        <v>0</v>
      </c>
      <c r="H150" s="676"/>
      <c r="I150" s="675"/>
      <c r="J150" s="676"/>
      <c r="K150" s="761"/>
      <c r="L150" s="812"/>
    </row>
    <row r="151" spans="1:15" ht="18.95" hidden="1" customHeight="1">
      <c r="A151" s="904"/>
      <c r="B151" s="905"/>
      <c r="C151" s="909"/>
      <c r="D151" s="654"/>
      <c r="E151" s="693" t="s">
        <v>257</v>
      </c>
      <c r="F151" s="762"/>
      <c r="G151" s="675">
        <f>단위당인건비!E86</f>
        <v>0</v>
      </c>
      <c r="H151" s="676"/>
      <c r="I151" s="675"/>
      <c r="J151" s="676"/>
      <c r="K151" s="761"/>
      <c r="L151" s="812"/>
    </row>
    <row r="152" spans="1:15" ht="18.95" hidden="1" customHeight="1">
      <c r="A152" s="904"/>
      <c r="B152" s="905"/>
      <c r="C152" s="910"/>
      <c r="D152" s="654"/>
      <c r="E152" s="763" t="s">
        <v>23</v>
      </c>
      <c r="F152" s="763"/>
      <c r="G152" s="675">
        <f>단위당인건비!E87</f>
        <v>0</v>
      </c>
      <c r="H152" s="676"/>
      <c r="I152" s="764"/>
      <c r="J152" s="676"/>
      <c r="K152" s="761"/>
      <c r="L152" s="813"/>
    </row>
    <row r="153" spans="1:15" ht="18.95" hidden="1" customHeight="1">
      <c r="A153" s="904"/>
      <c r="B153" s="905"/>
      <c r="C153" s="914" t="s">
        <v>24</v>
      </c>
      <c r="D153" s="915"/>
      <c r="E153" s="915"/>
      <c r="F153" s="916"/>
      <c r="G153" s="675">
        <f>단위당인건비!E88</f>
        <v>0</v>
      </c>
      <c r="H153" s="676"/>
      <c r="I153" s="764"/>
      <c r="J153" s="676"/>
      <c r="K153" s="761"/>
      <c r="L153" s="818"/>
    </row>
    <row r="154" spans="1:15" ht="18.95" hidden="1" customHeight="1">
      <c r="A154" s="904"/>
      <c r="B154" s="905"/>
      <c r="C154" s="914" t="s">
        <v>25</v>
      </c>
      <c r="D154" s="915"/>
      <c r="E154" s="915"/>
      <c r="F154" s="916"/>
      <c r="G154" s="675">
        <f>단위당인건비!E89</f>
        <v>0</v>
      </c>
      <c r="H154" s="676"/>
      <c r="I154" s="764"/>
      <c r="J154" s="676"/>
      <c r="K154" s="761"/>
      <c r="L154" s="818"/>
    </row>
    <row r="155" spans="1:15" ht="18.95" hidden="1" customHeight="1">
      <c r="A155" s="906"/>
      <c r="B155" s="907"/>
      <c r="C155" s="914" t="s">
        <v>26</v>
      </c>
      <c r="D155" s="915"/>
      <c r="E155" s="915"/>
      <c r="F155" s="916"/>
      <c r="G155" s="675">
        <f>단위당인건비!E90</f>
        <v>0</v>
      </c>
      <c r="H155" s="676"/>
      <c r="I155" s="765" t="e">
        <f>TRUNC(G155/$G$173*100,2)</f>
        <v>#DIV/0!</v>
      </c>
      <c r="J155" s="676"/>
      <c r="K155" s="761"/>
      <c r="L155" s="813" t="str">
        <f>단위당인건비!$A$1&amp;"참조"</f>
        <v>&lt; 표 : 4 &gt; 참조</v>
      </c>
    </row>
    <row r="156" spans="1:15" ht="18.95" hidden="1" customHeight="1">
      <c r="A156" s="902" t="s">
        <v>212</v>
      </c>
      <c r="B156" s="903"/>
      <c r="C156" s="908" t="s">
        <v>3</v>
      </c>
      <c r="D156" s="654"/>
      <c r="E156" s="693" t="s">
        <v>27</v>
      </c>
      <c r="F156" s="693"/>
      <c r="G156" s="675">
        <f>경비집계표!E31</f>
        <v>0</v>
      </c>
      <c r="H156" s="676"/>
      <c r="I156" s="675"/>
      <c r="J156" s="676"/>
      <c r="K156" s="761"/>
      <c r="L156" s="813"/>
      <c r="M156" s="766"/>
      <c r="N156" s="766"/>
    </row>
    <row r="157" spans="1:15" ht="18.95" hidden="1" customHeight="1">
      <c r="A157" s="904"/>
      <c r="B157" s="905"/>
      <c r="C157" s="909"/>
      <c r="D157" s="654"/>
      <c r="E157" s="693" t="s">
        <v>28</v>
      </c>
      <c r="F157" s="693"/>
      <c r="G157" s="675">
        <f>경비집계표!E32</f>
        <v>0</v>
      </c>
      <c r="H157" s="676"/>
      <c r="I157" s="675"/>
      <c r="J157" s="676"/>
      <c r="K157" s="761"/>
      <c r="L157" s="813"/>
      <c r="M157" s="766"/>
      <c r="N157" s="766"/>
    </row>
    <row r="158" spans="1:15" ht="18.95" hidden="1" customHeight="1">
      <c r="A158" s="904"/>
      <c r="B158" s="905"/>
      <c r="C158" s="909"/>
      <c r="D158" s="654"/>
      <c r="E158" s="693" t="s">
        <v>29</v>
      </c>
      <c r="F158" s="693"/>
      <c r="G158" s="675">
        <f>경비집계표!E33</f>
        <v>0</v>
      </c>
      <c r="H158" s="676"/>
      <c r="I158" s="675"/>
      <c r="J158" s="676"/>
      <c r="K158" s="761"/>
      <c r="L158" s="813"/>
      <c r="M158" s="766"/>
      <c r="N158" s="766"/>
    </row>
    <row r="159" spans="1:15" ht="18.95" hidden="1" customHeight="1">
      <c r="A159" s="904"/>
      <c r="B159" s="905"/>
      <c r="C159" s="909"/>
      <c r="D159" s="654"/>
      <c r="E159" s="693" t="s">
        <v>30</v>
      </c>
      <c r="F159" s="693"/>
      <c r="G159" s="675">
        <f>경비집계표!E34</f>
        <v>0</v>
      </c>
      <c r="H159" s="676"/>
      <c r="I159" s="675"/>
      <c r="J159" s="676"/>
      <c r="K159" s="761"/>
      <c r="L159" s="813"/>
      <c r="M159" s="766"/>
      <c r="N159" s="766"/>
    </row>
    <row r="160" spans="1:15" ht="18.95" hidden="1" customHeight="1">
      <c r="A160" s="904"/>
      <c r="B160" s="905"/>
      <c r="C160" s="909"/>
      <c r="D160" s="654"/>
      <c r="E160" s="721" t="s">
        <v>255</v>
      </c>
      <c r="F160" s="693"/>
      <c r="G160" s="675">
        <f>경비집계표!E35</f>
        <v>0</v>
      </c>
      <c r="H160" s="676"/>
      <c r="I160" s="675"/>
      <c r="J160" s="676"/>
      <c r="K160" s="761"/>
      <c r="L160" s="813"/>
      <c r="M160" s="766"/>
      <c r="N160" s="766"/>
    </row>
    <row r="161" spans="1:15" ht="18.95" hidden="1" customHeight="1">
      <c r="A161" s="904"/>
      <c r="B161" s="905"/>
      <c r="C161" s="909"/>
      <c r="D161" s="654"/>
      <c r="E161" s="693" t="s">
        <v>31</v>
      </c>
      <c r="F161" s="693"/>
      <c r="G161" s="675">
        <f>경비집계표!E36</f>
        <v>0</v>
      </c>
      <c r="H161" s="676"/>
      <c r="I161" s="675"/>
      <c r="J161" s="676"/>
      <c r="K161" s="761"/>
      <c r="L161" s="813"/>
      <c r="M161" s="766"/>
      <c r="N161" s="766"/>
    </row>
    <row r="162" spans="1:15" ht="18.95" hidden="1" customHeight="1">
      <c r="A162" s="904"/>
      <c r="B162" s="905"/>
      <c r="C162" s="910"/>
      <c r="D162" s="654"/>
      <c r="E162" s="763" t="s">
        <v>23</v>
      </c>
      <c r="F162" s="693"/>
      <c r="G162" s="675">
        <f>경비집계표!E37</f>
        <v>0</v>
      </c>
      <c r="H162" s="676"/>
      <c r="I162" s="675"/>
      <c r="J162" s="676"/>
      <c r="K162" s="761"/>
      <c r="L162" s="813"/>
      <c r="M162" s="767"/>
      <c r="N162" s="766"/>
    </row>
    <row r="163" spans="1:15" ht="18.95" hidden="1" customHeight="1">
      <c r="A163" s="904"/>
      <c r="B163" s="905"/>
      <c r="C163" s="911" t="s">
        <v>304</v>
      </c>
      <c r="D163" s="654"/>
      <c r="E163" s="693" t="s">
        <v>32</v>
      </c>
      <c r="F163" s="693"/>
      <c r="G163" s="675">
        <f>경비집계표!E38</f>
        <v>0</v>
      </c>
      <c r="H163" s="676"/>
      <c r="I163" s="675"/>
      <c r="J163" s="676"/>
      <c r="K163" s="761"/>
      <c r="L163" s="813"/>
    </row>
    <row r="164" spans="1:15" ht="18.95" hidden="1" customHeight="1">
      <c r="A164" s="904"/>
      <c r="B164" s="905"/>
      <c r="C164" s="912"/>
      <c r="D164" s="654"/>
      <c r="E164" s="693" t="s">
        <v>465</v>
      </c>
      <c r="F164" s="693"/>
      <c r="G164" s="675">
        <f>경비집계표!E39</f>
        <v>0</v>
      </c>
      <c r="H164" s="676"/>
      <c r="I164" s="675"/>
      <c r="J164" s="676"/>
      <c r="K164" s="761"/>
      <c r="L164" s="813"/>
    </row>
    <row r="165" spans="1:15" ht="18.95" hidden="1" customHeight="1">
      <c r="A165" s="904"/>
      <c r="B165" s="905"/>
      <c r="C165" s="912"/>
      <c r="D165" s="654"/>
      <c r="E165" s="693" t="s">
        <v>462</v>
      </c>
      <c r="F165" s="693"/>
      <c r="G165" s="675">
        <f>경비집계표!E40</f>
        <v>0</v>
      </c>
      <c r="H165" s="676"/>
      <c r="I165" s="675"/>
      <c r="J165" s="676"/>
      <c r="K165" s="761"/>
      <c r="L165" s="813"/>
    </row>
    <row r="166" spans="1:15" ht="18.95" hidden="1" customHeight="1">
      <c r="A166" s="904"/>
      <c r="B166" s="905"/>
      <c r="C166" s="913"/>
      <c r="D166" s="654"/>
      <c r="E166" s="763" t="s">
        <v>23</v>
      </c>
      <c r="F166" s="693"/>
      <c r="G166" s="675">
        <f>경비집계표!E41</f>
        <v>0</v>
      </c>
      <c r="H166" s="676"/>
      <c r="I166" s="675"/>
      <c r="J166" s="676"/>
      <c r="K166" s="761"/>
      <c r="L166" s="813"/>
    </row>
    <row r="167" spans="1:15" ht="18.95" hidden="1" customHeight="1">
      <c r="A167" s="904"/>
      <c r="B167" s="905"/>
      <c r="C167" s="908" t="s">
        <v>260</v>
      </c>
      <c r="D167" s="654"/>
      <c r="E167" s="693" t="s">
        <v>262</v>
      </c>
      <c r="F167" s="693"/>
      <c r="G167" s="675">
        <f>경비집계표!E42</f>
        <v>0</v>
      </c>
      <c r="H167" s="676"/>
      <c r="I167" s="675"/>
      <c r="J167" s="676"/>
      <c r="K167" s="761"/>
      <c r="L167" s="813"/>
    </row>
    <row r="168" spans="1:15" ht="18.95" hidden="1" customHeight="1">
      <c r="A168" s="904"/>
      <c r="B168" s="905"/>
      <c r="C168" s="910"/>
      <c r="D168" s="654"/>
      <c r="E168" s="693" t="s">
        <v>261</v>
      </c>
      <c r="F168" s="693"/>
      <c r="G168" s="675">
        <f>경비집계표!E43</f>
        <v>0</v>
      </c>
      <c r="H168" s="676"/>
      <c r="I168" s="675"/>
      <c r="J168" s="676"/>
      <c r="K168" s="761"/>
      <c r="L168" s="813"/>
    </row>
    <row r="169" spans="1:15" ht="18.95" hidden="1" customHeight="1">
      <c r="A169" s="906"/>
      <c r="B169" s="907"/>
      <c r="C169" s="914" t="s">
        <v>26</v>
      </c>
      <c r="D169" s="915"/>
      <c r="E169" s="915"/>
      <c r="F169" s="916"/>
      <c r="G169" s="675">
        <f>경비집계표!E44</f>
        <v>0</v>
      </c>
      <c r="H169" s="676"/>
      <c r="I169" s="765" t="e">
        <f>TRUNC(G169/$G$173*100,2)</f>
        <v>#DIV/0!</v>
      </c>
      <c r="J169" s="676"/>
      <c r="K169" s="761"/>
      <c r="L169" s="813" t="str">
        <f>경비집계표!$A$1&amp;"참조"</f>
        <v>&lt; 표 : 11 &gt; 참조</v>
      </c>
    </row>
    <row r="170" spans="1:15" ht="18.95" hidden="1" customHeight="1">
      <c r="A170" s="768"/>
      <c r="B170" s="884" t="s">
        <v>182</v>
      </c>
      <c r="C170" s="884"/>
      <c r="D170" s="884"/>
      <c r="E170" s="884"/>
      <c r="F170" s="769"/>
      <c r="G170" s="675">
        <f>SUM(G155,G169)</f>
        <v>0</v>
      </c>
      <c r="H170" s="676"/>
      <c r="I170" s="765" t="e">
        <f>TRUNC(G170/$G$173*100,2)</f>
        <v>#DIV/0!</v>
      </c>
      <c r="J170" s="676"/>
      <c r="K170" s="761"/>
      <c r="L170" s="813" t="s">
        <v>281</v>
      </c>
    </row>
    <row r="171" spans="1:15" ht="18.95" hidden="1" customHeight="1">
      <c r="A171" s="770"/>
      <c r="B171" s="883" t="s">
        <v>555</v>
      </c>
      <c r="C171" s="883"/>
      <c r="D171" s="883"/>
      <c r="E171" s="883"/>
      <c r="F171" s="771"/>
      <c r="G171" s="675">
        <f>TRUNC(G170*4%,0)</f>
        <v>0</v>
      </c>
      <c r="H171" s="676"/>
      <c r="I171" s="765" t="e">
        <f>TRUNC(G171/$G$173*100,2)</f>
        <v>#DIV/0!</v>
      </c>
      <c r="J171" s="676"/>
      <c r="K171" s="761"/>
      <c r="L171" s="820" t="s">
        <v>557</v>
      </c>
    </row>
    <row r="172" spans="1:15" ht="18.95" hidden="1" customHeight="1">
      <c r="A172" s="770"/>
      <c r="B172" s="883" t="s">
        <v>556</v>
      </c>
      <c r="C172" s="883"/>
      <c r="D172" s="883"/>
      <c r="E172" s="883"/>
      <c r="F172" s="771"/>
      <c r="G172" s="675">
        <f>TRUNC(SUM(G155,G169,G171)*6%,0)</f>
        <v>0</v>
      </c>
      <c r="H172" s="676"/>
      <c r="I172" s="765" t="e">
        <f>TRUNC(G172/$G$173*100,2)</f>
        <v>#DIV/0!</v>
      </c>
      <c r="J172" s="676"/>
      <c r="K172" s="761"/>
      <c r="L172" s="820" t="s">
        <v>558</v>
      </c>
      <c r="O172" s="772"/>
    </row>
    <row r="173" spans="1:15" ht="18.95" hidden="1" customHeight="1">
      <c r="A173" s="770"/>
      <c r="B173" s="884" t="s">
        <v>294</v>
      </c>
      <c r="C173" s="884"/>
      <c r="D173" s="884"/>
      <c r="E173" s="884"/>
      <c r="F173" s="771"/>
      <c r="G173" s="675">
        <f>SUM(G170:G172)</f>
        <v>0</v>
      </c>
      <c r="H173" s="676"/>
      <c r="I173" s="765" t="e">
        <f>TRUNC(G173/$G$173*100,2)</f>
        <v>#DIV/0!</v>
      </c>
      <c r="J173" s="676"/>
      <c r="K173" s="761"/>
      <c r="L173" s="813" t="s">
        <v>271</v>
      </c>
    </row>
    <row r="174" spans="1:15" ht="18.95" hidden="1" customHeight="1">
      <c r="A174" s="770"/>
      <c r="B174" s="901" t="s">
        <v>298</v>
      </c>
      <c r="C174" s="901"/>
      <c r="D174" s="901"/>
      <c r="E174" s="901"/>
      <c r="F174" s="771"/>
      <c r="G174" s="773">
        <f>TRUNC(G173*10%)</f>
        <v>0</v>
      </c>
      <c r="H174" s="774"/>
      <c r="I174" s="775"/>
      <c r="J174" s="774"/>
      <c r="K174" s="776"/>
      <c r="L174" s="814" t="s">
        <v>300</v>
      </c>
    </row>
    <row r="175" spans="1:15" ht="18.95" hidden="1" customHeight="1">
      <c r="A175" s="770"/>
      <c r="B175" s="901" t="s">
        <v>299</v>
      </c>
      <c r="C175" s="901"/>
      <c r="D175" s="901"/>
      <c r="E175" s="901"/>
      <c r="F175" s="771"/>
      <c r="G175" s="773">
        <f>SUM(G173:G174)</f>
        <v>0</v>
      </c>
      <c r="H175" s="774"/>
      <c r="I175" s="775"/>
      <c r="J175" s="774"/>
      <c r="K175" s="776"/>
      <c r="L175" s="814" t="s">
        <v>301</v>
      </c>
    </row>
    <row r="176" spans="1:15" ht="20.100000000000001" hidden="1" customHeight="1">
      <c r="A176" s="741"/>
      <c r="B176" s="741"/>
      <c r="C176" s="741"/>
      <c r="D176" s="741"/>
      <c r="E176" s="616"/>
      <c r="F176" s="616"/>
      <c r="G176" s="616"/>
      <c r="I176" s="690"/>
      <c r="L176" s="808"/>
      <c r="M176" s="690"/>
      <c r="N176" s="690"/>
      <c r="O176" s="690"/>
    </row>
    <row r="177" spans="1:15" s="619" customFormat="1" ht="39.950000000000003" hidden="1" customHeight="1">
      <c r="A177" s="617" t="s">
        <v>475</v>
      </c>
      <c r="B177" s="618"/>
      <c r="C177" s="743"/>
      <c r="D177" s="743"/>
      <c r="E177" s="742"/>
      <c r="F177" s="742"/>
      <c r="G177" s="747"/>
      <c r="H177" s="744"/>
      <c r="I177" s="748"/>
      <c r="J177" s="745"/>
      <c r="K177" s="748"/>
      <c r="L177" s="809"/>
    </row>
    <row r="178" spans="1:15" ht="20.100000000000001" hidden="1" customHeight="1">
      <c r="A178" s="749"/>
      <c r="B178" s="750"/>
      <c r="C178" s="749"/>
      <c r="D178" s="749"/>
      <c r="E178" s="750"/>
      <c r="F178" s="750"/>
      <c r="G178" s="751"/>
      <c r="H178" s="752"/>
      <c r="I178" s="753"/>
      <c r="J178" s="754"/>
      <c r="K178" s="753"/>
      <c r="L178" s="810"/>
      <c r="O178" s="619"/>
    </row>
    <row r="179" spans="1:15" ht="20.100000000000001" hidden="1" customHeight="1">
      <c r="A179" s="656" t="str">
        <f>"구 분 : "&amp;월기본급!B14&amp;"                       직종명 : "&amp;월기본급!F14&amp;""</f>
        <v xml:space="preserve">구 분 :                        직종명 : </v>
      </c>
      <c r="B179" s="612"/>
      <c r="C179" s="656"/>
      <c r="D179" s="656"/>
      <c r="G179" s="687"/>
      <c r="H179" s="687"/>
      <c r="I179" s="687"/>
      <c r="L179" s="811" t="s">
        <v>15</v>
      </c>
      <c r="O179" s="619"/>
    </row>
    <row r="180" spans="1:15" ht="20.100000000000001" hidden="1" customHeight="1">
      <c r="A180" s="755"/>
      <c r="B180" s="756"/>
      <c r="C180" s="756"/>
      <c r="D180" s="756"/>
      <c r="E180" s="757" t="s">
        <v>16</v>
      </c>
      <c r="F180" s="757"/>
      <c r="G180" s="917" t="s">
        <v>17</v>
      </c>
      <c r="H180" s="918"/>
      <c r="I180" s="917" t="s">
        <v>18</v>
      </c>
      <c r="J180" s="918"/>
      <c r="K180" s="777"/>
      <c r="L180" s="921" t="s">
        <v>19</v>
      </c>
      <c r="O180" s="619"/>
    </row>
    <row r="181" spans="1:15" ht="20.100000000000001" hidden="1" customHeight="1">
      <c r="A181" s="758" t="s">
        <v>20</v>
      </c>
      <c r="B181" s="759"/>
      <c r="C181" s="760"/>
      <c r="D181" s="760"/>
      <c r="E181" s="760"/>
      <c r="F181" s="760"/>
      <c r="G181" s="919"/>
      <c r="H181" s="920"/>
      <c r="I181" s="919"/>
      <c r="J181" s="920"/>
      <c r="K181" s="778"/>
      <c r="L181" s="922"/>
    </row>
    <row r="182" spans="1:15" ht="18.95" hidden="1" customHeight="1">
      <c r="A182" s="902" t="s">
        <v>204</v>
      </c>
      <c r="B182" s="903"/>
      <c r="C182" s="914" t="s">
        <v>21</v>
      </c>
      <c r="D182" s="915"/>
      <c r="E182" s="915"/>
      <c r="F182" s="916"/>
      <c r="G182" s="675">
        <f>단위당인건비!E101</f>
        <v>0</v>
      </c>
      <c r="H182" s="676"/>
      <c r="I182" s="675"/>
      <c r="J182" s="676"/>
      <c r="K182" s="761"/>
      <c r="L182" s="812"/>
    </row>
    <row r="183" spans="1:15" ht="18.95" hidden="1" customHeight="1">
      <c r="A183" s="904"/>
      <c r="B183" s="905"/>
      <c r="C183" s="908" t="s">
        <v>256</v>
      </c>
      <c r="D183" s="654"/>
      <c r="E183" s="693" t="s">
        <v>0</v>
      </c>
      <c r="F183" s="654"/>
      <c r="G183" s="675">
        <f>단위당인건비!E102</f>
        <v>0</v>
      </c>
      <c r="H183" s="676"/>
      <c r="I183" s="675"/>
      <c r="J183" s="676"/>
      <c r="K183" s="761"/>
      <c r="L183" s="812"/>
    </row>
    <row r="184" spans="1:15" ht="18.95" hidden="1" customHeight="1">
      <c r="A184" s="904"/>
      <c r="B184" s="905"/>
      <c r="C184" s="909"/>
      <c r="D184" s="654"/>
      <c r="E184" s="693" t="s">
        <v>229</v>
      </c>
      <c r="F184" s="762"/>
      <c r="G184" s="675">
        <f>단위당인건비!E103</f>
        <v>0</v>
      </c>
      <c r="H184" s="676"/>
      <c r="I184" s="675"/>
      <c r="J184" s="676"/>
      <c r="K184" s="761"/>
      <c r="L184" s="812"/>
    </row>
    <row r="185" spans="1:15" ht="18.95" hidden="1" customHeight="1">
      <c r="A185" s="904"/>
      <c r="B185" s="905"/>
      <c r="C185" s="909"/>
      <c r="D185" s="654"/>
      <c r="E185" s="693" t="s">
        <v>4</v>
      </c>
      <c r="F185" s="762"/>
      <c r="G185" s="675">
        <f>단위당인건비!E104</f>
        <v>0</v>
      </c>
      <c r="H185" s="676"/>
      <c r="I185" s="675"/>
      <c r="J185" s="676"/>
      <c r="K185" s="761"/>
      <c r="L185" s="812"/>
    </row>
    <row r="186" spans="1:15" ht="18.95" hidden="1" customHeight="1">
      <c r="A186" s="904"/>
      <c r="B186" s="905"/>
      <c r="C186" s="909"/>
      <c r="D186" s="654"/>
      <c r="E186" s="693" t="s">
        <v>257</v>
      </c>
      <c r="F186" s="762"/>
      <c r="G186" s="675">
        <f>단위당인건비!E105</f>
        <v>0</v>
      </c>
      <c r="H186" s="676"/>
      <c r="I186" s="675"/>
      <c r="J186" s="676"/>
      <c r="K186" s="761"/>
      <c r="L186" s="812"/>
    </row>
    <row r="187" spans="1:15" ht="18.95" hidden="1" customHeight="1">
      <c r="A187" s="904"/>
      <c r="B187" s="905"/>
      <c r="C187" s="910"/>
      <c r="D187" s="654"/>
      <c r="E187" s="763" t="s">
        <v>23</v>
      </c>
      <c r="F187" s="763"/>
      <c r="G187" s="675">
        <f>단위당인건비!E106</f>
        <v>0</v>
      </c>
      <c r="H187" s="676"/>
      <c r="I187" s="764"/>
      <c r="J187" s="676"/>
      <c r="K187" s="761"/>
      <c r="L187" s="813"/>
    </row>
    <row r="188" spans="1:15" ht="18.95" hidden="1" customHeight="1">
      <c r="A188" s="904"/>
      <c r="B188" s="905"/>
      <c r="C188" s="914" t="s">
        <v>24</v>
      </c>
      <c r="D188" s="915"/>
      <c r="E188" s="915"/>
      <c r="F188" s="916"/>
      <c r="G188" s="675">
        <f>단위당인건비!E107</f>
        <v>0</v>
      </c>
      <c r="H188" s="676"/>
      <c r="I188" s="764"/>
      <c r="J188" s="676"/>
      <c r="K188" s="761"/>
      <c r="L188" s="818"/>
    </row>
    <row r="189" spans="1:15" ht="18.95" hidden="1" customHeight="1">
      <c r="A189" s="904"/>
      <c r="B189" s="905"/>
      <c r="C189" s="914" t="s">
        <v>25</v>
      </c>
      <c r="D189" s="915"/>
      <c r="E189" s="915"/>
      <c r="F189" s="916"/>
      <c r="G189" s="675">
        <f>단위당인건비!E108</f>
        <v>0</v>
      </c>
      <c r="H189" s="676"/>
      <c r="I189" s="764"/>
      <c r="J189" s="676"/>
      <c r="K189" s="761"/>
      <c r="L189" s="818"/>
    </row>
    <row r="190" spans="1:15" ht="18.95" hidden="1" customHeight="1">
      <c r="A190" s="906"/>
      <c r="B190" s="907"/>
      <c r="C190" s="914" t="s">
        <v>26</v>
      </c>
      <c r="D190" s="915"/>
      <c r="E190" s="915"/>
      <c r="F190" s="916"/>
      <c r="G190" s="675">
        <f>단위당인건비!E109</f>
        <v>0</v>
      </c>
      <c r="H190" s="676"/>
      <c r="I190" s="765" t="e">
        <f>TRUNC(G190/$G$208*100,2)</f>
        <v>#DIV/0!</v>
      </c>
      <c r="J190" s="676"/>
      <c r="K190" s="761"/>
      <c r="L190" s="813" t="str">
        <f>단위당인건비!$A$1&amp;"참조"</f>
        <v>&lt; 표 : 4 &gt; 참조</v>
      </c>
    </row>
    <row r="191" spans="1:15" ht="18.95" hidden="1" customHeight="1">
      <c r="A191" s="902" t="s">
        <v>212</v>
      </c>
      <c r="B191" s="903"/>
      <c r="C191" s="908" t="s">
        <v>3</v>
      </c>
      <c r="D191" s="654"/>
      <c r="E191" s="693" t="s">
        <v>27</v>
      </c>
      <c r="F191" s="693"/>
      <c r="G191" s="675">
        <f>경비집계표!F31</f>
        <v>0</v>
      </c>
      <c r="H191" s="676"/>
      <c r="I191" s="675"/>
      <c r="J191" s="676"/>
      <c r="K191" s="761"/>
      <c r="L191" s="813"/>
      <c r="M191" s="766"/>
      <c r="N191" s="766"/>
    </row>
    <row r="192" spans="1:15" ht="18.95" hidden="1" customHeight="1">
      <c r="A192" s="904"/>
      <c r="B192" s="905"/>
      <c r="C192" s="909"/>
      <c r="D192" s="654"/>
      <c r="E192" s="693" t="s">
        <v>28</v>
      </c>
      <c r="F192" s="693"/>
      <c r="G192" s="675">
        <f>경비집계표!F32</f>
        <v>0</v>
      </c>
      <c r="H192" s="676"/>
      <c r="I192" s="675"/>
      <c r="J192" s="676"/>
      <c r="K192" s="761"/>
      <c r="L192" s="813"/>
      <c r="M192" s="766"/>
      <c r="N192" s="766"/>
    </row>
    <row r="193" spans="1:15" ht="18.95" hidden="1" customHeight="1">
      <c r="A193" s="904"/>
      <c r="B193" s="905"/>
      <c r="C193" s="909"/>
      <c r="D193" s="654"/>
      <c r="E193" s="693" t="s">
        <v>29</v>
      </c>
      <c r="F193" s="693"/>
      <c r="G193" s="675">
        <f>경비집계표!F33</f>
        <v>0</v>
      </c>
      <c r="H193" s="676"/>
      <c r="I193" s="675"/>
      <c r="J193" s="676"/>
      <c r="K193" s="761"/>
      <c r="L193" s="813"/>
      <c r="M193" s="766"/>
      <c r="N193" s="766"/>
    </row>
    <row r="194" spans="1:15" ht="18.95" hidden="1" customHeight="1">
      <c r="A194" s="904"/>
      <c r="B194" s="905"/>
      <c r="C194" s="909"/>
      <c r="D194" s="654"/>
      <c r="E194" s="693" t="s">
        <v>30</v>
      </c>
      <c r="F194" s="693"/>
      <c r="G194" s="675">
        <f>경비집계표!F34</f>
        <v>0</v>
      </c>
      <c r="H194" s="676"/>
      <c r="I194" s="675"/>
      <c r="J194" s="676"/>
      <c r="K194" s="761"/>
      <c r="L194" s="813"/>
      <c r="M194" s="766"/>
      <c r="N194" s="766"/>
    </row>
    <row r="195" spans="1:15" ht="18.95" hidden="1" customHeight="1">
      <c r="A195" s="904"/>
      <c r="B195" s="905"/>
      <c r="C195" s="909"/>
      <c r="D195" s="654"/>
      <c r="E195" s="721" t="s">
        <v>255</v>
      </c>
      <c r="F195" s="693"/>
      <c r="G195" s="675">
        <f>경비집계표!F35</f>
        <v>0</v>
      </c>
      <c r="H195" s="676"/>
      <c r="I195" s="675"/>
      <c r="J195" s="676"/>
      <c r="K195" s="761"/>
      <c r="L195" s="813"/>
      <c r="M195" s="766"/>
      <c r="N195" s="766"/>
    </row>
    <row r="196" spans="1:15" ht="18.95" hidden="1" customHeight="1">
      <c r="A196" s="904"/>
      <c r="B196" s="905"/>
      <c r="C196" s="909"/>
      <c r="D196" s="654"/>
      <c r="E196" s="693" t="s">
        <v>31</v>
      </c>
      <c r="F196" s="693"/>
      <c r="G196" s="675">
        <f>경비집계표!F36</f>
        <v>0</v>
      </c>
      <c r="H196" s="676"/>
      <c r="I196" s="675"/>
      <c r="J196" s="676"/>
      <c r="K196" s="761"/>
      <c r="L196" s="813"/>
      <c r="M196" s="766"/>
      <c r="N196" s="766"/>
    </row>
    <row r="197" spans="1:15" ht="18.95" hidden="1" customHeight="1">
      <c r="A197" s="904"/>
      <c r="B197" s="905"/>
      <c r="C197" s="910"/>
      <c r="D197" s="654"/>
      <c r="E197" s="763" t="s">
        <v>23</v>
      </c>
      <c r="F197" s="693"/>
      <c r="G197" s="675">
        <f>경비집계표!F37</f>
        <v>0</v>
      </c>
      <c r="H197" s="676"/>
      <c r="I197" s="675"/>
      <c r="J197" s="676"/>
      <c r="K197" s="761"/>
      <c r="L197" s="813"/>
      <c r="M197" s="767"/>
      <c r="N197" s="766"/>
    </row>
    <row r="198" spans="1:15" ht="18.95" hidden="1" customHeight="1">
      <c r="A198" s="904"/>
      <c r="B198" s="905"/>
      <c r="C198" s="911" t="s">
        <v>304</v>
      </c>
      <c r="D198" s="654"/>
      <c r="E198" s="693" t="s">
        <v>32</v>
      </c>
      <c r="F198" s="693"/>
      <c r="G198" s="675">
        <f>경비집계표!F38</f>
        <v>0</v>
      </c>
      <c r="H198" s="676"/>
      <c r="I198" s="675"/>
      <c r="J198" s="676"/>
      <c r="K198" s="761"/>
      <c r="L198" s="813"/>
    </row>
    <row r="199" spans="1:15" ht="18.95" hidden="1" customHeight="1">
      <c r="A199" s="904"/>
      <c r="B199" s="905"/>
      <c r="C199" s="912"/>
      <c r="D199" s="654"/>
      <c r="E199" s="693" t="s">
        <v>465</v>
      </c>
      <c r="F199" s="693"/>
      <c r="G199" s="675">
        <f>경비집계표!F39</f>
        <v>0</v>
      </c>
      <c r="H199" s="676"/>
      <c r="I199" s="675"/>
      <c r="J199" s="676"/>
      <c r="K199" s="761"/>
      <c r="L199" s="813"/>
    </row>
    <row r="200" spans="1:15" ht="18.95" hidden="1" customHeight="1">
      <c r="A200" s="904"/>
      <c r="B200" s="905"/>
      <c r="C200" s="912"/>
      <c r="D200" s="654"/>
      <c r="E200" s="693" t="s">
        <v>462</v>
      </c>
      <c r="F200" s="693"/>
      <c r="G200" s="675">
        <f>경비집계표!F40</f>
        <v>0</v>
      </c>
      <c r="H200" s="676"/>
      <c r="I200" s="675"/>
      <c r="J200" s="676"/>
      <c r="K200" s="761"/>
      <c r="L200" s="813"/>
    </row>
    <row r="201" spans="1:15" ht="18.95" hidden="1" customHeight="1">
      <c r="A201" s="904"/>
      <c r="B201" s="905"/>
      <c r="C201" s="913"/>
      <c r="D201" s="654"/>
      <c r="E201" s="763" t="s">
        <v>23</v>
      </c>
      <c r="F201" s="693"/>
      <c r="G201" s="675">
        <f>경비집계표!F41</f>
        <v>0</v>
      </c>
      <c r="H201" s="676"/>
      <c r="I201" s="675"/>
      <c r="J201" s="676"/>
      <c r="K201" s="761"/>
      <c r="L201" s="813"/>
    </row>
    <row r="202" spans="1:15" ht="18.95" hidden="1" customHeight="1">
      <c r="A202" s="904"/>
      <c r="B202" s="905"/>
      <c r="C202" s="908" t="s">
        <v>260</v>
      </c>
      <c r="D202" s="654"/>
      <c r="E202" s="693" t="s">
        <v>262</v>
      </c>
      <c r="F202" s="693"/>
      <c r="G202" s="675">
        <f>경비집계표!F42</f>
        <v>0</v>
      </c>
      <c r="H202" s="676"/>
      <c r="I202" s="675"/>
      <c r="J202" s="676"/>
      <c r="K202" s="761"/>
      <c r="L202" s="813"/>
    </row>
    <row r="203" spans="1:15" ht="18.95" hidden="1" customHeight="1">
      <c r="A203" s="904"/>
      <c r="B203" s="905"/>
      <c r="C203" s="910"/>
      <c r="D203" s="654"/>
      <c r="E203" s="693" t="s">
        <v>261</v>
      </c>
      <c r="F203" s="693"/>
      <c r="G203" s="675">
        <f>경비집계표!F43</f>
        <v>0</v>
      </c>
      <c r="H203" s="676"/>
      <c r="I203" s="675"/>
      <c r="J203" s="676"/>
      <c r="K203" s="761"/>
      <c r="L203" s="813"/>
    </row>
    <row r="204" spans="1:15" ht="18.95" hidden="1" customHeight="1">
      <c r="A204" s="906"/>
      <c r="B204" s="907"/>
      <c r="C204" s="914" t="s">
        <v>26</v>
      </c>
      <c r="D204" s="915"/>
      <c r="E204" s="915"/>
      <c r="F204" s="916"/>
      <c r="G204" s="675">
        <f>경비집계표!F44</f>
        <v>0</v>
      </c>
      <c r="H204" s="676"/>
      <c r="I204" s="765" t="e">
        <f>TRUNC(G204/$G$208*100,2)</f>
        <v>#DIV/0!</v>
      </c>
      <c r="J204" s="676"/>
      <c r="K204" s="761"/>
      <c r="L204" s="813" t="str">
        <f>경비집계표!$A$1&amp;"참조"</f>
        <v>&lt; 표 : 11 &gt; 참조</v>
      </c>
    </row>
    <row r="205" spans="1:15" ht="18.95" hidden="1" customHeight="1">
      <c r="A205" s="768"/>
      <c r="B205" s="884" t="s">
        <v>182</v>
      </c>
      <c r="C205" s="884"/>
      <c r="D205" s="884"/>
      <c r="E205" s="884"/>
      <c r="F205" s="769"/>
      <c r="G205" s="675">
        <f>SUM(G190,G204)</f>
        <v>0</v>
      </c>
      <c r="H205" s="676"/>
      <c r="I205" s="765" t="e">
        <f>TRUNC(G205/$G$208*100,2)</f>
        <v>#DIV/0!</v>
      </c>
      <c r="J205" s="676"/>
      <c r="K205" s="761"/>
      <c r="L205" s="813" t="s">
        <v>281</v>
      </c>
    </row>
    <row r="206" spans="1:15" ht="18.95" hidden="1" customHeight="1">
      <c r="A206" s="770"/>
      <c r="B206" s="883" t="s">
        <v>555</v>
      </c>
      <c r="C206" s="883"/>
      <c r="D206" s="883"/>
      <c r="E206" s="883"/>
      <c r="F206" s="771"/>
      <c r="G206" s="675">
        <f>TRUNC(G205*4%,0)</f>
        <v>0</v>
      </c>
      <c r="H206" s="676"/>
      <c r="I206" s="765" t="e">
        <f>TRUNC(G206/$G$208*100,2)</f>
        <v>#DIV/0!</v>
      </c>
      <c r="J206" s="676"/>
      <c r="K206" s="761"/>
      <c r="L206" s="820" t="s">
        <v>557</v>
      </c>
    </row>
    <row r="207" spans="1:15" ht="18.95" hidden="1" customHeight="1">
      <c r="A207" s="770"/>
      <c r="B207" s="883" t="s">
        <v>556</v>
      </c>
      <c r="C207" s="883"/>
      <c r="D207" s="883"/>
      <c r="E207" s="883"/>
      <c r="F207" s="771"/>
      <c r="G207" s="675">
        <f>TRUNC(SUM(G190,G204,G206)*6%,0)</f>
        <v>0</v>
      </c>
      <c r="H207" s="676"/>
      <c r="I207" s="765" t="e">
        <f>TRUNC(G207/$G$208*100,2)</f>
        <v>#DIV/0!</v>
      </c>
      <c r="J207" s="676"/>
      <c r="K207" s="761"/>
      <c r="L207" s="820" t="s">
        <v>558</v>
      </c>
      <c r="O207" s="772"/>
    </row>
    <row r="208" spans="1:15" ht="18.95" hidden="1" customHeight="1">
      <c r="A208" s="770"/>
      <c r="B208" s="884" t="s">
        <v>294</v>
      </c>
      <c r="C208" s="884"/>
      <c r="D208" s="884"/>
      <c r="E208" s="884"/>
      <c r="F208" s="771"/>
      <c r="G208" s="675">
        <f>SUM(G205:G207)</f>
        <v>0</v>
      </c>
      <c r="H208" s="676"/>
      <c r="I208" s="765" t="e">
        <f>TRUNC(G208/$G$208*100,2)</f>
        <v>#DIV/0!</v>
      </c>
      <c r="J208" s="676"/>
      <c r="K208" s="761"/>
      <c r="L208" s="813" t="s">
        <v>271</v>
      </c>
    </row>
    <row r="209" spans="1:15" ht="18.95" hidden="1" customHeight="1">
      <c r="A209" s="770"/>
      <c r="B209" s="901" t="s">
        <v>298</v>
      </c>
      <c r="C209" s="901"/>
      <c r="D209" s="901"/>
      <c r="E209" s="901"/>
      <c r="F209" s="771"/>
      <c r="G209" s="773">
        <f>TRUNC(G208*10%)</f>
        <v>0</v>
      </c>
      <c r="H209" s="774"/>
      <c r="I209" s="775"/>
      <c r="J209" s="774"/>
      <c r="K209" s="776"/>
      <c r="L209" s="814" t="s">
        <v>300</v>
      </c>
    </row>
    <row r="210" spans="1:15" ht="18.95" hidden="1" customHeight="1">
      <c r="A210" s="770"/>
      <c r="B210" s="901" t="s">
        <v>299</v>
      </c>
      <c r="C210" s="901"/>
      <c r="D210" s="901"/>
      <c r="E210" s="901"/>
      <c r="F210" s="771"/>
      <c r="G210" s="773">
        <f>SUM(G208:G209)</f>
        <v>0</v>
      </c>
      <c r="H210" s="774"/>
      <c r="I210" s="775"/>
      <c r="J210" s="774"/>
      <c r="K210" s="776"/>
      <c r="L210" s="814" t="s">
        <v>301</v>
      </c>
    </row>
    <row r="211" spans="1:15" ht="20.100000000000001" hidden="1" customHeight="1">
      <c r="A211" s="741"/>
      <c r="B211" s="741"/>
      <c r="C211" s="741"/>
      <c r="D211" s="741"/>
      <c r="E211" s="616"/>
      <c r="F211" s="616"/>
      <c r="G211" s="616"/>
      <c r="I211" s="690"/>
      <c r="L211" s="808"/>
      <c r="M211" s="690"/>
      <c r="N211" s="690"/>
      <c r="O211" s="690"/>
    </row>
    <row r="212" spans="1:15" s="619" customFormat="1" ht="39.950000000000003" hidden="1" customHeight="1">
      <c r="A212" s="617" t="s">
        <v>475</v>
      </c>
      <c r="B212" s="618"/>
      <c r="C212" s="743"/>
      <c r="D212" s="743"/>
      <c r="E212" s="742"/>
      <c r="F212" s="742"/>
      <c r="G212" s="747"/>
      <c r="H212" s="744"/>
      <c r="I212" s="748"/>
      <c r="J212" s="745"/>
      <c r="K212" s="748"/>
      <c r="L212" s="809"/>
    </row>
    <row r="213" spans="1:15" ht="20.100000000000001" hidden="1" customHeight="1">
      <c r="A213" s="749"/>
      <c r="B213" s="750"/>
      <c r="C213" s="749"/>
      <c r="D213" s="749"/>
      <c r="E213" s="750"/>
      <c r="F213" s="750"/>
      <c r="G213" s="751"/>
      <c r="H213" s="752"/>
      <c r="I213" s="753"/>
      <c r="J213" s="754"/>
      <c r="K213" s="753"/>
      <c r="L213" s="810"/>
      <c r="O213" s="619"/>
    </row>
    <row r="214" spans="1:15" ht="20.100000000000001" hidden="1" customHeight="1">
      <c r="A214" s="656" t="str">
        <f>"구 분 : "&amp;월기본급!B15&amp;"                       직종명 : "&amp;월기본급!F15&amp;""</f>
        <v xml:space="preserve">구 분 :                        직종명 : </v>
      </c>
      <c r="B214" s="612"/>
      <c r="C214" s="656"/>
      <c r="D214" s="656"/>
      <c r="G214" s="687"/>
      <c r="H214" s="687"/>
      <c r="I214" s="687"/>
      <c r="L214" s="811" t="s">
        <v>15</v>
      </c>
      <c r="O214" s="619"/>
    </row>
    <row r="215" spans="1:15" ht="20.100000000000001" hidden="1" customHeight="1">
      <c r="A215" s="755"/>
      <c r="B215" s="756"/>
      <c r="C215" s="756"/>
      <c r="D215" s="756"/>
      <c r="E215" s="757" t="s">
        <v>16</v>
      </c>
      <c r="F215" s="757"/>
      <c r="G215" s="917" t="s">
        <v>17</v>
      </c>
      <c r="H215" s="918"/>
      <c r="I215" s="917" t="s">
        <v>18</v>
      </c>
      <c r="J215" s="918"/>
      <c r="K215" s="777"/>
      <c r="L215" s="921" t="s">
        <v>19</v>
      </c>
      <c r="O215" s="619"/>
    </row>
    <row r="216" spans="1:15" ht="20.100000000000001" hidden="1" customHeight="1">
      <c r="A216" s="758" t="s">
        <v>20</v>
      </c>
      <c r="B216" s="759"/>
      <c r="C216" s="760"/>
      <c r="D216" s="760"/>
      <c r="E216" s="760"/>
      <c r="F216" s="760"/>
      <c r="G216" s="919"/>
      <c r="H216" s="920"/>
      <c r="I216" s="919"/>
      <c r="J216" s="920"/>
      <c r="K216" s="778"/>
      <c r="L216" s="922"/>
    </row>
    <row r="217" spans="1:15" ht="18.95" hidden="1" customHeight="1">
      <c r="A217" s="902" t="s">
        <v>204</v>
      </c>
      <c r="B217" s="903"/>
      <c r="C217" s="914" t="s">
        <v>21</v>
      </c>
      <c r="D217" s="915"/>
      <c r="E217" s="915"/>
      <c r="F217" s="916"/>
      <c r="G217" s="675">
        <f>단위당인건비!E120</f>
        <v>0</v>
      </c>
      <c r="H217" s="676"/>
      <c r="I217" s="675"/>
      <c r="J217" s="676"/>
      <c r="K217" s="761"/>
      <c r="L217" s="812"/>
    </row>
    <row r="218" spans="1:15" ht="18.95" hidden="1" customHeight="1">
      <c r="A218" s="904"/>
      <c r="B218" s="905"/>
      <c r="C218" s="908" t="s">
        <v>256</v>
      </c>
      <c r="D218" s="654"/>
      <c r="E218" s="693" t="s">
        <v>0</v>
      </c>
      <c r="F218" s="654"/>
      <c r="G218" s="675">
        <f>단위당인건비!E121</f>
        <v>0</v>
      </c>
      <c r="H218" s="676"/>
      <c r="I218" s="675"/>
      <c r="J218" s="676"/>
      <c r="K218" s="761"/>
      <c r="L218" s="812"/>
    </row>
    <row r="219" spans="1:15" ht="18.95" hidden="1" customHeight="1">
      <c r="A219" s="904"/>
      <c r="B219" s="905"/>
      <c r="C219" s="909"/>
      <c r="D219" s="654"/>
      <c r="E219" s="693" t="s">
        <v>209</v>
      </c>
      <c r="F219" s="762"/>
      <c r="G219" s="675">
        <f>단위당인건비!E122</f>
        <v>0</v>
      </c>
      <c r="H219" s="676"/>
      <c r="I219" s="675"/>
      <c r="J219" s="676"/>
      <c r="K219" s="761"/>
      <c r="L219" s="812"/>
    </row>
    <row r="220" spans="1:15" ht="18.95" hidden="1" customHeight="1">
      <c r="A220" s="904"/>
      <c r="B220" s="905"/>
      <c r="C220" s="909"/>
      <c r="D220" s="654"/>
      <c r="E220" s="693" t="s">
        <v>4</v>
      </c>
      <c r="F220" s="762"/>
      <c r="G220" s="675">
        <f>단위당인건비!E123</f>
        <v>0</v>
      </c>
      <c r="H220" s="676"/>
      <c r="I220" s="675"/>
      <c r="J220" s="676"/>
      <c r="K220" s="761"/>
      <c r="L220" s="812"/>
    </row>
    <row r="221" spans="1:15" ht="18.95" hidden="1" customHeight="1">
      <c r="A221" s="904"/>
      <c r="B221" s="905"/>
      <c r="C221" s="909"/>
      <c r="D221" s="654"/>
      <c r="E221" s="693" t="s">
        <v>257</v>
      </c>
      <c r="F221" s="762"/>
      <c r="G221" s="675">
        <f>단위당인건비!E124</f>
        <v>0</v>
      </c>
      <c r="H221" s="676"/>
      <c r="I221" s="675"/>
      <c r="J221" s="676"/>
      <c r="K221" s="761"/>
      <c r="L221" s="812"/>
    </row>
    <row r="222" spans="1:15" ht="18.95" hidden="1" customHeight="1">
      <c r="A222" s="904"/>
      <c r="B222" s="905"/>
      <c r="C222" s="910"/>
      <c r="D222" s="654"/>
      <c r="E222" s="763" t="s">
        <v>23</v>
      </c>
      <c r="F222" s="763"/>
      <c r="G222" s="675">
        <f>단위당인건비!E125</f>
        <v>0</v>
      </c>
      <c r="H222" s="676"/>
      <c r="I222" s="764"/>
      <c r="J222" s="676"/>
      <c r="K222" s="761"/>
      <c r="L222" s="813"/>
    </row>
    <row r="223" spans="1:15" ht="18.95" hidden="1" customHeight="1">
      <c r="A223" s="904"/>
      <c r="B223" s="905"/>
      <c r="C223" s="914" t="s">
        <v>24</v>
      </c>
      <c r="D223" s="915"/>
      <c r="E223" s="915"/>
      <c r="F223" s="916"/>
      <c r="G223" s="675">
        <f>단위당인건비!E126</f>
        <v>0</v>
      </c>
      <c r="H223" s="676"/>
      <c r="I223" s="764"/>
      <c r="J223" s="676"/>
      <c r="K223" s="761"/>
      <c r="L223" s="818"/>
    </row>
    <row r="224" spans="1:15" ht="18.95" hidden="1" customHeight="1">
      <c r="A224" s="904"/>
      <c r="B224" s="905"/>
      <c r="C224" s="914" t="s">
        <v>25</v>
      </c>
      <c r="D224" s="915"/>
      <c r="E224" s="915"/>
      <c r="F224" s="916"/>
      <c r="G224" s="675">
        <f>단위당인건비!E127</f>
        <v>0</v>
      </c>
      <c r="H224" s="676"/>
      <c r="I224" s="764"/>
      <c r="J224" s="676"/>
      <c r="K224" s="761"/>
      <c r="L224" s="818"/>
    </row>
    <row r="225" spans="1:14" ht="18.95" hidden="1" customHeight="1">
      <c r="A225" s="906"/>
      <c r="B225" s="907"/>
      <c r="C225" s="914" t="s">
        <v>26</v>
      </c>
      <c r="D225" s="915"/>
      <c r="E225" s="915"/>
      <c r="F225" s="916"/>
      <c r="G225" s="675">
        <f>단위당인건비!E128</f>
        <v>0</v>
      </c>
      <c r="H225" s="676"/>
      <c r="I225" s="765" t="e">
        <f>TRUNC(G225/$G$243*100,2)</f>
        <v>#DIV/0!</v>
      </c>
      <c r="J225" s="676"/>
      <c r="K225" s="761"/>
      <c r="L225" s="813" t="str">
        <f>단위당인건비!$A$1&amp;"참조"</f>
        <v>&lt; 표 : 4 &gt; 참조</v>
      </c>
    </row>
    <row r="226" spans="1:14" ht="18.95" hidden="1" customHeight="1">
      <c r="A226" s="902" t="s">
        <v>212</v>
      </c>
      <c r="B226" s="903"/>
      <c r="C226" s="908" t="s">
        <v>3</v>
      </c>
      <c r="D226" s="654"/>
      <c r="E226" s="693" t="s">
        <v>27</v>
      </c>
      <c r="F226" s="693"/>
      <c r="G226" s="675">
        <f>경비집계표!G31</f>
        <v>0</v>
      </c>
      <c r="H226" s="676"/>
      <c r="I226" s="675"/>
      <c r="J226" s="676"/>
      <c r="K226" s="761"/>
      <c r="L226" s="813"/>
      <c r="M226" s="766"/>
      <c r="N226" s="766"/>
    </row>
    <row r="227" spans="1:14" ht="18.95" hidden="1" customHeight="1">
      <c r="A227" s="904"/>
      <c r="B227" s="905"/>
      <c r="C227" s="909"/>
      <c r="D227" s="654"/>
      <c r="E227" s="693" t="s">
        <v>28</v>
      </c>
      <c r="F227" s="693"/>
      <c r="G227" s="675">
        <f>경비집계표!G32</f>
        <v>0</v>
      </c>
      <c r="H227" s="676"/>
      <c r="I227" s="675"/>
      <c r="J227" s="676"/>
      <c r="K227" s="761"/>
      <c r="L227" s="813"/>
      <c r="M227" s="766"/>
      <c r="N227" s="766"/>
    </row>
    <row r="228" spans="1:14" ht="18.95" hidden="1" customHeight="1">
      <c r="A228" s="904"/>
      <c r="B228" s="905"/>
      <c r="C228" s="909"/>
      <c r="D228" s="654"/>
      <c r="E228" s="693" t="s">
        <v>29</v>
      </c>
      <c r="F228" s="693"/>
      <c r="G228" s="675">
        <f>경비집계표!G33</f>
        <v>0</v>
      </c>
      <c r="H228" s="676"/>
      <c r="I228" s="675"/>
      <c r="J228" s="676"/>
      <c r="K228" s="761"/>
      <c r="L228" s="813"/>
      <c r="M228" s="766"/>
      <c r="N228" s="766"/>
    </row>
    <row r="229" spans="1:14" ht="18.95" hidden="1" customHeight="1">
      <c r="A229" s="904"/>
      <c r="B229" s="905"/>
      <c r="C229" s="909"/>
      <c r="D229" s="654"/>
      <c r="E229" s="693" t="s">
        <v>30</v>
      </c>
      <c r="F229" s="693"/>
      <c r="G229" s="675">
        <f>경비집계표!G34</f>
        <v>0</v>
      </c>
      <c r="H229" s="676"/>
      <c r="I229" s="675"/>
      <c r="J229" s="676"/>
      <c r="K229" s="761"/>
      <c r="L229" s="813"/>
      <c r="M229" s="766"/>
      <c r="N229" s="766"/>
    </row>
    <row r="230" spans="1:14" ht="18.95" hidden="1" customHeight="1">
      <c r="A230" s="904"/>
      <c r="B230" s="905"/>
      <c r="C230" s="909"/>
      <c r="D230" s="654"/>
      <c r="E230" s="721" t="s">
        <v>255</v>
      </c>
      <c r="F230" s="693"/>
      <c r="G230" s="675">
        <f>경비집계표!G35</f>
        <v>0</v>
      </c>
      <c r="H230" s="676"/>
      <c r="I230" s="675"/>
      <c r="J230" s="676"/>
      <c r="K230" s="761"/>
      <c r="L230" s="813"/>
      <c r="M230" s="766"/>
      <c r="N230" s="766"/>
    </row>
    <row r="231" spans="1:14" ht="18.95" hidden="1" customHeight="1">
      <c r="A231" s="904"/>
      <c r="B231" s="905"/>
      <c r="C231" s="909"/>
      <c r="D231" s="654"/>
      <c r="E231" s="693" t="s">
        <v>31</v>
      </c>
      <c r="F231" s="693"/>
      <c r="G231" s="675">
        <f>경비집계표!G36</f>
        <v>0</v>
      </c>
      <c r="H231" s="676"/>
      <c r="I231" s="675"/>
      <c r="J231" s="676"/>
      <c r="K231" s="761"/>
      <c r="L231" s="813"/>
      <c r="M231" s="766"/>
      <c r="N231" s="766"/>
    </row>
    <row r="232" spans="1:14" ht="18.95" hidden="1" customHeight="1">
      <c r="A232" s="904"/>
      <c r="B232" s="905"/>
      <c r="C232" s="910"/>
      <c r="D232" s="654"/>
      <c r="E232" s="763" t="s">
        <v>23</v>
      </c>
      <c r="F232" s="693"/>
      <c r="G232" s="675">
        <f>경비집계표!G37</f>
        <v>0</v>
      </c>
      <c r="H232" s="676"/>
      <c r="I232" s="675"/>
      <c r="J232" s="676"/>
      <c r="K232" s="761"/>
      <c r="L232" s="813"/>
      <c r="M232" s="767"/>
      <c r="N232" s="766"/>
    </row>
    <row r="233" spans="1:14" ht="18.95" hidden="1" customHeight="1">
      <c r="A233" s="904"/>
      <c r="B233" s="905"/>
      <c r="C233" s="911" t="s">
        <v>304</v>
      </c>
      <c r="D233" s="654"/>
      <c r="E233" s="693" t="s">
        <v>32</v>
      </c>
      <c r="F233" s="693"/>
      <c r="G233" s="675">
        <f>경비집계표!G38</f>
        <v>0</v>
      </c>
      <c r="H233" s="676"/>
      <c r="I233" s="675"/>
      <c r="J233" s="676"/>
      <c r="K233" s="761"/>
      <c r="L233" s="813"/>
    </row>
    <row r="234" spans="1:14" ht="18.95" hidden="1" customHeight="1">
      <c r="A234" s="904"/>
      <c r="B234" s="905"/>
      <c r="C234" s="912"/>
      <c r="D234" s="654"/>
      <c r="E234" s="693" t="s">
        <v>465</v>
      </c>
      <c r="F234" s="693"/>
      <c r="G234" s="675">
        <f>경비집계표!G39</f>
        <v>0</v>
      </c>
      <c r="H234" s="676"/>
      <c r="I234" s="675"/>
      <c r="J234" s="676"/>
      <c r="K234" s="761"/>
      <c r="L234" s="813"/>
    </row>
    <row r="235" spans="1:14" ht="18.95" hidden="1" customHeight="1">
      <c r="A235" s="904"/>
      <c r="B235" s="905"/>
      <c r="C235" s="912"/>
      <c r="D235" s="654"/>
      <c r="E235" s="693" t="s">
        <v>462</v>
      </c>
      <c r="F235" s="693"/>
      <c r="G235" s="675">
        <f>경비집계표!G40</f>
        <v>0</v>
      </c>
      <c r="H235" s="676"/>
      <c r="I235" s="675"/>
      <c r="J235" s="676"/>
      <c r="K235" s="761"/>
      <c r="L235" s="813"/>
    </row>
    <row r="236" spans="1:14" ht="18.95" hidden="1" customHeight="1">
      <c r="A236" s="904"/>
      <c r="B236" s="905"/>
      <c r="C236" s="913"/>
      <c r="D236" s="654"/>
      <c r="E236" s="763" t="s">
        <v>23</v>
      </c>
      <c r="F236" s="693"/>
      <c r="G236" s="675">
        <f>경비집계표!G41</f>
        <v>0</v>
      </c>
      <c r="H236" s="676"/>
      <c r="I236" s="675"/>
      <c r="J236" s="676"/>
      <c r="K236" s="761"/>
      <c r="L236" s="813"/>
    </row>
    <row r="237" spans="1:14" ht="18.95" hidden="1" customHeight="1">
      <c r="A237" s="904"/>
      <c r="B237" s="905"/>
      <c r="C237" s="908" t="s">
        <v>260</v>
      </c>
      <c r="D237" s="654"/>
      <c r="E237" s="693" t="s">
        <v>262</v>
      </c>
      <c r="F237" s="693"/>
      <c r="G237" s="675">
        <f>경비집계표!G42</f>
        <v>0</v>
      </c>
      <c r="H237" s="676"/>
      <c r="I237" s="675"/>
      <c r="J237" s="676"/>
      <c r="K237" s="761"/>
      <c r="L237" s="813"/>
    </row>
    <row r="238" spans="1:14" ht="18.95" hidden="1" customHeight="1">
      <c r="A238" s="904"/>
      <c r="B238" s="905"/>
      <c r="C238" s="910"/>
      <c r="D238" s="654"/>
      <c r="E238" s="693" t="s">
        <v>261</v>
      </c>
      <c r="F238" s="693"/>
      <c r="G238" s="675">
        <f>경비집계표!G43</f>
        <v>0</v>
      </c>
      <c r="H238" s="676"/>
      <c r="I238" s="675"/>
      <c r="J238" s="676"/>
      <c r="K238" s="761"/>
      <c r="L238" s="813"/>
    </row>
    <row r="239" spans="1:14" ht="18.95" hidden="1" customHeight="1">
      <c r="A239" s="906"/>
      <c r="B239" s="907"/>
      <c r="C239" s="914" t="s">
        <v>26</v>
      </c>
      <c r="D239" s="915"/>
      <c r="E239" s="915"/>
      <c r="F239" s="916"/>
      <c r="G239" s="675">
        <f>경비집계표!G44</f>
        <v>0</v>
      </c>
      <c r="H239" s="676"/>
      <c r="I239" s="765" t="e">
        <f>ROUNDUP(G239/$G$243*100,2)</f>
        <v>#DIV/0!</v>
      </c>
      <c r="J239" s="676"/>
      <c r="K239" s="761"/>
      <c r="L239" s="813" t="str">
        <f>경비집계표!$A$1&amp;"참조"</f>
        <v>&lt; 표 : 11 &gt; 참조</v>
      </c>
    </row>
    <row r="240" spans="1:14" ht="18.95" hidden="1" customHeight="1">
      <c r="A240" s="768"/>
      <c r="B240" s="884" t="s">
        <v>182</v>
      </c>
      <c r="C240" s="884"/>
      <c r="D240" s="884"/>
      <c r="E240" s="884"/>
      <c r="F240" s="769"/>
      <c r="G240" s="675">
        <f>SUM(G225,G239)</f>
        <v>0</v>
      </c>
      <c r="H240" s="676"/>
      <c r="I240" s="765" t="e">
        <f>TRUNC(G240/$G$243*100,2)</f>
        <v>#DIV/0!</v>
      </c>
      <c r="J240" s="676"/>
      <c r="K240" s="761"/>
      <c r="L240" s="813" t="s">
        <v>281</v>
      </c>
    </row>
    <row r="241" spans="1:15" ht="18.95" hidden="1" customHeight="1">
      <c r="A241" s="770"/>
      <c r="B241" s="883" t="s">
        <v>555</v>
      </c>
      <c r="C241" s="883"/>
      <c r="D241" s="883"/>
      <c r="E241" s="883"/>
      <c r="F241" s="771"/>
      <c r="G241" s="675">
        <f>TRUNC(G240*4%,0)</f>
        <v>0</v>
      </c>
      <c r="H241" s="676"/>
      <c r="I241" s="765" t="e">
        <f>TRUNC(G241/$G$243*100,2)</f>
        <v>#DIV/0!</v>
      </c>
      <c r="J241" s="676"/>
      <c r="K241" s="761"/>
      <c r="L241" s="820" t="s">
        <v>557</v>
      </c>
    </row>
    <row r="242" spans="1:15" ht="18.95" hidden="1" customHeight="1">
      <c r="A242" s="770"/>
      <c r="B242" s="883" t="s">
        <v>556</v>
      </c>
      <c r="C242" s="883"/>
      <c r="D242" s="883"/>
      <c r="E242" s="883"/>
      <c r="F242" s="771"/>
      <c r="G242" s="675">
        <f>TRUNC(SUM(G225,G239,G241)*6%,0)</f>
        <v>0</v>
      </c>
      <c r="H242" s="676"/>
      <c r="I242" s="765" t="e">
        <f>TRUNC(G242/$G$243*100,2)</f>
        <v>#DIV/0!</v>
      </c>
      <c r="J242" s="676"/>
      <c r="K242" s="761"/>
      <c r="L242" s="820" t="s">
        <v>558</v>
      </c>
      <c r="O242" s="772"/>
    </row>
    <row r="243" spans="1:15" ht="18.95" hidden="1" customHeight="1">
      <c r="A243" s="770"/>
      <c r="B243" s="884" t="s">
        <v>294</v>
      </c>
      <c r="C243" s="884"/>
      <c r="D243" s="884"/>
      <c r="E243" s="884"/>
      <c r="F243" s="771"/>
      <c r="G243" s="675">
        <f>SUM(G240:G242)</f>
        <v>0</v>
      </c>
      <c r="H243" s="676"/>
      <c r="I243" s="765" t="e">
        <f>TRUNC(G243/$G$243*100,2)</f>
        <v>#DIV/0!</v>
      </c>
      <c r="J243" s="676"/>
      <c r="K243" s="761"/>
      <c r="L243" s="813" t="s">
        <v>271</v>
      </c>
    </row>
    <row r="244" spans="1:15" ht="18.95" hidden="1" customHeight="1">
      <c r="A244" s="770"/>
      <c r="B244" s="901" t="s">
        <v>298</v>
      </c>
      <c r="C244" s="901"/>
      <c r="D244" s="901"/>
      <c r="E244" s="901"/>
      <c r="F244" s="771"/>
      <c r="G244" s="773">
        <f>TRUNC(G243*10%)</f>
        <v>0</v>
      </c>
      <c r="H244" s="774"/>
      <c r="I244" s="775"/>
      <c r="J244" s="774"/>
      <c r="K244" s="776"/>
      <c r="L244" s="814" t="s">
        <v>300</v>
      </c>
    </row>
    <row r="245" spans="1:15" ht="18.95" hidden="1" customHeight="1">
      <c r="A245" s="770"/>
      <c r="B245" s="901" t="s">
        <v>299</v>
      </c>
      <c r="C245" s="901"/>
      <c r="D245" s="901"/>
      <c r="E245" s="901"/>
      <c r="F245" s="771"/>
      <c r="G245" s="773">
        <f>SUM(G243:G244)</f>
        <v>0</v>
      </c>
      <c r="H245" s="774"/>
      <c r="I245" s="775"/>
      <c r="J245" s="774"/>
      <c r="K245" s="776"/>
      <c r="L245" s="814" t="s">
        <v>301</v>
      </c>
    </row>
    <row r="246" spans="1:15" ht="20.100000000000001" hidden="1" customHeight="1">
      <c r="A246" s="741"/>
      <c r="B246" s="741"/>
      <c r="C246" s="741"/>
      <c r="D246" s="741"/>
      <c r="E246" s="616"/>
      <c r="F246" s="616"/>
      <c r="G246" s="616"/>
      <c r="I246" s="690"/>
      <c r="L246" s="808"/>
      <c r="M246" s="690"/>
      <c r="N246" s="690"/>
      <c r="O246" s="690"/>
    </row>
    <row r="247" spans="1:15" s="619" customFormat="1" ht="39.950000000000003" hidden="1" customHeight="1">
      <c r="A247" s="617" t="s">
        <v>475</v>
      </c>
      <c r="B247" s="618"/>
      <c r="C247" s="743"/>
      <c r="D247" s="743"/>
      <c r="E247" s="742"/>
      <c r="F247" s="742"/>
      <c r="G247" s="747"/>
      <c r="H247" s="744"/>
      <c r="I247" s="748"/>
      <c r="J247" s="745"/>
      <c r="K247" s="748"/>
      <c r="L247" s="809"/>
    </row>
    <row r="248" spans="1:15" ht="20.100000000000001" hidden="1" customHeight="1">
      <c r="A248" s="749"/>
      <c r="B248" s="750"/>
      <c r="C248" s="749"/>
      <c r="D248" s="749"/>
      <c r="E248" s="750"/>
      <c r="F248" s="750"/>
      <c r="G248" s="751"/>
      <c r="H248" s="752"/>
      <c r="I248" s="753"/>
      <c r="J248" s="754"/>
      <c r="K248" s="753"/>
      <c r="L248" s="810"/>
      <c r="O248" s="619"/>
    </row>
    <row r="249" spans="1:15" ht="20.100000000000001" hidden="1" customHeight="1">
      <c r="A249" s="656" t="str">
        <f>"구 분 : "&amp;월기본급!B16&amp;"                       직종명 : "&amp;월기본급!F16&amp;""</f>
        <v xml:space="preserve">구 분 :                        직종명 : </v>
      </c>
      <c r="B249" s="612"/>
      <c r="C249" s="656"/>
      <c r="D249" s="656"/>
      <c r="G249" s="687"/>
      <c r="H249" s="687"/>
      <c r="I249" s="687"/>
      <c r="L249" s="811" t="s">
        <v>15</v>
      </c>
      <c r="O249" s="619"/>
    </row>
    <row r="250" spans="1:15" ht="20.100000000000001" hidden="1" customHeight="1">
      <c r="A250" s="755"/>
      <c r="B250" s="756"/>
      <c r="C250" s="756"/>
      <c r="D250" s="756"/>
      <c r="E250" s="757" t="s">
        <v>16</v>
      </c>
      <c r="F250" s="757"/>
      <c r="G250" s="917" t="s">
        <v>17</v>
      </c>
      <c r="H250" s="918"/>
      <c r="I250" s="917" t="s">
        <v>18</v>
      </c>
      <c r="J250" s="918"/>
      <c r="K250" s="777"/>
      <c r="L250" s="921" t="s">
        <v>19</v>
      </c>
      <c r="O250" s="619"/>
    </row>
    <row r="251" spans="1:15" ht="20.100000000000001" hidden="1" customHeight="1">
      <c r="A251" s="758" t="s">
        <v>20</v>
      </c>
      <c r="B251" s="759"/>
      <c r="C251" s="760"/>
      <c r="D251" s="760"/>
      <c r="E251" s="760"/>
      <c r="F251" s="760"/>
      <c r="G251" s="919"/>
      <c r="H251" s="920"/>
      <c r="I251" s="919"/>
      <c r="J251" s="920"/>
      <c r="K251" s="778"/>
      <c r="L251" s="922"/>
    </row>
    <row r="252" spans="1:15" ht="18.95" hidden="1" customHeight="1">
      <c r="A252" s="902" t="s">
        <v>204</v>
      </c>
      <c r="B252" s="903"/>
      <c r="C252" s="914" t="s">
        <v>21</v>
      </c>
      <c r="D252" s="915"/>
      <c r="E252" s="915"/>
      <c r="F252" s="916"/>
      <c r="G252" s="675">
        <f>단위당인건비!E139</f>
        <v>0</v>
      </c>
      <c r="H252" s="676"/>
      <c r="I252" s="675"/>
      <c r="J252" s="676"/>
      <c r="K252" s="761"/>
      <c r="L252" s="812"/>
    </row>
    <row r="253" spans="1:15" ht="18.95" hidden="1" customHeight="1">
      <c r="A253" s="904"/>
      <c r="B253" s="905"/>
      <c r="C253" s="908" t="s">
        <v>213</v>
      </c>
      <c r="D253" s="654"/>
      <c r="E253" s="693" t="s">
        <v>0</v>
      </c>
      <c r="F253" s="654"/>
      <c r="G253" s="675">
        <f>단위당인건비!E140</f>
        <v>0</v>
      </c>
      <c r="H253" s="676"/>
      <c r="I253" s="675"/>
      <c r="J253" s="676"/>
      <c r="K253" s="761"/>
      <c r="L253" s="812"/>
    </row>
    <row r="254" spans="1:15" ht="18.95" hidden="1" customHeight="1">
      <c r="A254" s="904"/>
      <c r="B254" s="905"/>
      <c r="C254" s="909"/>
      <c r="D254" s="654"/>
      <c r="E254" s="693" t="s">
        <v>209</v>
      </c>
      <c r="F254" s="762"/>
      <c r="G254" s="675">
        <f>단위당인건비!E141</f>
        <v>0</v>
      </c>
      <c r="H254" s="676"/>
      <c r="I254" s="675"/>
      <c r="J254" s="676"/>
      <c r="K254" s="761"/>
      <c r="L254" s="812"/>
    </row>
    <row r="255" spans="1:15" ht="18.95" hidden="1" customHeight="1">
      <c r="A255" s="904"/>
      <c r="B255" s="905"/>
      <c r="C255" s="909"/>
      <c r="D255" s="654"/>
      <c r="E255" s="693" t="s">
        <v>4</v>
      </c>
      <c r="F255" s="762"/>
      <c r="G255" s="675">
        <f>단위당인건비!E142</f>
        <v>0</v>
      </c>
      <c r="H255" s="676"/>
      <c r="I255" s="675"/>
      <c r="J255" s="676"/>
      <c r="K255" s="761"/>
      <c r="L255" s="812"/>
    </row>
    <row r="256" spans="1:15" ht="18.95" hidden="1" customHeight="1">
      <c r="A256" s="904"/>
      <c r="B256" s="905"/>
      <c r="C256" s="909"/>
      <c r="D256" s="654"/>
      <c r="E256" s="693" t="s">
        <v>257</v>
      </c>
      <c r="F256" s="762"/>
      <c r="G256" s="675">
        <f>단위당인건비!E143</f>
        <v>0</v>
      </c>
      <c r="H256" s="676"/>
      <c r="I256" s="675"/>
      <c r="J256" s="676"/>
      <c r="K256" s="761"/>
      <c r="L256" s="812"/>
    </row>
    <row r="257" spans="1:14" ht="18.95" hidden="1" customHeight="1">
      <c r="A257" s="904"/>
      <c r="B257" s="905"/>
      <c r="C257" s="910"/>
      <c r="D257" s="654"/>
      <c r="E257" s="763" t="s">
        <v>5</v>
      </c>
      <c r="F257" s="763"/>
      <c r="G257" s="675">
        <f>단위당인건비!E144</f>
        <v>0</v>
      </c>
      <c r="H257" s="676"/>
      <c r="I257" s="764"/>
      <c r="J257" s="676"/>
      <c r="K257" s="761"/>
      <c r="L257" s="813"/>
    </row>
    <row r="258" spans="1:14" ht="18.95" hidden="1" customHeight="1">
      <c r="A258" s="904"/>
      <c r="B258" s="905"/>
      <c r="C258" s="914" t="s">
        <v>24</v>
      </c>
      <c r="D258" s="915"/>
      <c r="E258" s="915"/>
      <c r="F258" s="916"/>
      <c r="G258" s="675">
        <f>단위당인건비!E145</f>
        <v>0</v>
      </c>
      <c r="H258" s="676"/>
      <c r="I258" s="764"/>
      <c r="J258" s="676"/>
      <c r="K258" s="761"/>
      <c r="L258" s="818"/>
    </row>
    <row r="259" spans="1:14" ht="18.95" hidden="1" customHeight="1">
      <c r="A259" s="904"/>
      <c r="B259" s="905"/>
      <c r="C259" s="914" t="s">
        <v>25</v>
      </c>
      <c r="D259" s="915"/>
      <c r="E259" s="915"/>
      <c r="F259" s="916"/>
      <c r="G259" s="675">
        <f>단위당인건비!E146</f>
        <v>0</v>
      </c>
      <c r="H259" s="676"/>
      <c r="I259" s="764"/>
      <c r="J259" s="676"/>
      <c r="K259" s="761"/>
      <c r="L259" s="818"/>
    </row>
    <row r="260" spans="1:14" ht="18.95" hidden="1" customHeight="1">
      <c r="A260" s="906"/>
      <c r="B260" s="907"/>
      <c r="C260" s="914" t="s">
        <v>14</v>
      </c>
      <c r="D260" s="915"/>
      <c r="E260" s="915"/>
      <c r="F260" s="916"/>
      <c r="G260" s="675">
        <f>단위당인건비!E147</f>
        <v>0</v>
      </c>
      <c r="H260" s="676"/>
      <c r="I260" s="765" t="e">
        <f>TRUNC(G260/$G$278*100,2)</f>
        <v>#DIV/0!</v>
      </c>
      <c r="J260" s="676"/>
      <c r="K260" s="761"/>
      <c r="L260" s="813" t="str">
        <f>단위당인건비!$A$1&amp;"참조"</f>
        <v>&lt; 표 : 4 &gt; 참조</v>
      </c>
    </row>
    <row r="261" spans="1:14" ht="18.95" hidden="1" customHeight="1">
      <c r="A261" s="902" t="s">
        <v>212</v>
      </c>
      <c r="B261" s="903"/>
      <c r="C261" s="908" t="s">
        <v>3</v>
      </c>
      <c r="D261" s="654"/>
      <c r="E261" s="693" t="s">
        <v>27</v>
      </c>
      <c r="F261" s="693"/>
      <c r="G261" s="675">
        <f>경비집계표!H31</f>
        <v>0</v>
      </c>
      <c r="H261" s="676"/>
      <c r="I261" s="675"/>
      <c r="J261" s="676"/>
      <c r="K261" s="761"/>
      <c r="L261" s="813"/>
      <c r="M261" s="766"/>
      <c r="N261" s="766"/>
    </row>
    <row r="262" spans="1:14" ht="18.95" hidden="1" customHeight="1">
      <c r="A262" s="904"/>
      <c r="B262" s="905"/>
      <c r="C262" s="909"/>
      <c r="D262" s="654"/>
      <c r="E262" s="693" t="s">
        <v>28</v>
      </c>
      <c r="F262" s="693"/>
      <c r="G262" s="675">
        <f>경비집계표!H32</f>
        <v>0</v>
      </c>
      <c r="H262" s="676"/>
      <c r="I262" s="675"/>
      <c r="J262" s="676"/>
      <c r="K262" s="761"/>
      <c r="L262" s="813"/>
      <c r="M262" s="766"/>
      <c r="N262" s="766"/>
    </row>
    <row r="263" spans="1:14" ht="18.95" hidden="1" customHeight="1">
      <c r="A263" s="904"/>
      <c r="B263" s="905"/>
      <c r="C263" s="909"/>
      <c r="D263" s="654"/>
      <c r="E263" s="693" t="s">
        <v>29</v>
      </c>
      <c r="F263" s="693"/>
      <c r="G263" s="675">
        <f>경비집계표!H33</f>
        <v>0</v>
      </c>
      <c r="H263" s="676"/>
      <c r="I263" s="675"/>
      <c r="J263" s="676"/>
      <c r="K263" s="761"/>
      <c r="L263" s="813"/>
      <c r="M263" s="766"/>
      <c r="N263" s="766"/>
    </row>
    <row r="264" spans="1:14" ht="18.95" hidden="1" customHeight="1">
      <c r="A264" s="904"/>
      <c r="B264" s="905"/>
      <c r="C264" s="909"/>
      <c r="D264" s="654"/>
      <c r="E264" s="693" t="s">
        <v>30</v>
      </c>
      <c r="F264" s="693"/>
      <c r="G264" s="675">
        <f>경비집계표!H34</f>
        <v>0</v>
      </c>
      <c r="H264" s="676"/>
      <c r="I264" s="675"/>
      <c r="J264" s="676"/>
      <c r="K264" s="761"/>
      <c r="L264" s="813"/>
      <c r="M264" s="766"/>
      <c r="N264" s="766"/>
    </row>
    <row r="265" spans="1:14" ht="18.95" hidden="1" customHeight="1">
      <c r="A265" s="904"/>
      <c r="B265" s="905"/>
      <c r="C265" s="909"/>
      <c r="D265" s="654"/>
      <c r="E265" s="721" t="s">
        <v>237</v>
      </c>
      <c r="F265" s="693"/>
      <c r="G265" s="675">
        <f>경비집계표!H35</f>
        <v>0</v>
      </c>
      <c r="H265" s="676"/>
      <c r="I265" s="675"/>
      <c r="J265" s="676"/>
      <c r="K265" s="761"/>
      <c r="L265" s="813"/>
      <c r="M265" s="766"/>
      <c r="N265" s="766"/>
    </row>
    <row r="266" spans="1:14" ht="18.95" hidden="1" customHeight="1">
      <c r="A266" s="904"/>
      <c r="B266" s="905"/>
      <c r="C266" s="909"/>
      <c r="D266" s="654"/>
      <c r="E266" s="693" t="s">
        <v>31</v>
      </c>
      <c r="F266" s="693"/>
      <c r="G266" s="675">
        <f>경비집계표!H36</f>
        <v>0</v>
      </c>
      <c r="H266" s="676"/>
      <c r="I266" s="675"/>
      <c r="J266" s="676"/>
      <c r="K266" s="761"/>
      <c r="L266" s="813"/>
      <c r="M266" s="766"/>
      <c r="N266" s="766"/>
    </row>
    <row r="267" spans="1:14" ht="18.95" hidden="1" customHeight="1">
      <c r="A267" s="904"/>
      <c r="B267" s="905"/>
      <c r="C267" s="910"/>
      <c r="D267" s="654"/>
      <c r="E267" s="763" t="s">
        <v>5</v>
      </c>
      <c r="F267" s="693"/>
      <c r="G267" s="675">
        <f>경비집계표!H37</f>
        <v>0</v>
      </c>
      <c r="H267" s="676"/>
      <c r="I267" s="675"/>
      <c r="J267" s="676"/>
      <c r="K267" s="761"/>
      <c r="L267" s="813"/>
      <c r="M267" s="767"/>
      <c r="N267" s="766"/>
    </row>
    <row r="268" spans="1:14" ht="18.95" hidden="1" customHeight="1">
      <c r="A268" s="904"/>
      <c r="B268" s="905"/>
      <c r="C268" s="911" t="s">
        <v>303</v>
      </c>
      <c r="D268" s="654"/>
      <c r="E268" s="693" t="s">
        <v>32</v>
      </c>
      <c r="F268" s="693"/>
      <c r="G268" s="675">
        <f>경비집계표!H38</f>
        <v>0</v>
      </c>
      <c r="H268" s="676"/>
      <c r="I268" s="675"/>
      <c r="J268" s="676"/>
      <c r="K268" s="761"/>
      <c r="L268" s="813"/>
    </row>
    <row r="269" spans="1:14" ht="18.95" hidden="1" customHeight="1">
      <c r="A269" s="904"/>
      <c r="B269" s="905"/>
      <c r="C269" s="912"/>
      <c r="D269" s="654"/>
      <c r="E269" s="693" t="s">
        <v>465</v>
      </c>
      <c r="F269" s="693"/>
      <c r="G269" s="675">
        <f>경비집계표!H39</f>
        <v>0</v>
      </c>
      <c r="H269" s="676"/>
      <c r="I269" s="675"/>
      <c r="J269" s="676"/>
      <c r="K269" s="761"/>
      <c r="L269" s="813"/>
    </row>
    <row r="270" spans="1:14" ht="18.95" hidden="1" customHeight="1">
      <c r="A270" s="904"/>
      <c r="B270" s="905"/>
      <c r="C270" s="912"/>
      <c r="D270" s="654"/>
      <c r="E270" s="693" t="s">
        <v>462</v>
      </c>
      <c r="F270" s="693"/>
      <c r="G270" s="675">
        <f>경비집계표!H40</f>
        <v>0</v>
      </c>
      <c r="H270" s="676"/>
      <c r="I270" s="675"/>
      <c r="J270" s="676"/>
      <c r="K270" s="761"/>
      <c r="L270" s="813"/>
    </row>
    <row r="271" spans="1:14" ht="18.95" hidden="1" customHeight="1">
      <c r="A271" s="904"/>
      <c r="B271" s="905"/>
      <c r="C271" s="913"/>
      <c r="D271" s="654"/>
      <c r="E271" s="763" t="s">
        <v>5</v>
      </c>
      <c r="F271" s="693"/>
      <c r="G271" s="675">
        <f>경비집계표!H41</f>
        <v>0</v>
      </c>
      <c r="H271" s="676"/>
      <c r="I271" s="675"/>
      <c r="J271" s="676"/>
      <c r="K271" s="761"/>
      <c r="L271" s="813"/>
    </row>
    <row r="272" spans="1:14" ht="18.95" hidden="1" customHeight="1">
      <c r="A272" s="904"/>
      <c r="B272" s="905"/>
      <c r="C272" s="908" t="s">
        <v>260</v>
      </c>
      <c r="D272" s="654"/>
      <c r="E272" s="693" t="s">
        <v>262</v>
      </c>
      <c r="F272" s="693"/>
      <c r="G272" s="675">
        <f>경비집계표!H42</f>
        <v>0</v>
      </c>
      <c r="H272" s="676"/>
      <c r="I272" s="675"/>
      <c r="J272" s="676"/>
      <c r="K272" s="761"/>
      <c r="L272" s="813"/>
    </row>
    <row r="273" spans="1:15" ht="18.95" hidden="1" customHeight="1">
      <c r="A273" s="904"/>
      <c r="B273" s="905"/>
      <c r="C273" s="910"/>
      <c r="D273" s="654"/>
      <c r="E273" s="693" t="s">
        <v>261</v>
      </c>
      <c r="F273" s="693"/>
      <c r="G273" s="675">
        <f>경비집계표!H43</f>
        <v>0</v>
      </c>
      <c r="H273" s="676"/>
      <c r="I273" s="675"/>
      <c r="J273" s="676"/>
      <c r="K273" s="761"/>
      <c r="L273" s="813"/>
    </row>
    <row r="274" spans="1:15" ht="18.95" hidden="1" customHeight="1">
      <c r="A274" s="906"/>
      <c r="B274" s="907"/>
      <c r="C274" s="914" t="s">
        <v>14</v>
      </c>
      <c r="D274" s="915"/>
      <c r="E274" s="915"/>
      <c r="F274" s="916"/>
      <c r="G274" s="675">
        <f>경비집계표!H44</f>
        <v>0</v>
      </c>
      <c r="H274" s="676"/>
      <c r="I274" s="765" t="e">
        <f>ROUNDUP(G274/$G$278*100,2)</f>
        <v>#DIV/0!</v>
      </c>
      <c r="J274" s="676"/>
      <c r="K274" s="761"/>
      <c r="L274" s="813" t="str">
        <f>경비집계표!$A$1&amp;"참조"</f>
        <v>&lt; 표 : 11 &gt; 참조</v>
      </c>
    </row>
    <row r="275" spans="1:15" ht="18.95" hidden="1" customHeight="1">
      <c r="A275" s="768"/>
      <c r="B275" s="884" t="s">
        <v>182</v>
      </c>
      <c r="C275" s="884"/>
      <c r="D275" s="884"/>
      <c r="E275" s="884"/>
      <c r="F275" s="769"/>
      <c r="G275" s="675">
        <f>SUM(G260,G274)</f>
        <v>0</v>
      </c>
      <c r="H275" s="676"/>
      <c r="I275" s="765" t="e">
        <f>TRUNC(G275/$G$278*100,2)</f>
        <v>#DIV/0!</v>
      </c>
      <c r="J275" s="676"/>
      <c r="K275" s="761"/>
      <c r="L275" s="813" t="s">
        <v>281</v>
      </c>
    </row>
    <row r="276" spans="1:15" ht="18.95" hidden="1" customHeight="1">
      <c r="A276" s="770"/>
      <c r="B276" s="883" t="s">
        <v>555</v>
      </c>
      <c r="C276" s="883"/>
      <c r="D276" s="883"/>
      <c r="E276" s="883"/>
      <c r="F276" s="771"/>
      <c r="G276" s="675">
        <f>TRUNC(G275*4%,0)</f>
        <v>0</v>
      </c>
      <c r="H276" s="676"/>
      <c r="I276" s="765" t="e">
        <f>TRUNC(G276/$G$278*100,2)</f>
        <v>#DIV/0!</v>
      </c>
      <c r="J276" s="676"/>
      <c r="K276" s="761"/>
      <c r="L276" s="820" t="s">
        <v>557</v>
      </c>
    </row>
    <row r="277" spans="1:15" ht="18.95" hidden="1" customHeight="1">
      <c r="A277" s="770"/>
      <c r="B277" s="883" t="s">
        <v>556</v>
      </c>
      <c r="C277" s="883"/>
      <c r="D277" s="883"/>
      <c r="E277" s="883"/>
      <c r="F277" s="771"/>
      <c r="G277" s="675">
        <f>TRUNC(SUM(G260,G274,G276)*6%,0)</f>
        <v>0</v>
      </c>
      <c r="H277" s="676"/>
      <c r="I277" s="765" t="e">
        <f>TRUNC(G277/$G$278*100,2)</f>
        <v>#DIV/0!</v>
      </c>
      <c r="J277" s="676"/>
      <c r="K277" s="761"/>
      <c r="L277" s="820" t="s">
        <v>558</v>
      </c>
      <c r="O277" s="772"/>
    </row>
    <row r="278" spans="1:15" ht="18.95" hidden="1" customHeight="1">
      <c r="A278" s="770"/>
      <c r="B278" s="884" t="s">
        <v>294</v>
      </c>
      <c r="C278" s="884"/>
      <c r="D278" s="884"/>
      <c r="E278" s="884"/>
      <c r="F278" s="771"/>
      <c r="G278" s="675">
        <f>SUM(G275:G277)</f>
        <v>0</v>
      </c>
      <c r="H278" s="676"/>
      <c r="I278" s="765" t="e">
        <f>TRUNC(G278/$G$278*100,2)</f>
        <v>#DIV/0!</v>
      </c>
      <c r="J278" s="676"/>
      <c r="K278" s="761"/>
      <c r="L278" s="813" t="s">
        <v>271</v>
      </c>
    </row>
    <row r="279" spans="1:15" ht="18.95" hidden="1" customHeight="1">
      <c r="A279" s="770"/>
      <c r="B279" s="901" t="s">
        <v>298</v>
      </c>
      <c r="C279" s="901"/>
      <c r="D279" s="901"/>
      <c r="E279" s="901"/>
      <c r="F279" s="771"/>
      <c r="G279" s="773">
        <f>TRUNC(G278*10%)</f>
        <v>0</v>
      </c>
      <c r="H279" s="774"/>
      <c r="I279" s="775"/>
      <c r="J279" s="774"/>
      <c r="K279" s="776"/>
      <c r="L279" s="814" t="s">
        <v>300</v>
      </c>
    </row>
    <row r="280" spans="1:15" ht="18.95" hidden="1" customHeight="1">
      <c r="A280" s="770"/>
      <c r="B280" s="901" t="s">
        <v>299</v>
      </c>
      <c r="C280" s="901"/>
      <c r="D280" s="901"/>
      <c r="E280" s="901"/>
      <c r="F280" s="771"/>
      <c r="G280" s="773">
        <f>SUM(G278:G279)</f>
        <v>0</v>
      </c>
      <c r="H280" s="774"/>
      <c r="I280" s="775"/>
      <c r="J280" s="774"/>
      <c r="K280" s="776"/>
      <c r="L280" s="814" t="s">
        <v>301</v>
      </c>
    </row>
    <row r="281" spans="1:15" ht="20.100000000000001" customHeight="1">
      <c r="A281" s="741"/>
      <c r="B281" s="741"/>
      <c r="C281" s="741"/>
      <c r="D281" s="741"/>
      <c r="E281" s="616"/>
      <c r="F281" s="616"/>
      <c r="G281" s="616"/>
      <c r="I281" s="690"/>
      <c r="L281" s="808"/>
      <c r="M281" s="690"/>
      <c r="N281" s="690"/>
      <c r="O281" s="690"/>
    </row>
    <row r="282" spans="1:15" s="619" customFormat="1" ht="39.950000000000003" customHeight="1">
      <c r="A282" s="617" t="s">
        <v>475</v>
      </c>
      <c r="B282" s="618"/>
      <c r="C282" s="743"/>
      <c r="D282" s="743"/>
      <c r="E282" s="742"/>
      <c r="F282" s="742"/>
      <c r="G282" s="747"/>
      <c r="H282" s="744"/>
      <c r="I282" s="748"/>
      <c r="J282" s="745"/>
      <c r="K282" s="748"/>
      <c r="L282" s="809"/>
    </row>
    <row r="283" spans="1:15" ht="20.100000000000001" customHeight="1">
      <c r="A283" s="749"/>
      <c r="B283" s="750"/>
      <c r="C283" s="749"/>
      <c r="D283" s="749"/>
      <c r="E283" s="750"/>
      <c r="F283" s="750"/>
      <c r="G283" s="751"/>
      <c r="H283" s="752"/>
      <c r="I283" s="753"/>
      <c r="J283" s="754"/>
      <c r="K283" s="753"/>
      <c r="L283" s="810"/>
      <c r="O283" s="619"/>
    </row>
    <row r="284" spans="1:15" ht="20.100000000000001" customHeight="1">
      <c r="A284" s="656" t="str">
        <f>"구 분 : "&amp;월기본급!B17&amp;"                       직종명 : "&amp;월기본급!F17&amp;""</f>
        <v>구 분 : 다산홀운영                       직종명 : 전기기능사</v>
      </c>
      <c r="B284" s="612"/>
      <c r="C284" s="656"/>
      <c r="D284" s="656"/>
      <c r="G284" s="687"/>
      <c r="H284" s="687"/>
      <c r="I284" s="687"/>
      <c r="L284" s="811" t="s">
        <v>15</v>
      </c>
      <c r="O284" s="619"/>
    </row>
    <row r="285" spans="1:15" ht="20.100000000000001" customHeight="1">
      <c r="A285" s="755"/>
      <c r="B285" s="756"/>
      <c r="C285" s="756"/>
      <c r="D285" s="756"/>
      <c r="E285" s="757" t="s">
        <v>16</v>
      </c>
      <c r="F285" s="757"/>
      <c r="G285" s="917" t="s">
        <v>17</v>
      </c>
      <c r="H285" s="918"/>
      <c r="I285" s="917" t="s">
        <v>18</v>
      </c>
      <c r="J285" s="918"/>
      <c r="K285" s="777"/>
      <c r="L285" s="921" t="s">
        <v>19</v>
      </c>
      <c r="O285" s="619"/>
    </row>
    <row r="286" spans="1:15" ht="20.100000000000001" customHeight="1">
      <c r="A286" s="758" t="s">
        <v>20</v>
      </c>
      <c r="B286" s="759"/>
      <c r="C286" s="760"/>
      <c r="D286" s="760"/>
      <c r="E286" s="760"/>
      <c r="F286" s="760"/>
      <c r="G286" s="919"/>
      <c r="H286" s="920"/>
      <c r="I286" s="919"/>
      <c r="J286" s="920"/>
      <c r="K286" s="778"/>
      <c r="L286" s="922"/>
    </row>
    <row r="287" spans="1:15" ht="18.95" customHeight="1">
      <c r="A287" s="902" t="s">
        <v>204</v>
      </c>
      <c r="B287" s="903"/>
      <c r="C287" s="914" t="s">
        <v>21</v>
      </c>
      <c r="D287" s="915"/>
      <c r="E287" s="915"/>
      <c r="F287" s="916"/>
      <c r="G287" s="675">
        <f>단위당인건비!E158</f>
        <v>2231736</v>
      </c>
      <c r="H287" s="676"/>
      <c r="I287" s="675"/>
      <c r="J287" s="676"/>
      <c r="K287" s="761"/>
      <c r="L287" s="812"/>
      <c r="M287" s="876">
        <v>0.87744999999999995</v>
      </c>
      <c r="N287" s="766">
        <f>ABS(G287*M287)</f>
        <v>1958236.7531999999</v>
      </c>
    </row>
    <row r="288" spans="1:15" ht="18.95" customHeight="1">
      <c r="A288" s="904"/>
      <c r="B288" s="905"/>
      <c r="C288" s="908" t="s">
        <v>213</v>
      </c>
      <c r="D288" s="654"/>
      <c r="E288" s="693" t="s">
        <v>0</v>
      </c>
      <c r="F288" s="654"/>
      <c r="G288" s="675">
        <f>단위당인건비!E159</f>
        <v>347574</v>
      </c>
      <c r="H288" s="676"/>
      <c r="I288" s="675"/>
      <c r="J288" s="676"/>
      <c r="K288" s="761"/>
      <c r="L288" s="812"/>
      <c r="M288" s="876">
        <v>0.87744999999999995</v>
      </c>
      <c r="N288" s="766">
        <f t="shared" ref="N288:N351" si="0">ABS(G288*M288)</f>
        <v>304978.8063</v>
      </c>
    </row>
    <row r="289" spans="1:15" ht="18.95" customHeight="1">
      <c r="A289" s="904"/>
      <c r="B289" s="905"/>
      <c r="C289" s="909"/>
      <c r="D289" s="654"/>
      <c r="E289" s="693" t="s">
        <v>209</v>
      </c>
      <c r="F289" s="762"/>
      <c r="G289" s="675">
        <f>단위당인건비!E160</f>
        <v>0</v>
      </c>
      <c r="H289" s="676"/>
      <c r="I289" s="675"/>
      <c r="J289" s="676"/>
      <c r="K289" s="761"/>
      <c r="L289" s="812"/>
      <c r="M289" s="876">
        <v>0.87744999999999995</v>
      </c>
      <c r="N289" s="766">
        <f t="shared" si="0"/>
        <v>0</v>
      </c>
    </row>
    <row r="290" spans="1:15" ht="18.95" customHeight="1">
      <c r="A290" s="904"/>
      <c r="B290" s="905"/>
      <c r="C290" s="909"/>
      <c r="D290" s="654"/>
      <c r="E290" s="693" t="s">
        <v>4</v>
      </c>
      <c r="F290" s="762"/>
      <c r="G290" s="675">
        <f>단위당인건비!E161</f>
        <v>106781</v>
      </c>
      <c r="H290" s="676"/>
      <c r="I290" s="675"/>
      <c r="J290" s="676"/>
      <c r="K290" s="761"/>
      <c r="L290" s="812"/>
      <c r="M290" s="876">
        <v>0.87744999999999995</v>
      </c>
      <c r="N290" s="766">
        <f t="shared" si="0"/>
        <v>93694.98844999999</v>
      </c>
    </row>
    <row r="291" spans="1:15" ht="18.95" customHeight="1">
      <c r="A291" s="904"/>
      <c r="B291" s="905"/>
      <c r="C291" s="909"/>
      <c r="D291" s="654"/>
      <c r="E291" s="693" t="s">
        <v>257</v>
      </c>
      <c r="F291" s="762"/>
      <c r="G291" s="675">
        <f>단위당인건비!E162</f>
        <v>0</v>
      </c>
      <c r="H291" s="676"/>
      <c r="I291" s="675"/>
      <c r="J291" s="676"/>
      <c r="K291" s="761"/>
      <c r="L291" s="812"/>
      <c r="M291" s="876">
        <v>0.87744999999999995</v>
      </c>
      <c r="N291" s="766">
        <f t="shared" si="0"/>
        <v>0</v>
      </c>
    </row>
    <row r="292" spans="1:15" ht="18.95" customHeight="1">
      <c r="A292" s="904"/>
      <c r="B292" s="905"/>
      <c r="C292" s="910"/>
      <c r="D292" s="654"/>
      <c r="E292" s="763" t="s">
        <v>5</v>
      </c>
      <c r="F292" s="763"/>
      <c r="G292" s="675">
        <f>단위당인건비!E163</f>
        <v>454355</v>
      </c>
      <c r="H292" s="676"/>
      <c r="I292" s="764"/>
      <c r="J292" s="676"/>
      <c r="K292" s="761"/>
      <c r="L292" s="813"/>
      <c r="M292" s="876">
        <v>0.87744999999999995</v>
      </c>
      <c r="N292" s="766"/>
    </row>
    <row r="293" spans="1:15" ht="18.95" customHeight="1">
      <c r="A293" s="904"/>
      <c r="B293" s="905"/>
      <c r="C293" s="914" t="s">
        <v>24</v>
      </c>
      <c r="D293" s="915"/>
      <c r="E293" s="915"/>
      <c r="F293" s="916"/>
      <c r="G293" s="675">
        <f>단위당인건비!E164</f>
        <v>185978</v>
      </c>
      <c r="H293" s="676"/>
      <c r="I293" s="764"/>
      <c r="J293" s="676"/>
      <c r="K293" s="761"/>
      <c r="L293" s="818"/>
      <c r="M293" s="876">
        <v>0.87744999999999995</v>
      </c>
      <c r="N293" s="766">
        <f t="shared" si="0"/>
        <v>163186.39609999998</v>
      </c>
    </row>
    <row r="294" spans="1:15" ht="18.95" customHeight="1">
      <c r="A294" s="904"/>
      <c r="B294" s="905"/>
      <c r="C294" s="914" t="s">
        <v>25</v>
      </c>
      <c r="D294" s="915"/>
      <c r="E294" s="915"/>
      <c r="F294" s="916"/>
      <c r="G294" s="675">
        <f>단위당인건비!E165</f>
        <v>239339</v>
      </c>
      <c r="H294" s="676"/>
      <c r="I294" s="764"/>
      <c r="J294" s="676"/>
      <c r="K294" s="761"/>
      <c r="L294" s="818"/>
      <c r="M294" s="876">
        <v>0.87744999999999995</v>
      </c>
      <c r="N294" s="766"/>
    </row>
    <row r="295" spans="1:15" ht="18.95" customHeight="1">
      <c r="A295" s="906"/>
      <c r="B295" s="907"/>
      <c r="C295" s="925" t="s">
        <v>14</v>
      </c>
      <c r="D295" s="926"/>
      <c r="E295" s="926"/>
      <c r="F295" s="927"/>
      <c r="G295" s="867">
        <f>단위당인건비!E166</f>
        <v>3111408</v>
      </c>
      <c r="H295" s="866"/>
      <c r="I295" s="865">
        <f>TRUNC(G295/$G$313*100,2)</f>
        <v>82.4</v>
      </c>
      <c r="J295" s="866"/>
      <c r="K295" s="864"/>
      <c r="L295" s="863" t="str">
        <f>단위당인건비!$A$1&amp;"참조"</f>
        <v>&lt; 표 : 4 &gt; 참조</v>
      </c>
      <c r="M295" s="876">
        <v>0.87744999999999995</v>
      </c>
      <c r="N295" s="766">
        <f t="shared" si="0"/>
        <v>2730104.9495999999</v>
      </c>
      <c r="O295" s="862"/>
    </row>
    <row r="296" spans="1:15" ht="18.95" customHeight="1">
      <c r="A296" s="902" t="s">
        <v>212</v>
      </c>
      <c r="B296" s="903"/>
      <c r="C296" s="908" t="s">
        <v>3</v>
      </c>
      <c r="D296" s="654"/>
      <c r="E296" s="693" t="s">
        <v>27</v>
      </c>
      <c r="F296" s="693"/>
      <c r="G296" s="675">
        <f>경비집계표!E55</f>
        <v>48825</v>
      </c>
      <c r="H296" s="676"/>
      <c r="I296" s="675"/>
      <c r="J296" s="676"/>
      <c r="K296" s="761"/>
      <c r="L296" s="813"/>
      <c r="M296" s="876">
        <v>0.87744999999999995</v>
      </c>
      <c r="N296" s="766">
        <f t="shared" si="0"/>
        <v>42841.496249999997</v>
      </c>
    </row>
    <row r="297" spans="1:15" ht="18.95" customHeight="1">
      <c r="A297" s="904"/>
      <c r="B297" s="905"/>
      <c r="C297" s="909"/>
      <c r="D297" s="654"/>
      <c r="E297" s="693" t="s">
        <v>28</v>
      </c>
      <c r="F297" s="693"/>
      <c r="G297" s="675">
        <f>경비집계표!E56</f>
        <v>129243</v>
      </c>
      <c r="H297" s="676"/>
      <c r="I297" s="675"/>
      <c r="J297" s="676"/>
      <c r="K297" s="761"/>
      <c r="L297" s="813"/>
      <c r="M297" s="876">
        <v>0.87744999999999995</v>
      </c>
      <c r="N297" s="766">
        <f t="shared" si="0"/>
        <v>113404.27034999999</v>
      </c>
    </row>
    <row r="298" spans="1:15" ht="18.95" customHeight="1">
      <c r="A298" s="904"/>
      <c r="B298" s="905"/>
      <c r="C298" s="909"/>
      <c r="D298" s="654"/>
      <c r="E298" s="693" t="s">
        <v>29</v>
      </c>
      <c r="F298" s="693"/>
      <c r="G298" s="675">
        <f>경비집계표!E57</f>
        <v>25848</v>
      </c>
      <c r="H298" s="676"/>
      <c r="I298" s="675"/>
      <c r="J298" s="676"/>
      <c r="K298" s="761"/>
      <c r="L298" s="813"/>
      <c r="M298" s="876">
        <v>0.87744999999999995</v>
      </c>
      <c r="N298" s="766">
        <f t="shared" si="0"/>
        <v>22680.327600000001</v>
      </c>
    </row>
    <row r="299" spans="1:15" ht="18.95" customHeight="1">
      <c r="A299" s="904"/>
      <c r="B299" s="905"/>
      <c r="C299" s="909"/>
      <c r="D299" s="654"/>
      <c r="E299" s="693" t="s">
        <v>30</v>
      </c>
      <c r="F299" s="693"/>
      <c r="G299" s="675">
        <f>경비집계표!E58</f>
        <v>87167</v>
      </c>
      <c r="H299" s="676"/>
      <c r="I299" s="675"/>
      <c r="J299" s="676"/>
      <c r="K299" s="761"/>
      <c r="L299" s="813"/>
      <c r="M299" s="876">
        <v>0.87744999999999995</v>
      </c>
      <c r="N299" s="766">
        <f t="shared" si="0"/>
        <v>76484.684150000001</v>
      </c>
    </row>
    <row r="300" spans="1:15" ht="18.95" customHeight="1">
      <c r="A300" s="904"/>
      <c r="B300" s="905"/>
      <c r="C300" s="909"/>
      <c r="D300" s="654"/>
      <c r="E300" s="721" t="s">
        <v>237</v>
      </c>
      <c r="F300" s="693"/>
      <c r="G300" s="675">
        <f>경비집계표!E59</f>
        <v>5709</v>
      </c>
      <c r="H300" s="676"/>
      <c r="I300" s="675"/>
      <c r="J300" s="676"/>
      <c r="K300" s="761"/>
      <c r="L300" s="813"/>
      <c r="M300" s="876">
        <v>0.87744999999999995</v>
      </c>
      <c r="N300" s="766">
        <f t="shared" si="0"/>
        <v>5009.3620499999997</v>
      </c>
    </row>
    <row r="301" spans="1:15" ht="18.95" customHeight="1">
      <c r="A301" s="904"/>
      <c r="B301" s="905"/>
      <c r="C301" s="909"/>
      <c r="D301" s="654"/>
      <c r="E301" s="693" t="s">
        <v>31</v>
      </c>
      <c r="F301" s="693"/>
      <c r="G301" s="675">
        <f>경비집계표!E60</f>
        <v>2297</v>
      </c>
      <c r="H301" s="676"/>
      <c r="I301" s="675"/>
      <c r="J301" s="676"/>
      <c r="K301" s="761"/>
      <c r="L301" s="813"/>
      <c r="M301" s="876">
        <v>0.87744999999999995</v>
      </c>
      <c r="N301" s="766">
        <f t="shared" si="0"/>
        <v>2015.5026499999999</v>
      </c>
    </row>
    <row r="302" spans="1:15" ht="18.95" customHeight="1">
      <c r="A302" s="904"/>
      <c r="B302" s="905"/>
      <c r="C302" s="910"/>
      <c r="D302" s="654"/>
      <c r="E302" s="763" t="s">
        <v>5</v>
      </c>
      <c r="F302" s="693"/>
      <c r="G302" s="675">
        <f>경비집계표!E61</f>
        <v>299089</v>
      </c>
      <c r="H302" s="676"/>
      <c r="I302" s="675"/>
      <c r="J302" s="676"/>
      <c r="K302" s="761"/>
      <c r="L302" s="813"/>
      <c r="M302" s="876">
        <v>0.87744999999999995</v>
      </c>
      <c r="N302" s="766">
        <f t="shared" si="0"/>
        <v>262435.64305000001</v>
      </c>
    </row>
    <row r="303" spans="1:15" ht="18.95" customHeight="1">
      <c r="A303" s="904"/>
      <c r="B303" s="905"/>
      <c r="C303" s="911" t="s">
        <v>303</v>
      </c>
      <c r="D303" s="654"/>
      <c r="E303" s="693" t="s">
        <v>32</v>
      </c>
      <c r="F303" s="693"/>
      <c r="G303" s="675">
        <f>경비집계표!E62</f>
        <v>0</v>
      </c>
      <c r="H303" s="676"/>
      <c r="I303" s="675"/>
      <c r="J303" s="676"/>
      <c r="K303" s="761"/>
      <c r="L303" s="813"/>
      <c r="M303" s="876">
        <v>0.87744999999999995</v>
      </c>
      <c r="N303" s="766">
        <f t="shared" si="0"/>
        <v>0</v>
      </c>
    </row>
    <row r="304" spans="1:15" ht="18.95" customHeight="1">
      <c r="A304" s="904"/>
      <c r="B304" s="905"/>
      <c r="C304" s="912"/>
      <c r="D304" s="654"/>
      <c r="E304" s="693" t="s">
        <v>465</v>
      </c>
      <c r="F304" s="693"/>
      <c r="G304" s="675">
        <f>경비집계표!E63</f>
        <v>0</v>
      </c>
      <c r="H304" s="676"/>
      <c r="I304" s="675"/>
      <c r="J304" s="676"/>
      <c r="K304" s="761"/>
      <c r="L304" s="813"/>
      <c r="M304" s="876">
        <v>0.87744999999999995</v>
      </c>
      <c r="N304" s="766">
        <f t="shared" si="0"/>
        <v>0</v>
      </c>
    </row>
    <row r="305" spans="1:15" ht="18.95" customHeight="1">
      <c r="A305" s="904"/>
      <c r="B305" s="905"/>
      <c r="C305" s="912"/>
      <c r="D305" s="654"/>
      <c r="E305" s="693" t="s">
        <v>462</v>
      </c>
      <c r="F305" s="693"/>
      <c r="G305" s="675">
        <f>경비집계표!E64</f>
        <v>0</v>
      </c>
      <c r="H305" s="676"/>
      <c r="I305" s="675"/>
      <c r="J305" s="676"/>
      <c r="K305" s="761"/>
      <c r="L305" s="813"/>
      <c r="M305" s="876">
        <v>0.87744999999999995</v>
      </c>
      <c r="N305" s="766">
        <f t="shared" si="0"/>
        <v>0</v>
      </c>
    </row>
    <row r="306" spans="1:15" ht="18.95" customHeight="1">
      <c r="A306" s="904"/>
      <c r="B306" s="905"/>
      <c r="C306" s="913"/>
      <c r="D306" s="654"/>
      <c r="E306" s="763" t="s">
        <v>5</v>
      </c>
      <c r="F306" s="693"/>
      <c r="G306" s="675">
        <f>경비집계표!E65</f>
        <v>0</v>
      </c>
      <c r="H306" s="676"/>
      <c r="I306" s="675"/>
      <c r="J306" s="676"/>
      <c r="K306" s="761"/>
      <c r="L306" s="813"/>
      <c r="M306" s="876">
        <v>0.87744999999999995</v>
      </c>
      <c r="N306" s="766">
        <f t="shared" si="0"/>
        <v>0</v>
      </c>
    </row>
    <row r="307" spans="1:15" ht="18.95" customHeight="1">
      <c r="A307" s="904"/>
      <c r="B307" s="905"/>
      <c r="C307" s="908" t="s">
        <v>260</v>
      </c>
      <c r="D307" s="654"/>
      <c r="E307" s="693" t="s">
        <v>262</v>
      </c>
      <c r="F307" s="693"/>
      <c r="G307" s="675">
        <f>경비집계표!E66</f>
        <v>14360</v>
      </c>
      <c r="H307" s="676"/>
      <c r="I307" s="675"/>
      <c r="J307" s="676"/>
      <c r="K307" s="761"/>
      <c r="L307" s="813"/>
      <c r="M307" s="876">
        <v>0.87744999999999995</v>
      </c>
      <c r="N307" s="766">
        <f t="shared" si="0"/>
        <v>12600.181999999999</v>
      </c>
    </row>
    <row r="308" spans="1:15" ht="18.95" customHeight="1">
      <c r="A308" s="904"/>
      <c r="B308" s="905"/>
      <c r="C308" s="910"/>
      <c r="D308" s="654"/>
      <c r="E308" s="693" t="s">
        <v>261</v>
      </c>
      <c r="F308" s="693"/>
      <c r="G308" s="675">
        <f>경비집계표!E67</f>
        <v>0</v>
      </c>
      <c r="H308" s="676"/>
      <c r="I308" s="675"/>
      <c r="J308" s="676"/>
      <c r="K308" s="761"/>
      <c r="L308" s="813"/>
      <c r="M308" s="876">
        <v>0.87744999999999995</v>
      </c>
      <c r="N308" s="766">
        <f t="shared" si="0"/>
        <v>0</v>
      </c>
    </row>
    <row r="309" spans="1:15" ht="18.95" customHeight="1">
      <c r="A309" s="906"/>
      <c r="B309" s="907"/>
      <c r="C309" s="914" t="s">
        <v>14</v>
      </c>
      <c r="D309" s="915"/>
      <c r="E309" s="915"/>
      <c r="F309" s="916"/>
      <c r="G309" s="675">
        <f>경비집계표!E68</f>
        <v>313449</v>
      </c>
      <c r="H309" s="676"/>
      <c r="I309" s="765">
        <f>TRUNC(G309/$G$313*100,2)</f>
        <v>8.3000000000000007</v>
      </c>
      <c r="J309" s="676"/>
      <c r="K309" s="761"/>
      <c r="L309" s="813" t="str">
        <f>경비집계표!$A$1&amp;"참조"</f>
        <v>&lt; 표 : 11 &gt; 참조</v>
      </c>
      <c r="M309" s="876">
        <v>0.87744999999999995</v>
      </c>
      <c r="N309" s="766">
        <f t="shared" si="0"/>
        <v>275035.82504999998</v>
      </c>
    </row>
    <row r="310" spans="1:15" ht="18.95" customHeight="1">
      <c r="A310" s="768"/>
      <c r="B310" s="884" t="s">
        <v>182</v>
      </c>
      <c r="C310" s="884"/>
      <c r="D310" s="884"/>
      <c r="E310" s="884"/>
      <c r="F310" s="769"/>
      <c r="G310" s="675">
        <f>SUM(G295,G309)</f>
        <v>3424857</v>
      </c>
      <c r="H310" s="676"/>
      <c r="I310" s="765">
        <f>TRUNC(G310/$G$313*100,2)</f>
        <v>90.71</v>
      </c>
      <c r="J310" s="676"/>
      <c r="K310" s="761"/>
      <c r="L310" s="813" t="s">
        <v>281</v>
      </c>
      <c r="M310" s="876">
        <v>0.87744999999999995</v>
      </c>
      <c r="N310" s="766">
        <f t="shared" si="0"/>
        <v>3005140.77465</v>
      </c>
    </row>
    <row r="311" spans="1:15" ht="18.95" customHeight="1">
      <c r="A311" s="770"/>
      <c r="B311" s="883" t="s">
        <v>633</v>
      </c>
      <c r="C311" s="884"/>
      <c r="D311" s="884"/>
      <c r="E311" s="884"/>
      <c r="F311" s="771"/>
      <c r="G311" s="675">
        <f>TRUNC(G310*4%,0)</f>
        <v>136994</v>
      </c>
      <c r="H311" s="676"/>
      <c r="I311" s="765">
        <f>TRUNC(G311/$G$313*100,2)</f>
        <v>3.62</v>
      </c>
      <c r="J311" s="676"/>
      <c r="K311" s="761"/>
      <c r="L311" s="820" t="s">
        <v>632</v>
      </c>
      <c r="M311" s="876">
        <v>0.87744999999999995</v>
      </c>
      <c r="N311" s="766">
        <f t="shared" si="0"/>
        <v>120205.38529999999</v>
      </c>
    </row>
    <row r="312" spans="1:15" ht="18.95" customHeight="1">
      <c r="A312" s="770"/>
      <c r="B312" s="883" t="s">
        <v>556</v>
      </c>
      <c r="C312" s="884"/>
      <c r="D312" s="884"/>
      <c r="E312" s="884"/>
      <c r="F312" s="771"/>
      <c r="G312" s="675">
        <f>TRUNC(SUM(G295,G309,G311)*6%,0)</f>
        <v>213711</v>
      </c>
      <c r="H312" s="676"/>
      <c r="I312" s="765">
        <f>TRUNC(G312/$G$313*100,2)</f>
        <v>5.66</v>
      </c>
      <c r="J312" s="676"/>
      <c r="K312" s="761"/>
      <c r="L312" s="820" t="s">
        <v>558</v>
      </c>
      <c r="M312" s="876">
        <v>0.87744999999999995</v>
      </c>
      <c r="N312" s="766">
        <f t="shared" si="0"/>
        <v>187520.71695</v>
      </c>
      <c r="O312" s="772"/>
    </row>
    <row r="313" spans="1:15" ht="18.95" customHeight="1">
      <c r="A313" s="770"/>
      <c r="B313" s="884" t="s">
        <v>294</v>
      </c>
      <c r="C313" s="884"/>
      <c r="D313" s="884"/>
      <c r="E313" s="884"/>
      <c r="F313" s="771"/>
      <c r="G313" s="675">
        <f>SUM(G310:G312)</f>
        <v>3775562</v>
      </c>
      <c r="H313" s="676"/>
      <c r="I313" s="765">
        <f>TRUNC(G313/$G$313*100,2)</f>
        <v>100</v>
      </c>
      <c r="J313" s="676"/>
      <c r="K313" s="761"/>
      <c r="L313" s="813" t="s">
        <v>271</v>
      </c>
      <c r="M313" s="876">
        <v>0.87744999999999995</v>
      </c>
      <c r="N313" s="766">
        <f t="shared" si="0"/>
        <v>3312866.8769</v>
      </c>
    </row>
    <row r="314" spans="1:15" ht="18.95" customHeight="1">
      <c r="A314" s="770"/>
      <c r="B314" s="901" t="s">
        <v>298</v>
      </c>
      <c r="C314" s="901"/>
      <c r="D314" s="901"/>
      <c r="E314" s="901"/>
      <c r="F314" s="771"/>
      <c r="G314" s="773">
        <f>TRUNC(G313*10%)</f>
        <v>377556</v>
      </c>
      <c r="H314" s="774"/>
      <c r="I314" s="775"/>
      <c r="J314" s="774"/>
      <c r="K314" s="776"/>
      <c r="L314" s="814" t="s">
        <v>300</v>
      </c>
      <c r="M314" s="876">
        <v>0.87744999999999995</v>
      </c>
      <c r="N314" s="766">
        <f t="shared" si="0"/>
        <v>331286.5122</v>
      </c>
    </row>
    <row r="315" spans="1:15" ht="18.95" customHeight="1">
      <c r="A315" s="770"/>
      <c r="B315" s="901" t="s">
        <v>299</v>
      </c>
      <c r="C315" s="901"/>
      <c r="D315" s="901"/>
      <c r="E315" s="901"/>
      <c r="F315" s="771"/>
      <c r="G315" s="773">
        <f>SUM(G313:G314)</f>
        <v>4153118</v>
      </c>
      <c r="H315" s="774"/>
      <c r="I315" s="775"/>
      <c r="J315" s="774"/>
      <c r="K315" s="776"/>
      <c r="L315" s="814" t="s">
        <v>301</v>
      </c>
      <c r="M315" s="876">
        <v>0.87744999999999995</v>
      </c>
      <c r="N315" s="766">
        <f t="shared" si="0"/>
        <v>3644153.3890999998</v>
      </c>
    </row>
    <row r="316" spans="1:15" ht="20.100000000000001" customHeight="1">
      <c r="A316" s="741"/>
      <c r="B316" s="741"/>
      <c r="C316" s="741"/>
      <c r="D316" s="741"/>
      <c r="E316" s="616"/>
      <c r="F316" s="616"/>
      <c r="G316" s="616"/>
      <c r="I316" s="690"/>
      <c r="L316" s="808"/>
      <c r="M316" s="876">
        <v>0.87744999999999995</v>
      </c>
      <c r="N316" s="766">
        <f t="shared" si="0"/>
        <v>0</v>
      </c>
      <c r="O316" s="690"/>
    </row>
    <row r="317" spans="1:15" s="619" customFormat="1" ht="39.950000000000003" customHeight="1">
      <c r="A317" s="617" t="s">
        <v>475</v>
      </c>
      <c r="B317" s="618"/>
      <c r="C317" s="743"/>
      <c r="D317" s="743"/>
      <c r="E317" s="742"/>
      <c r="F317" s="742"/>
      <c r="G317" s="747"/>
      <c r="H317" s="744"/>
      <c r="I317" s="748"/>
      <c r="J317" s="745"/>
      <c r="K317" s="748"/>
      <c r="L317" s="809"/>
      <c r="M317" s="876">
        <v>0.87744999999999995</v>
      </c>
      <c r="N317" s="766">
        <f t="shared" si="0"/>
        <v>0</v>
      </c>
    </row>
    <row r="318" spans="1:15" ht="20.100000000000001" customHeight="1">
      <c r="A318" s="749"/>
      <c r="B318" s="750"/>
      <c r="C318" s="749"/>
      <c r="D318" s="749"/>
      <c r="E318" s="750"/>
      <c r="F318" s="750"/>
      <c r="G318" s="751"/>
      <c r="H318" s="752"/>
      <c r="I318" s="753"/>
      <c r="J318" s="754"/>
      <c r="K318" s="753"/>
      <c r="L318" s="810"/>
      <c r="M318" s="876">
        <v>0.87744999999999995</v>
      </c>
      <c r="N318" s="766">
        <f t="shared" si="0"/>
        <v>0</v>
      </c>
      <c r="O318" s="619"/>
    </row>
    <row r="319" spans="1:15" ht="20.100000000000001" customHeight="1">
      <c r="A319" s="656" t="str">
        <f>"구 분 : "&amp;월기본급!B18&amp;"                       직종명 : "&amp;월기본급!F18&amp;""</f>
        <v>구 분 : 운 전 원                       직종명 : 단순노무종사원</v>
      </c>
      <c r="B319" s="612"/>
      <c r="C319" s="656"/>
      <c r="D319" s="656"/>
      <c r="G319" s="687"/>
      <c r="H319" s="687"/>
      <c r="I319" s="687"/>
      <c r="L319" s="811" t="s">
        <v>15</v>
      </c>
      <c r="M319" s="876">
        <v>0.87744999999999995</v>
      </c>
      <c r="N319" s="766">
        <f t="shared" si="0"/>
        <v>0</v>
      </c>
      <c r="O319" s="619"/>
    </row>
    <row r="320" spans="1:15" ht="20.100000000000001" customHeight="1">
      <c r="A320" s="755"/>
      <c r="B320" s="756"/>
      <c r="C320" s="756"/>
      <c r="D320" s="756"/>
      <c r="E320" s="757" t="s">
        <v>16</v>
      </c>
      <c r="F320" s="757"/>
      <c r="G320" s="917" t="s">
        <v>17</v>
      </c>
      <c r="H320" s="918"/>
      <c r="I320" s="917" t="s">
        <v>18</v>
      </c>
      <c r="J320" s="918"/>
      <c r="K320" s="777"/>
      <c r="L320" s="921" t="s">
        <v>19</v>
      </c>
      <c r="M320" s="876">
        <v>0.87744999999999995</v>
      </c>
      <c r="N320" s="766" t="e">
        <f t="shared" si="0"/>
        <v>#VALUE!</v>
      </c>
      <c r="O320" s="619"/>
    </row>
    <row r="321" spans="1:14" ht="20.100000000000001" customHeight="1">
      <c r="A321" s="758" t="s">
        <v>20</v>
      </c>
      <c r="B321" s="759"/>
      <c r="C321" s="760"/>
      <c r="D321" s="760"/>
      <c r="E321" s="760"/>
      <c r="F321" s="760"/>
      <c r="G321" s="919"/>
      <c r="H321" s="920"/>
      <c r="I321" s="919"/>
      <c r="J321" s="920"/>
      <c r="K321" s="778"/>
      <c r="L321" s="922"/>
      <c r="M321" s="876">
        <v>0.87744999999999995</v>
      </c>
      <c r="N321" s="766">
        <f t="shared" si="0"/>
        <v>0</v>
      </c>
    </row>
    <row r="322" spans="1:14" ht="18.95" customHeight="1">
      <c r="A322" s="902" t="s">
        <v>204</v>
      </c>
      <c r="B322" s="903"/>
      <c r="C322" s="914" t="s">
        <v>21</v>
      </c>
      <c r="D322" s="915"/>
      <c r="E322" s="915"/>
      <c r="F322" s="916"/>
      <c r="G322" s="675">
        <f>단위당인건비!E177</f>
        <v>1707524</v>
      </c>
      <c r="H322" s="676"/>
      <c r="I322" s="675"/>
      <c r="J322" s="676"/>
      <c r="K322" s="761"/>
      <c r="L322" s="812"/>
      <c r="M322" s="876">
        <v>0.87744999999999995</v>
      </c>
      <c r="N322" s="766">
        <f t="shared" si="0"/>
        <v>1498266.9338</v>
      </c>
    </row>
    <row r="323" spans="1:14" ht="18.95" customHeight="1">
      <c r="A323" s="904"/>
      <c r="B323" s="905"/>
      <c r="C323" s="908" t="s">
        <v>213</v>
      </c>
      <c r="D323" s="654"/>
      <c r="E323" s="693" t="s">
        <v>0</v>
      </c>
      <c r="F323" s="654"/>
      <c r="G323" s="675">
        <f>단위당인건비!E178</f>
        <v>265932</v>
      </c>
      <c r="H323" s="676"/>
      <c r="I323" s="675"/>
      <c r="J323" s="676"/>
      <c r="K323" s="761"/>
      <c r="L323" s="812"/>
      <c r="M323" s="876">
        <v>0.87744999999999995</v>
      </c>
      <c r="N323" s="766">
        <f t="shared" si="0"/>
        <v>233342.03339999999</v>
      </c>
    </row>
    <row r="324" spans="1:14" ht="18.95" customHeight="1">
      <c r="A324" s="904"/>
      <c r="B324" s="905"/>
      <c r="C324" s="909"/>
      <c r="D324" s="654"/>
      <c r="E324" s="693" t="s">
        <v>209</v>
      </c>
      <c r="F324" s="762"/>
      <c r="G324" s="675">
        <f>단위당인건비!E179</f>
        <v>0</v>
      </c>
      <c r="H324" s="676"/>
      <c r="I324" s="675"/>
      <c r="J324" s="676"/>
      <c r="K324" s="761"/>
      <c r="L324" s="812"/>
      <c r="M324" s="876">
        <v>0.87744999999999995</v>
      </c>
      <c r="N324" s="766">
        <f t="shared" si="0"/>
        <v>0</v>
      </c>
    </row>
    <row r="325" spans="1:14" ht="18.95" customHeight="1">
      <c r="A325" s="904"/>
      <c r="B325" s="905"/>
      <c r="C325" s="909"/>
      <c r="D325" s="654"/>
      <c r="E325" s="693" t="s">
        <v>4</v>
      </c>
      <c r="F325" s="762"/>
      <c r="G325" s="675">
        <f>단위당인건비!E180</f>
        <v>81699</v>
      </c>
      <c r="H325" s="676"/>
      <c r="I325" s="675"/>
      <c r="J325" s="676"/>
      <c r="K325" s="761"/>
      <c r="L325" s="812"/>
      <c r="M325" s="876">
        <v>0.87744999999999995</v>
      </c>
      <c r="N325" s="766">
        <f t="shared" si="0"/>
        <v>71686.787549999994</v>
      </c>
    </row>
    <row r="326" spans="1:14" ht="18.95" customHeight="1">
      <c r="A326" s="904"/>
      <c r="B326" s="905"/>
      <c r="C326" s="909"/>
      <c r="D326" s="654"/>
      <c r="E326" s="693" t="s">
        <v>257</v>
      </c>
      <c r="F326" s="762"/>
      <c r="G326" s="675">
        <f>단위당인건비!E181</f>
        <v>0</v>
      </c>
      <c r="H326" s="676"/>
      <c r="I326" s="675"/>
      <c r="J326" s="676"/>
      <c r="K326" s="923"/>
      <c r="L326" s="924"/>
      <c r="M326" s="876">
        <v>0.87744999999999995</v>
      </c>
      <c r="N326" s="766">
        <f t="shared" si="0"/>
        <v>0</v>
      </c>
    </row>
    <row r="327" spans="1:14" ht="18.95" customHeight="1">
      <c r="A327" s="904"/>
      <c r="B327" s="905"/>
      <c r="C327" s="910"/>
      <c r="D327" s="654"/>
      <c r="E327" s="763" t="s">
        <v>5</v>
      </c>
      <c r="F327" s="763"/>
      <c r="G327" s="675">
        <f>단위당인건비!E182</f>
        <v>347631</v>
      </c>
      <c r="H327" s="676"/>
      <c r="I327" s="764"/>
      <c r="J327" s="676"/>
      <c r="K327" s="819"/>
      <c r="L327" s="818"/>
      <c r="M327" s="876">
        <v>0.87744999999999995</v>
      </c>
      <c r="N327" s="766"/>
    </row>
    <row r="328" spans="1:14" ht="18.95" customHeight="1">
      <c r="A328" s="904"/>
      <c r="B328" s="905"/>
      <c r="C328" s="914" t="s">
        <v>24</v>
      </c>
      <c r="D328" s="915"/>
      <c r="E328" s="915"/>
      <c r="F328" s="916"/>
      <c r="G328" s="828">
        <f>단위당인건비!E183</f>
        <v>569174</v>
      </c>
      <c r="H328" s="676"/>
      <c r="I328" s="764"/>
      <c r="J328" s="676"/>
      <c r="K328" s="819"/>
      <c r="L328" s="818"/>
      <c r="M328" s="876">
        <v>0.87744999999999995</v>
      </c>
      <c r="N328" s="766">
        <f t="shared" si="0"/>
        <v>499421.72629999998</v>
      </c>
    </row>
    <row r="329" spans="1:14" ht="18.95" customHeight="1">
      <c r="A329" s="904"/>
      <c r="B329" s="905"/>
      <c r="C329" s="914" t="s">
        <v>25</v>
      </c>
      <c r="D329" s="915"/>
      <c r="E329" s="915"/>
      <c r="F329" s="916"/>
      <c r="G329" s="675">
        <f>단위당인건비!E184</f>
        <v>218694</v>
      </c>
      <c r="H329" s="676"/>
      <c r="I329" s="764"/>
      <c r="J329" s="676"/>
      <c r="K329" s="819"/>
      <c r="L329" s="818"/>
      <c r="M329" s="876">
        <v>0.87744999999999995</v>
      </c>
      <c r="N329" s="766"/>
    </row>
    <row r="330" spans="1:14" ht="18.95" customHeight="1">
      <c r="A330" s="906"/>
      <c r="B330" s="907"/>
      <c r="C330" s="914" t="s">
        <v>14</v>
      </c>
      <c r="D330" s="915"/>
      <c r="E330" s="915"/>
      <c r="F330" s="916"/>
      <c r="G330" s="867">
        <f>단위당인건비!E185</f>
        <v>2843023</v>
      </c>
      <c r="H330" s="866"/>
      <c r="I330" s="865">
        <f>TRUNC(G330/$G$348*100,2)</f>
        <v>82.4</v>
      </c>
      <c r="J330" s="866"/>
      <c r="K330" s="864"/>
      <c r="L330" s="863" t="str">
        <f>단위당인건비!$A$1&amp;"참조"</f>
        <v>&lt; 표 : 4 &gt; 참조</v>
      </c>
      <c r="M330" s="876">
        <v>0.87744999999999995</v>
      </c>
      <c r="N330" s="766">
        <f t="shared" si="0"/>
        <v>2494610.5313499998</v>
      </c>
    </row>
    <row r="331" spans="1:14" ht="18.95" customHeight="1">
      <c r="A331" s="902" t="s">
        <v>212</v>
      </c>
      <c r="B331" s="903"/>
      <c r="C331" s="908" t="s">
        <v>3</v>
      </c>
      <c r="D331" s="654"/>
      <c r="E331" s="693" t="s">
        <v>27</v>
      </c>
      <c r="F331" s="693"/>
      <c r="G331" s="675">
        <f>경비집계표!F55</f>
        <v>44613</v>
      </c>
      <c r="H331" s="676"/>
      <c r="I331" s="675"/>
      <c r="J331" s="676"/>
      <c r="K331" s="761"/>
      <c r="L331" s="813"/>
      <c r="M331" s="876">
        <v>0.87744999999999995</v>
      </c>
      <c r="N331" s="766">
        <f t="shared" si="0"/>
        <v>39145.676849999996</v>
      </c>
    </row>
    <row r="332" spans="1:14" ht="18.95" customHeight="1">
      <c r="A332" s="904"/>
      <c r="B332" s="905"/>
      <c r="C332" s="909"/>
      <c r="D332" s="654"/>
      <c r="E332" s="693" t="s">
        <v>28</v>
      </c>
      <c r="F332" s="693"/>
      <c r="G332" s="675">
        <f>경비집계표!F56</f>
        <v>118094</v>
      </c>
      <c r="H332" s="676"/>
      <c r="I332" s="675"/>
      <c r="J332" s="676"/>
      <c r="K332" s="761"/>
      <c r="L332" s="813"/>
      <c r="M332" s="876">
        <v>0.87744999999999995</v>
      </c>
      <c r="N332" s="766">
        <f t="shared" si="0"/>
        <v>103621.5803</v>
      </c>
    </row>
    <row r="333" spans="1:14" ht="18.95" customHeight="1">
      <c r="A333" s="904"/>
      <c r="B333" s="905"/>
      <c r="C333" s="909"/>
      <c r="D333" s="654"/>
      <c r="E333" s="693" t="s">
        <v>29</v>
      </c>
      <c r="F333" s="693"/>
      <c r="G333" s="675">
        <f>경비집계표!F57</f>
        <v>23618</v>
      </c>
      <c r="H333" s="676"/>
      <c r="I333" s="675"/>
      <c r="J333" s="676"/>
      <c r="K333" s="761"/>
      <c r="L333" s="813"/>
      <c r="M333" s="876">
        <v>0.87744999999999995</v>
      </c>
      <c r="N333" s="766">
        <f t="shared" si="0"/>
        <v>20723.614099999999</v>
      </c>
    </row>
    <row r="334" spans="1:14" ht="18.95" customHeight="1">
      <c r="A334" s="904"/>
      <c r="B334" s="905"/>
      <c r="C334" s="909"/>
      <c r="D334" s="654"/>
      <c r="E334" s="693" t="s">
        <v>30</v>
      </c>
      <c r="F334" s="693"/>
      <c r="G334" s="675">
        <f>경비집계표!F58</f>
        <v>79648</v>
      </c>
      <c r="H334" s="676"/>
      <c r="I334" s="675"/>
      <c r="J334" s="676"/>
      <c r="K334" s="761"/>
      <c r="L334" s="813"/>
      <c r="M334" s="876">
        <v>0.87744999999999995</v>
      </c>
      <c r="N334" s="766">
        <f t="shared" si="0"/>
        <v>69887.137600000002</v>
      </c>
    </row>
    <row r="335" spans="1:14" ht="18.95" customHeight="1">
      <c r="A335" s="904"/>
      <c r="B335" s="905"/>
      <c r="C335" s="909"/>
      <c r="D335" s="654"/>
      <c r="E335" s="721" t="s">
        <v>237</v>
      </c>
      <c r="F335" s="693"/>
      <c r="G335" s="675">
        <f>경비집계표!F59</f>
        <v>5216</v>
      </c>
      <c r="H335" s="676"/>
      <c r="I335" s="675"/>
      <c r="J335" s="676"/>
      <c r="K335" s="761"/>
      <c r="L335" s="813"/>
      <c r="M335" s="876">
        <v>0.87744999999999995</v>
      </c>
      <c r="N335" s="766">
        <f t="shared" si="0"/>
        <v>4576.7791999999999</v>
      </c>
    </row>
    <row r="336" spans="1:14" ht="18.95" customHeight="1">
      <c r="A336" s="904"/>
      <c r="B336" s="905"/>
      <c r="C336" s="909"/>
      <c r="D336" s="654"/>
      <c r="E336" s="693" t="s">
        <v>31</v>
      </c>
      <c r="F336" s="693"/>
      <c r="G336" s="675">
        <f>경비집계표!F60</f>
        <v>2099</v>
      </c>
      <c r="H336" s="676"/>
      <c r="I336" s="675"/>
      <c r="J336" s="676"/>
      <c r="K336" s="761"/>
      <c r="L336" s="813"/>
      <c r="M336" s="876">
        <v>0.87744999999999995</v>
      </c>
      <c r="N336" s="766">
        <f t="shared" si="0"/>
        <v>1841.7675499999998</v>
      </c>
    </row>
    <row r="337" spans="1:15" ht="18.95" customHeight="1">
      <c r="A337" s="904"/>
      <c r="B337" s="905"/>
      <c r="C337" s="910"/>
      <c r="D337" s="654"/>
      <c r="E337" s="763" t="s">
        <v>5</v>
      </c>
      <c r="F337" s="693"/>
      <c r="G337" s="675">
        <f>경비집계표!F61</f>
        <v>273288</v>
      </c>
      <c r="H337" s="676"/>
      <c r="I337" s="675"/>
      <c r="J337" s="676"/>
      <c r="K337" s="761"/>
      <c r="L337" s="813"/>
      <c r="M337" s="876">
        <v>0.87744999999999995</v>
      </c>
      <c r="N337" s="766">
        <f t="shared" si="0"/>
        <v>239796.55559999999</v>
      </c>
    </row>
    <row r="338" spans="1:15" ht="18.95" customHeight="1">
      <c r="A338" s="904"/>
      <c r="B338" s="905"/>
      <c r="C338" s="911" t="s">
        <v>303</v>
      </c>
      <c r="D338" s="654"/>
      <c r="E338" s="693" t="s">
        <v>32</v>
      </c>
      <c r="F338" s="693"/>
      <c r="G338" s="675">
        <f>경비집계표!F62</f>
        <v>0</v>
      </c>
      <c r="H338" s="676"/>
      <c r="I338" s="675"/>
      <c r="J338" s="676"/>
      <c r="K338" s="761"/>
      <c r="L338" s="813"/>
      <c r="M338" s="876">
        <v>0.87744999999999995</v>
      </c>
      <c r="N338" s="766">
        <f t="shared" si="0"/>
        <v>0</v>
      </c>
    </row>
    <row r="339" spans="1:15" ht="18.95" customHeight="1">
      <c r="A339" s="904"/>
      <c r="B339" s="905"/>
      <c r="C339" s="912"/>
      <c r="D339" s="654"/>
      <c r="E339" s="693" t="s">
        <v>465</v>
      </c>
      <c r="F339" s="693"/>
      <c r="G339" s="675">
        <f>경비집계표!F63</f>
        <v>0</v>
      </c>
      <c r="H339" s="676"/>
      <c r="I339" s="675"/>
      <c r="J339" s="676"/>
      <c r="K339" s="761"/>
      <c r="L339" s="813"/>
      <c r="M339" s="876">
        <v>0.87744999999999995</v>
      </c>
      <c r="N339" s="766">
        <f t="shared" si="0"/>
        <v>0</v>
      </c>
    </row>
    <row r="340" spans="1:15" ht="18.95" customHeight="1">
      <c r="A340" s="904"/>
      <c r="B340" s="905"/>
      <c r="C340" s="912"/>
      <c r="D340" s="654"/>
      <c r="E340" s="693" t="s">
        <v>462</v>
      </c>
      <c r="F340" s="693"/>
      <c r="G340" s="675">
        <f>경비집계표!F64</f>
        <v>0</v>
      </c>
      <c r="H340" s="676"/>
      <c r="I340" s="675"/>
      <c r="J340" s="676"/>
      <c r="K340" s="761"/>
      <c r="L340" s="813"/>
      <c r="M340" s="876">
        <v>0.87744999999999995</v>
      </c>
      <c r="N340" s="766">
        <f t="shared" si="0"/>
        <v>0</v>
      </c>
    </row>
    <row r="341" spans="1:15" ht="18.95" customHeight="1">
      <c r="A341" s="904"/>
      <c r="B341" s="905"/>
      <c r="C341" s="913"/>
      <c r="D341" s="654"/>
      <c r="E341" s="763" t="s">
        <v>5</v>
      </c>
      <c r="F341" s="693"/>
      <c r="G341" s="675">
        <f>경비집계표!F65</f>
        <v>0</v>
      </c>
      <c r="H341" s="676"/>
      <c r="I341" s="675"/>
      <c r="J341" s="676"/>
      <c r="K341" s="761"/>
      <c r="L341" s="813"/>
      <c r="M341" s="876">
        <v>0.87744999999999995</v>
      </c>
      <c r="N341" s="766">
        <f t="shared" si="0"/>
        <v>0</v>
      </c>
    </row>
    <row r="342" spans="1:15" ht="18.95" customHeight="1">
      <c r="A342" s="904"/>
      <c r="B342" s="905"/>
      <c r="C342" s="908" t="s">
        <v>260</v>
      </c>
      <c r="D342" s="654"/>
      <c r="E342" s="693" t="s">
        <v>262</v>
      </c>
      <c r="F342" s="693"/>
      <c r="G342" s="675">
        <f>경비집계표!F66</f>
        <v>13121</v>
      </c>
      <c r="H342" s="676"/>
      <c r="I342" s="675"/>
      <c r="J342" s="676"/>
      <c r="K342" s="761"/>
      <c r="L342" s="813"/>
      <c r="M342" s="876">
        <v>0.87744999999999995</v>
      </c>
      <c r="N342" s="766">
        <f t="shared" si="0"/>
        <v>11513.02145</v>
      </c>
    </row>
    <row r="343" spans="1:15" ht="18.95" customHeight="1">
      <c r="A343" s="904"/>
      <c r="B343" s="905"/>
      <c r="C343" s="910"/>
      <c r="D343" s="654"/>
      <c r="E343" s="693" t="s">
        <v>261</v>
      </c>
      <c r="F343" s="693"/>
      <c r="G343" s="675">
        <f>경비집계표!F67</f>
        <v>0</v>
      </c>
      <c r="H343" s="676"/>
      <c r="I343" s="675"/>
      <c r="J343" s="676"/>
      <c r="K343" s="761"/>
      <c r="L343" s="813"/>
      <c r="M343" s="876">
        <v>0.87744999999999995</v>
      </c>
      <c r="N343" s="766">
        <f t="shared" si="0"/>
        <v>0</v>
      </c>
    </row>
    <row r="344" spans="1:15" ht="18.95" customHeight="1">
      <c r="A344" s="906"/>
      <c r="B344" s="907"/>
      <c r="C344" s="914" t="s">
        <v>14</v>
      </c>
      <c r="D344" s="915"/>
      <c r="E344" s="915"/>
      <c r="F344" s="916"/>
      <c r="G344" s="675">
        <f>경비집계표!F68</f>
        <v>286409</v>
      </c>
      <c r="H344" s="676"/>
      <c r="I344" s="765">
        <f>TRUNC(G344/$G$348*100,2)</f>
        <v>8.3000000000000007</v>
      </c>
      <c r="J344" s="676"/>
      <c r="K344" s="761"/>
      <c r="L344" s="813" t="str">
        <f>경비집계표!$A$1&amp;"참조"</f>
        <v>&lt; 표 : 11 &gt; 참조</v>
      </c>
      <c r="M344" s="876">
        <v>0.87744999999999995</v>
      </c>
      <c r="N344" s="766">
        <f t="shared" si="0"/>
        <v>251309.57704999999</v>
      </c>
    </row>
    <row r="345" spans="1:15" ht="18.95" customHeight="1">
      <c r="A345" s="768"/>
      <c r="B345" s="884" t="s">
        <v>182</v>
      </c>
      <c r="C345" s="884"/>
      <c r="D345" s="884"/>
      <c r="E345" s="884"/>
      <c r="F345" s="769"/>
      <c r="G345" s="675">
        <f>SUM(G330,G344)</f>
        <v>3129432</v>
      </c>
      <c r="H345" s="676"/>
      <c r="I345" s="765">
        <f>TRUNC(G345/$G$348*100,2)</f>
        <v>90.71</v>
      </c>
      <c r="J345" s="676"/>
      <c r="K345" s="761"/>
      <c r="L345" s="813" t="s">
        <v>281</v>
      </c>
      <c r="M345" s="876">
        <v>0.87744999999999995</v>
      </c>
      <c r="N345" s="766">
        <f t="shared" si="0"/>
        <v>2745920.1083999998</v>
      </c>
    </row>
    <row r="346" spans="1:15" ht="18.95" customHeight="1">
      <c r="A346" s="770"/>
      <c r="B346" s="883" t="s">
        <v>633</v>
      </c>
      <c r="C346" s="884"/>
      <c r="D346" s="884"/>
      <c r="E346" s="884"/>
      <c r="F346" s="771"/>
      <c r="G346" s="675">
        <f>TRUNC(G345*4%,0)</f>
        <v>125177</v>
      </c>
      <c r="H346" s="676"/>
      <c r="I346" s="765">
        <f>TRUNC(G346/$G$348*100,2)</f>
        <v>3.62</v>
      </c>
      <c r="J346" s="676"/>
      <c r="K346" s="761"/>
      <c r="L346" s="820" t="s">
        <v>632</v>
      </c>
      <c r="M346" s="876">
        <v>0.87744999999999995</v>
      </c>
      <c r="N346" s="766">
        <f t="shared" si="0"/>
        <v>109836.55864999999</v>
      </c>
    </row>
    <row r="347" spans="1:15" ht="18.95" customHeight="1">
      <c r="A347" s="770"/>
      <c r="B347" s="883" t="s">
        <v>556</v>
      </c>
      <c r="C347" s="884"/>
      <c r="D347" s="884"/>
      <c r="E347" s="884"/>
      <c r="F347" s="771"/>
      <c r="G347" s="675">
        <f>TRUNC(SUM(G330,G344,G346)*6%,0)</f>
        <v>195276</v>
      </c>
      <c r="H347" s="676"/>
      <c r="I347" s="765">
        <f>TRUNC(G347/$G$348*100,2)</f>
        <v>5.66</v>
      </c>
      <c r="J347" s="676"/>
      <c r="K347" s="761"/>
      <c r="L347" s="820" t="s">
        <v>558</v>
      </c>
      <c r="M347" s="876">
        <v>0.87744999999999995</v>
      </c>
      <c r="N347" s="766">
        <f t="shared" si="0"/>
        <v>171344.92619999999</v>
      </c>
      <c r="O347" s="772"/>
    </row>
    <row r="348" spans="1:15" ht="18.95" customHeight="1">
      <c r="A348" s="770"/>
      <c r="B348" s="884" t="s">
        <v>294</v>
      </c>
      <c r="C348" s="884"/>
      <c r="D348" s="884"/>
      <c r="E348" s="884"/>
      <c r="F348" s="771"/>
      <c r="G348" s="675">
        <f>SUM(G345:G347)</f>
        <v>3449885</v>
      </c>
      <c r="H348" s="676"/>
      <c r="I348" s="765">
        <f>TRUNC(G348/$G$348*100,2)</f>
        <v>100</v>
      </c>
      <c r="J348" s="676"/>
      <c r="K348" s="761"/>
      <c r="L348" s="813" t="s">
        <v>271</v>
      </c>
      <c r="M348" s="876">
        <v>0.87744999999999995</v>
      </c>
      <c r="N348" s="766">
        <f t="shared" si="0"/>
        <v>3027101.5932499999</v>
      </c>
    </row>
    <row r="349" spans="1:15" ht="18.95" customHeight="1">
      <c r="A349" s="770"/>
      <c r="B349" s="901" t="s">
        <v>298</v>
      </c>
      <c r="C349" s="901"/>
      <c r="D349" s="901"/>
      <c r="E349" s="901"/>
      <c r="F349" s="771"/>
      <c r="G349" s="773">
        <f>TRUNC(G348*10%)</f>
        <v>344988</v>
      </c>
      <c r="H349" s="774"/>
      <c r="I349" s="775"/>
      <c r="J349" s="774"/>
      <c r="K349" s="776"/>
      <c r="L349" s="814" t="s">
        <v>300</v>
      </c>
      <c r="M349" s="876">
        <v>0.87744999999999995</v>
      </c>
      <c r="N349" s="766">
        <f t="shared" si="0"/>
        <v>302709.7206</v>
      </c>
    </row>
    <row r="350" spans="1:15" ht="18.95" customHeight="1">
      <c r="A350" s="770"/>
      <c r="B350" s="901" t="s">
        <v>299</v>
      </c>
      <c r="C350" s="901"/>
      <c r="D350" s="901"/>
      <c r="E350" s="901"/>
      <c r="F350" s="771"/>
      <c r="G350" s="773">
        <f>SUM(G348:G349)</f>
        <v>3794873</v>
      </c>
      <c r="H350" s="774"/>
      <c r="I350" s="775"/>
      <c r="J350" s="774"/>
      <c r="K350" s="776"/>
      <c r="L350" s="814" t="s">
        <v>301</v>
      </c>
      <c r="M350" s="876">
        <v>0.87744999999999995</v>
      </c>
      <c r="N350" s="766">
        <f t="shared" si="0"/>
        <v>3329811.31385</v>
      </c>
    </row>
    <row r="351" spans="1:15" ht="20.100000000000001" customHeight="1">
      <c r="A351" s="741"/>
      <c r="B351" s="741"/>
      <c r="C351" s="741"/>
      <c r="D351" s="741"/>
      <c r="E351" s="616"/>
      <c r="F351" s="616"/>
      <c r="G351" s="616"/>
      <c r="I351" s="690"/>
      <c r="L351" s="808"/>
      <c r="M351" s="876">
        <v>0.87744999999999995</v>
      </c>
      <c r="N351" s="766">
        <f t="shared" si="0"/>
        <v>0</v>
      </c>
      <c r="O351" s="690"/>
    </row>
    <row r="352" spans="1:15" s="619" customFormat="1" ht="39.950000000000003" customHeight="1">
      <c r="A352" s="617" t="s">
        <v>475</v>
      </c>
      <c r="B352" s="618"/>
      <c r="C352" s="743"/>
      <c r="D352" s="743"/>
      <c r="E352" s="742"/>
      <c r="F352" s="742"/>
      <c r="G352" s="747"/>
      <c r="H352" s="744"/>
      <c r="I352" s="748"/>
      <c r="J352" s="745"/>
      <c r="K352" s="748"/>
      <c r="L352" s="809"/>
      <c r="M352" s="876">
        <v>0.87744999999999995</v>
      </c>
      <c r="N352" s="766">
        <f t="shared" ref="N352:N385" si="1">ABS(G352*M352)</f>
        <v>0</v>
      </c>
    </row>
    <row r="353" spans="1:15" ht="20.100000000000001" customHeight="1">
      <c r="A353" s="749"/>
      <c r="B353" s="750"/>
      <c r="C353" s="749"/>
      <c r="D353" s="749"/>
      <c r="E353" s="750"/>
      <c r="F353" s="750"/>
      <c r="G353" s="751"/>
      <c r="H353" s="752"/>
      <c r="I353" s="753"/>
      <c r="J353" s="754"/>
      <c r="K353" s="753"/>
      <c r="L353" s="810"/>
      <c r="M353" s="876">
        <v>0.87744999999999995</v>
      </c>
      <c r="N353" s="766">
        <f t="shared" si="1"/>
        <v>0</v>
      </c>
      <c r="O353" s="619"/>
    </row>
    <row r="354" spans="1:15" ht="20.100000000000001" customHeight="1">
      <c r="A354" s="656" t="str">
        <f>"구 분 : "&amp;월기본급!B19&amp;"                       직종명 : "&amp;월기본급!F19&amp;""</f>
        <v>구 분 : 사무보조원                       직종명 : 단순노무종사원</v>
      </c>
      <c r="B354" s="612"/>
      <c r="C354" s="656"/>
      <c r="D354" s="656"/>
      <c r="G354" s="687"/>
      <c r="H354" s="687"/>
      <c r="I354" s="687"/>
      <c r="L354" s="811" t="s">
        <v>15</v>
      </c>
      <c r="M354" s="876">
        <v>0.87744999999999995</v>
      </c>
      <c r="N354" s="766">
        <f t="shared" si="1"/>
        <v>0</v>
      </c>
      <c r="O354" s="619"/>
    </row>
    <row r="355" spans="1:15" ht="20.100000000000001" customHeight="1">
      <c r="A355" s="755"/>
      <c r="B355" s="756"/>
      <c r="C355" s="756"/>
      <c r="D355" s="756"/>
      <c r="E355" s="757" t="s">
        <v>16</v>
      </c>
      <c r="F355" s="757"/>
      <c r="G355" s="917" t="s">
        <v>17</v>
      </c>
      <c r="H355" s="918"/>
      <c r="I355" s="917" t="s">
        <v>18</v>
      </c>
      <c r="J355" s="918"/>
      <c r="K355" s="777"/>
      <c r="L355" s="921" t="s">
        <v>19</v>
      </c>
      <c r="M355" s="876">
        <v>0.87744999999999995</v>
      </c>
      <c r="N355" s="766" t="e">
        <f t="shared" si="1"/>
        <v>#VALUE!</v>
      </c>
      <c r="O355" s="619"/>
    </row>
    <row r="356" spans="1:15" ht="20.100000000000001" customHeight="1">
      <c r="A356" s="758" t="s">
        <v>20</v>
      </c>
      <c r="B356" s="759"/>
      <c r="C356" s="760"/>
      <c r="D356" s="760"/>
      <c r="E356" s="760"/>
      <c r="F356" s="760"/>
      <c r="G356" s="919"/>
      <c r="H356" s="920"/>
      <c r="I356" s="919"/>
      <c r="J356" s="920"/>
      <c r="K356" s="778"/>
      <c r="L356" s="922"/>
      <c r="M356" s="876">
        <v>0.87744999999999995</v>
      </c>
      <c r="N356" s="766">
        <f t="shared" si="1"/>
        <v>0</v>
      </c>
    </row>
    <row r="357" spans="1:15" ht="18.95" customHeight="1">
      <c r="A357" s="902" t="s">
        <v>204</v>
      </c>
      <c r="B357" s="903"/>
      <c r="C357" s="914" t="s">
        <v>21</v>
      </c>
      <c r="D357" s="915"/>
      <c r="E357" s="915"/>
      <c r="F357" s="916"/>
      <c r="G357" s="675">
        <f>단위당인건비!E196</f>
        <v>1707524</v>
      </c>
      <c r="H357" s="676"/>
      <c r="I357" s="675"/>
      <c r="J357" s="676"/>
      <c r="K357" s="761"/>
      <c r="L357" s="812"/>
      <c r="M357" s="876">
        <v>0.87744999999999995</v>
      </c>
      <c r="N357" s="766">
        <f t="shared" si="1"/>
        <v>1498266.9338</v>
      </c>
    </row>
    <row r="358" spans="1:15" ht="18.95" customHeight="1">
      <c r="A358" s="904"/>
      <c r="B358" s="905"/>
      <c r="C358" s="908" t="s">
        <v>213</v>
      </c>
      <c r="D358" s="654"/>
      <c r="E358" s="693" t="s">
        <v>0</v>
      </c>
      <c r="F358" s="654"/>
      <c r="G358" s="675">
        <f>단위당인건비!E197</f>
        <v>265932</v>
      </c>
      <c r="H358" s="676"/>
      <c r="I358" s="675"/>
      <c r="J358" s="676"/>
      <c r="K358" s="761"/>
      <c r="L358" s="812"/>
      <c r="M358" s="876">
        <v>0.87744999999999995</v>
      </c>
      <c r="N358" s="766">
        <f t="shared" si="1"/>
        <v>233342.03339999999</v>
      </c>
    </row>
    <row r="359" spans="1:15" ht="18.95" customHeight="1">
      <c r="A359" s="904"/>
      <c r="B359" s="905"/>
      <c r="C359" s="909"/>
      <c r="D359" s="654"/>
      <c r="E359" s="693" t="s">
        <v>209</v>
      </c>
      <c r="F359" s="762"/>
      <c r="G359" s="675">
        <f>단위당인건비!E198</f>
        <v>0</v>
      </c>
      <c r="H359" s="676"/>
      <c r="I359" s="675"/>
      <c r="J359" s="676"/>
      <c r="K359" s="761"/>
      <c r="L359" s="812"/>
      <c r="M359" s="876">
        <v>0.87744999999999995</v>
      </c>
      <c r="N359" s="766">
        <f t="shared" si="1"/>
        <v>0</v>
      </c>
    </row>
    <row r="360" spans="1:15" ht="18.95" customHeight="1">
      <c r="A360" s="904"/>
      <c r="B360" s="905"/>
      <c r="C360" s="909"/>
      <c r="D360" s="654"/>
      <c r="E360" s="693" t="s">
        <v>4</v>
      </c>
      <c r="F360" s="762"/>
      <c r="G360" s="675">
        <f>단위당인건비!E199</f>
        <v>81699</v>
      </c>
      <c r="H360" s="676"/>
      <c r="I360" s="675"/>
      <c r="J360" s="676"/>
      <c r="K360" s="761"/>
      <c r="L360" s="812"/>
      <c r="M360" s="876">
        <v>0.87744999999999995</v>
      </c>
      <c r="N360" s="766">
        <f t="shared" si="1"/>
        <v>71686.787549999994</v>
      </c>
    </row>
    <row r="361" spans="1:15" ht="18.95" customHeight="1">
      <c r="A361" s="904"/>
      <c r="B361" s="905"/>
      <c r="C361" s="909"/>
      <c r="D361" s="654"/>
      <c r="E361" s="693" t="s">
        <v>257</v>
      </c>
      <c r="F361" s="762"/>
      <c r="G361" s="675">
        <f>단위당인건비!E200</f>
        <v>0</v>
      </c>
      <c r="H361" s="676"/>
      <c r="I361" s="675"/>
      <c r="J361" s="676"/>
      <c r="K361" s="761"/>
      <c r="L361" s="812"/>
      <c r="M361" s="876">
        <v>0.87744999999999995</v>
      </c>
      <c r="N361" s="766">
        <f t="shared" si="1"/>
        <v>0</v>
      </c>
    </row>
    <row r="362" spans="1:15" ht="18.95" customHeight="1">
      <c r="A362" s="904"/>
      <c r="B362" s="905"/>
      <c r="C362" s="910"/>
      <c r="D362" s="654"/>
      <c r="E362" s="763" t="s">
        <v>5</v>
      </c>
      <c r="F362" s="763"/>
      <c r="G362" s="675">
        <f>단위당인건비!E201</f>
        <v>347631</v>
      </c>
      <c r="H362" s="676"/>
      <c r="I362" s="764"/>
      <c r="J362" s="676"/>
      <c r="K362" s="761"/>
      <c r="L362" s="813"/>
      <c r="M362" s="876">
        <v>0.87744999999999995</v>
      </c>
      <c r="N362" s="766"/>
    </row>
    <row r="363" spans="1:15" ht="18.95" customHeight="1">
      <c r="A363" s="904"/>
      <c r="B363" s="905"/>
      <c r="C363" s="914" t="s">
        <v>24</v>
      </c>
      <c r="D363" s="915"/>
      <c r="E363" s="915"/>
      <c r="F363" s="916"/>
      <c r="G363" s="828">
        <f>단위당인건비!E202</f>
        <v>71146</v>
      </c>
      <c r="H363" s="676"/>
      <c r="I363" s="764"/>
      <c r="J363" s="676"/>
      <c r="K363" s="761"/>
      <c r="L363" s="818"/>
      <c r="M363" s="876">
        <v>0.87744999999999995</v>
      </c>
      <c r="N363" s="766">
        <f t="shared" si="1"/>
        <v>62427.057699999998</v>
      </c>
    </row>
    <row r="364" spans="1:15" ht="18.95" customHeight="1">
      <c r="A364" s="904"/>
      <c r="B364" s="905"/>
      <c r="C364" s="914" t="s">
        <v>25</v>
      </c>
      <c r="D364" s="915"/>
      <c r="E364" s="915"/>
      <c r="F364" s="916"/>
      <c r="G364" s="675">
        <f>단위당인건비!E203</f>
        <v>177191</v>
      </c>
      <c r="H364" s="676"/>
      <c r="I364" s="764"/>
      <c r="J364" s="676"/>
      <c r="K364" s="761"/>
      <c r="L364" s="818"/>
      <c r="M364" s="876">
        <v>0.87744999999999995</v>
      </c>
      <c r="N364" s="766"/>
    </row>
    <row r="365" spans="1:15" ht="18.95" customHeight="1">
      <c r="A365" s="906"/>
      <c r="B365" s="907"/>
      <c r="C365" s="914" t="s">
        <v>14</v>
      </c>
      <c r="D365" s="915"/>
      <c r="E365" s="915"/>
      <c r="F365" s="916"/>
      <c r="G365" s="675">
        <f>단위당인건비!E204</f>
        <v>2303492</v>
      </c>
      <c r="H365" s="676"/>
      <c r="I365" s="765">
        <f>TRUNC(G365/$G$383*100,2)</f>
        <v>82.4</v>
      </c>
      <c r="J365" s="676"/>
      <c r="K365" s="761"/>
      <c r="L365" s="813" t="str">
        <f>단위당인건비!$A$1&amp;"참조"</f>
        <v>&lt; 표 : 4 &gt; 참조</v>
      </c>
      <c r="M365" s="876">
        <v>0.87744999999999995</v>
      </c>
      <c r="N365" s="766">
        <f t="shared" si="1"/>
        <v>2021199.0554</v>
      </c>
    </row>
    <row r="366" spans="1:15" ht="18.95" customHeight="1">
      <c r="A366" s="902" t="s">
        <v>212</v>
      </c>
      <c r="B366" s="903"/>
      <c r="C366" s="908" t="s">
        <v>3</v>
      </c>
      <c r="D366" s="654"/>
      <c r="E366" s="693" t="s">
        <v>27</v>
      </c>
      <c r="F366" s="693"/>
      <c r="G366" s="675">
        <f>경비집계표!G55</f>
        <v>36147</v>
      </c>
      <c r="H366" s="676"/>
      <c r="I366" s="675"/>
      <c r="J366" s="676"/>
      <c r="K366" s="761"/>
      <c r="L366" s="813"/>
      <c r="M366" s="876">
        <v>0.87744999999999995</v>
      </c>
      <c r="N366" s="766">
        <f t="shared" si="1"/>
        <v>31717.185149999998</v>
      </c>
    </row>
    <row r="367" spans="1:15" ht="18.95" customHeight="1">
      <c r="A367" s="904"/>
      <c r="B367" s="905"/>
      <c r="C367" s="909"/>
      <c r="D367" s="654"/>
      <c r="E367" s="693" t="s">
        <v>28</v>
      </c>
      <c r="F367" s="693"/>
      <c r="G367" s="675">
        <f>경비집계표!G56</f>
        <v>95683</v>
      </c>
      <c r="H367" s="676"/>
      <c r="I367" s="675"/>
      <c r="J367" s="676"/>
      <c r="K367" s="761"/>
      <c r="L367" s="813"/>
      <c r="M367" s="876">
        <v>0.87744999999999995</v>
      </c>
      <c r="N367" s="766">
        <f t="shared" si="1"/>
        <v>83957.048349999997</v>
      </c>
    </row>
    <row r="368" spans="1:15" ht="18.95" customHeight="1">
      <c r="A368" s="904"/>
      <c r="B368" s="905"/>
      <c r="C368" s="909"/>
      <c r="D368" s="654"/>
      <c r="E368" s="693" t="s">
        <v>29</v>
      </c>
      <c r="F368" s="693"/>
      <c r="G368" s="675">
        <f>경비집계표!G57</f>
        <v>19136</v>
      </c>
      <c r="H368" s="676"/>
      <c r="I368" s="675"/>
      <c r="J368" s="676"/>
      <c r="K368" s="761"/>
      <c r="L368" s="813"/>
      <c r="M368" s="876">
        <v>0.87744999999999995</v>
      </c>
      <c r="N368" s="766">
        <f t="shared" si="1"/>
        <v>16790.8832</v>
      </c>
    </row>
    <row r="369" spans="1:15" ht="18.95" customHeight="1">
      <c r="A369" s="904"/>
      <c r="B369" s="905"/>
      <c r="C369" s="909"/>
      <c r="D369" s="654"/>
      <c r="E369" s="693" t="s">
        <v>30</v>
      </c>
      <c r="F369" s="693"/>
      <c r="G369" s="675">
        <f>경비집계표!G58</f>
        <v>64533</v>
      </c>
      <c r="H369" s="676"/>
      <c r="I369" s="675"/>
      <c r="J369" s="676"/>
      <c r="K369" s="761"/>
      <c r="L369" s="813"/>
      <c r="M369" s="876">
        <v>0.87744999999999995</v>
      </c>
      <c r="N369" s="766">
        <f t="shared" si="1"/>
        <v>56624.48085</v>
      </c>
    </row>
    <row r="370" spans="1:15" ht="18.95" customHeight="1">
      <c r="A370" s="904"/>
      <c r="B370" s="905"/>
      <c r="C370" s="909"/>
      <c r="D370" s="654"/>
      <c r="E370" s="721" t="s">
        <v>237</v>
      </c>
      <c r="F370" s="693"/>
      <c r="G370" s="675">
        <f>경비집계표!G59</f>
        <v>4226</v>
      </c>
      <c r="H370" s="676"/>
      <c r="I370" s="675"/>
      <c r="J370" s="676"/>
      <c r="K370" s="761"/>
      <c r="L370" s="813"/>
      <c r="M370" s="876">
        <v>0.87744999999999995</v>
      </c>
      <c r="N370" s="766">
        <f t="shared" si="1"/>
        <v>3708.1036999999997</v>
      </c>
    </row>
    <row r="371" spans="1:15" ht="18.95" customHeight="1">
      <c r="A371" s="904"/>
      <c r="B371" s="905"/>
      <c r="C371" s="909"/>
      <c r="D371" s="654"/>
      <c r="E371" s="693" t="s">
        <v>31</v>
      </c>
      <c r="F371" s="693"/>
      <c r="G371" s="675">
        <f>경비집계표!G60</f>
        <v>1701</v>
      </c>
      <c r="H371" s="676"/>
      <c r="I371" s="675"/>
      <c r="J371" s="676"/>
      <c r="K371" s="761"/>
      <c r="L371" s="813"/>
      <c r="M371" s="876">
        <v>0.87744999999999995</v>
      </c>
      <c r="N371" s="766">
        <f t="shared" si="1"/>
        <v>1492.5424499999999</v>
      </c>
    </row>
    <row r="372" spans="1:15" ht="18.95" customHeight="1">
      <c r="A372" s="904"/>
      <c r="B372" s="905"/>
      <c r="C372" s="910"/>
      <c r="D372" s="654"/>
      <c r="E372" s="763" t="s">
        <v>5</v>
      </c>
      <c r="F372" s="693"/>
      <c r="G372" s="675">
        <f>경비집계표!G61</f>
        <v>221426</v>
      </c>
      <c r="H372" s="676"/>
      <c r="I372" s="675"/>
      <c r="J372" s="676"/>
      <c r="K372" s="761"/>
      <c r="L372" s="813"/>
      <c r="M372" s="876">
        <v>0.87744999999999995</v>
      </c>
      <c r="N372" s="766">
        <f t="shared" si="1"/>
        <v>194290.24369999999</v>
      </c>
    </row>
    <row r="373" spans="1:15" ht="18.95" customHeight="1">
      <c r="A373" s="904"/>
      <c r="B373" s="905"/>
      <c r="C373" s="911" t="s">
        <v>303</v>
      </c>
      <c r="D373" s="654"/>
      <c r="E373" s="693" t="s">
        <v>32</v>
      </c>
      <c r="F373" s="693"/>
      <c r="G373" s="675">
        <f>경비집계표!G62</f>
        <v>0</v>
      </c>
      <c r="H373" s="676"/>
      <c r="I373" s="675"/>
      <c r="J373" s="676"/>
      <c r="K373" s="761"/>
      <c r="L373" s="813"/>
      <c r="M373" s="876">
        <v>0.87744999999999995</v>
      </c>
      <c r="N373" s="766">
        <f t="shared" si="1"/>
        <v>0</v>
      </c>
    </row>
    <row r="374" spans="1:15" ht="18.95" customHeight="1">
      <c r="A374" s="904"/>
      <c r="B374" s="905"/>
      <c r="C374" s="912"/>
      <c r="D374" s="654"/>
      <c r="E374" s="693" t="s">
        <v>465</v>
      </c>
      <c r="F374" s="693"/>
      <c r="G374" s="675">
        <f>경비집계표!G63</f>
        <v>0</v>
      </c>
      <c r="H374" s="676"/>
      <c r="I374" s="675"/>
      <c r="J374" s="676"/>
      <c r="K374" s="761"/>
      <c r="L374" s="813"/>
      <c r="M374" s="876">
        <v>0.87744999999999995</v>
      </c>
      <c r="N374" s="766">
        <f t="shared" si="1"/>
        <v>0</v>
      </c>
    </row>
    <row r="375" spans="1:15" ht="18.95" customHeight="1">
      <c r="A375" s="904"/>
      <c r="B375" s="905"/>
      <c r="C375" s="912"/>
      <c r="D375" s="654"/>
      <c r="E375" s="693" t="s">
        <v>462</v>
      </c>
      <c r="F375" s="693"/>
      <c r="G375" s="675">
        <f>경비집계표!G64</f>
        <v>0</v>
      </c>
      <c r="H375" s="676"/>
      <c r="I375" s="675"/>
      <c r="J375" s="676"/>
      <c r="K375" s="761"/>
      <c r="L375" s="813"/>
      <c r="M375" s="876">
        <v>0.87744999999999995</v>
      </c>
      <c r="N375" s="766">
        <f t="shared" si="1"/>
        <v>0</v>
      </c>
    </row>
    <row r="376" spans="1:15" ht="18.95" customHeight="1">
      <c r="A376" s="904"/>
      <c r="B376" s="905"/>
      <c r="C376" s="913"/>
      <c r="D376" s="654"/>
      <c r="E376" s="763" t="s">
        <v>5</v>
      </c>
      <c r="F376" s="693"/>
      <c r="G376" s="675">
        <f>경비집계표!G65</f>
        <v>0</v>
      </c>
      <c r="H376" s="676"/>
      <c r="I376" s="675"/>
      <c r="J376" s="676"/>
      <c r="K376" s="761"/>
      <c r="L376" s="813"/>
      <c r="M376" s="876">
        <v>0.87744999999999995</v>
      </c>
      <c r="N376" s="766">
        <f t="shared" si="1"/>
        <v>0</v>
      </c>
    </row>
    <row r="377" spans="1:15" ht="18.95" customHeight="1">
      <c r="A377" s="904"/>
      <c r="B377" s="905"/>
      <c r="C377" s="908" t="s">
        <v>260</v>
      </c>
      <c r="D377" s="654"/>
      <c r="E377" s="693" t="s">
        <v>262</v>
      </c>
      <c r="F377" s="693"/>
      <c r="G377" s="675">
        <f>경비집계표!G66</f>
        <v>10631</v>
      </c>
      <c r="H377" s="676"/>
      <c r="I377" s="675"/>
      <c r="J377" s="676"/>
      <c r="K377" s="761"/>
      <c r="L377" s="813"/>
      <c r="M377" s="876">
        <v>0.87744999999999995</v>
      </c>
      <c r="N377" s="766">
        <f t="shared" si="1"/>
        <v>9328.1709499999997</v>
      </c>
    </row>
    <row r="378" spans="1:15" ht="18.95" customHeight="1">
      <c r="A378" s="904"/>
      <c r="B378" s="905"/>
      <c r="C378" s="910"/>
      <c r="D378" s="654"/>
      <c r="E378" s="693" t="s">
        <v>261</v>
      </c>
      <c r="F378" s="693"/>
      <c r="G378" s="675">
        <f>경비집계표!G67</f>
        <v>0</v>
      </c>
      <c r="H378" s="676"/>
      <c r="I378" s="675"/>
      <c r="J378" s="676"/>
      <c r="K378" s="761"/>
      <c r="L378" s="813"/>
      <c r="M378" s="876">
        <v>0.87744999999999995</v>
      </c>
      <c r="N378" s="766">
        <f t="shared" si="1"/>
        <v>0</v>
      </c>
    </row>
    <row r="379" spans="1:15" ht="18.95" customHeight="1">
      <c r="A379" s="906"/>
      <c r="B379" s="907"/>
      <c r="C379" s="914" t="s">
        <v>14</v>
      </c>
      <c r="D379" s="915"/>
      <c r="E379" s="915"/>
      <c r="F379" s="916"/>
      <c r="G379" s="675">
        <f>경비집계표!G68</f>
        <v>232057</v>
      </c>
      <c r="H379" s="676"/>
      <c r="I379" s="765">
        <f>TRUNC(G379/$G$383*100,2)</f>
        <v>8.3000000000000007</v>
      </c>
      <c r="J379" s="676"/>
      <c r="K379" s="761"/>
      <c r="L379" s="813" t="str">
        <f>경비집계표!$A$1&amp;"참조"</f>
        <v>&lt; 표 : 11 &gt; 참조</v>
      </c>
      <c r="M379" s="876">
        <v>0.87744999999999995</v>
      </c>
      <c r="N379" s="766">
        <f t="shared" si="1"/>
        <v>203618.41464999999</v>
      </c>
    </row>
    <row r="380" spans="1:15" ht="18.95" customHeight="1">
      <c r="A380" s="768"/>
      <c r="B380" s="884" t="s">
        <v>182</v>
      </c>
      <c r="C380" s="884"/>
      <c r="D380" s="884"/>
      <c r="E380" s="884"/>
      <c r="F380" s="769"/>
      <c r="G380" s="675">
        <f>SUM(G365,G379)</f>
        <v>2535549</v>
      </c>
      <c r="H380" s="676"/>
      <c r="I380" s="765">
        <f>TRUNC(G380/$G$383*100,2)</f>
        <v>90.71</v>
      </c>
      <c r="J380" s="676"/>
      <c r="K380" s="761"/>
      <c r="L380" s="813" t="s">
        <v>550</v>
      </c>
      <c r="M380" s="876">
        <v>0.87744999999999995</v>
      </c>
      <c r="N380" s="766">
        <f t="shared" si="1"/>
        <v>2224817.4700499997</v>
      </c>
    </row>
    <row r="381" spans="1:15" ht="18.95" customHeight="1">
      <c r="A381" s="770"/>
      <c r="B381" s="883" t="s">
        <v>633</v>
      </c>
      <c r="C381" s="884"/>
      <c r="D381" s="884"/>
      <c r="E381" s="884"/>
      <c r="F381" s="771"/>
      <c r="G381" s="675">
        <f>TRUNC(G380*4%,0)</f>
        <v>101421</v>
      </c>
      <c r="H381" s="676"/>
      <c r="I381" s="765">
        <f>TRUNC(G381/$G$383*100,2)</f>
        <v>3.62</v>
      </c>
      <c r="J381" s="676"/>
      <c r="K381" s="761"/>
      <c r="L381" s="820" t="s">
        <v>632</v>
      </c>
      <c r="M381" s="876">
        <v>0.87744999999999995</v>
      </c>
      <c r="N381" s="766">
        <f t="shared" si="1"/>
        <v>88991.856449999992</v>
      </c>
    </row>
    <row r="382" spans="1:15" ht="18.95" customHeight="1">
      <c r="A382" s="770"/>
      <c r="B382" s="883" t="s">
        <v>556</v>
      </c>
      <c r="C382" s="884"/>
      <c r="D382" s="884"/>
      <c r="E382" s="884"/>
      <c r="F382" s="771"/>
      <c r="G382" s="675">
        <f>TRUNC(SUM(G365,G379,G381)*6%,0)</f>
        <v>158218</v>
      </c>
      <c r="H382" s="676"/>
      <c r="I382" s="765">
        <f>TRUNC(G382/$G$383*100,2)</f>
        <v>5.66</v>
      </c>
      <c r="J382" s="676"/>
      <c r="K382" s="761"/>
      <c r="L382" s="820" t="s">
        <v>558</v>
      </c>
      <c r="M382" s="876">
        <v>0.87744999999999995</v>
      </c>
      <c r="N382" s="766">
        <f t="shared" si="1"/>
        <v>138828.3841</v>
      </c>
      <c r="O382" s="772"/>
    </row>
    <row r="383" spans="1:15" ht="18.95" customHeight="1">
      <c r="A383" s="770"/>
      <c r="B383" s="884" t="s">
        <v>294</v>
      </c>
      <c r="C383" s="884"/>
      <c r="D383" s="884"/>
      <c r="E383" s="884"/>
      <c r="F383" s="771"/>
      <c r="G383" s="675">
        <f>SUM(G380:G382)</f>
        <v>2795188</v>
      </c>
      <c r="H383" s="676"/>
      <c r="I383" s="765">
        <f>TRUNC(G383/$G$383*100,2)</f>
        <v>100</v>
      </c>
      <c r="J383" s="676"/>
      <c r="K383" s="761"/>
      <c r="L383" s="813" t="s">
        <v>271</v>
      </c>
      <c r="M383" s="876">
        <v>0.87744999999999995</v>
      </c>
      <c r="N383" s="766">
        <f t="shared" si="1"/>
        <v>2452637.7105999999</v>
      </c>
    </row>
    <row r="384" spans="1:15" ht="18.95" customHeight="1">
      <c r="A384" s="770"/>
      <c r="B384" s="901" t="s">
        <v>298</v>
      </c>
      <c r="C384" s="901"/>
      <c r="D384" s="901"/>
      <c r="E384" s="901"/>
      <c r="F384" s="771"/>
      <c r="G384" s="773">
        <f>TRUNC(G383*10%)</f>
        <v>279518</v>
      </c>
      <c r="H384" s="774"/>
      <c r="I384" s="775"/>
      <c r="J384" s="774"/>
      <c r="K384" s="776"/>
      <c r="L384" s="814" t="s">
        <v>300</v>
      </c>
      <c r="M384" s="876">
        <v>0.87744999999999995</v>
      </c>
      <c r="N384" s="766">
        <f t="shared" si="1"/>
        <v>245263.06909999999</v>
      </c>
    </row>
    <row r="385" spans="1:14" ht="18.95" customHeight="1">
      <c r="A385" s="770"/>
      <c r="B385" s="901" t="s">
        <v>299</v>
      </c>
      <c r="C385" s="901"/>
      <c r="D385" s="901"/>
      <c r="E385" s="901"/>
      <c r="F385" s="771"/>
      <c r="G385" s="773"/>
      <c r="H385" s="774"/>
      <c r="I385" s="775"/>
      <c r="J385" s="774"/>
      <c r="K385" s="776"/>
      <c r="L385" s="814" t="s">
        <v>301</v>
      </c>
      <c r="M385" s="876">
        <v>0.87744999999999995</v>
      </c>
      <c r="N385" s="766">
        <f t="shared" si="1"/>
        <v>0</v>
      </c>
    </row>
  </sheetData>
  <mergeCells count="221">
    <mergeCell ref="B208:E208"/>
    <mergeCell ref="B207:E207"/>
    <mergeCell ref="B206:E206"/>
    <mergeCell ref="B205:E205"/>
    <mergeCell ref="C204:F204"/>
    <mergeCell ref="C198:C201"/>
    <mergeCell ref="C191:C197"/>
    <mergeCell ref="A191:B204"/>
    <mergeCell ref="C169:F169"/>
    <mergeCell ref="B174:E174"/>
    <mergeCell ref="B175:E175"/>
    <mergeCell ref="B170:E170"/>
    <mergeCell ref="B171:E171"/>
    <mergeCell ref="B172:E172"/>
    <mergeCell ref="B173:E173"/>
    <mergeCell ref="A156:B169"/>
    <mergeCell ref="C156:C162"/>
    <mergeCell ref="C202:C203"/>
    <mergeCell ref="C167:C168"/>
    <mergeCell ref="C163:C166"/>
    <mergeCell ref="B280:E280"/>
    <mergeCell ref="B279:E279"/>
    <mergeCell ref="B278:E278"/>
    <mergeCell ref="B277:E277"/>
    <mergeCell ref="B276:E276"/>
    <mergeCell ref="B243:E243"/>
    <mergeCell ref="B242:E242"/>
    <mergeCell ref="C226:C232"/>
    <mergeCell ref="A226:B239"/>
    <mergeCell ref="B244:E244"/>
    <mergeCell ref="B245:E245"/>
    <mergeCell ref="K5:L6"/>
    <mergeCell ref="B32:E32"/>
    <mergeCell ref="B33:E33"/>
    <mergeCell ref="A16:B29"/>
    <mergeCell ref="C14:F14"/>
    <mergeCell ref="C8:C12"/>
    <mergeCell ref="G5:H6"/>
    <mergeCell ref="I5:J6"/>
    <mergeCell ref="C15:F15"/>
    <mergeCell ref="A7:B15"/>
    <mergeCell ref="C7:F7"/>
    <mergeCell ref="C13:F13"/>
    <mergeCell ref="B31:E31"/>
    <mergeCell ref="C27:C28"/>
    <mergeCell ref="C16:C22"/>
    <mergeCell ref="C23:C26"/>
    <mergeCell ref="C29:F29"/>
    <mergeCell ref="B30:E30"/>
    <mergeCell ref="I75:J76"/>
    <mergeCell ref="B34:E34"/>
    <mergeCell ref="B35:E35"/>
    <mergeCell ref="L75:L76"/>
    <mergeCell ref="C58:C61"/>
    <mergeCell ref="C64:F64"/>
    <mergeCell ref="C62:C63"/>
    <mergeCell ref="L40:L41"/>
    <mergeCell ref="G40:H41"/>
    <mergeCell ref="I40:J41"/>
    <mergeCell ref="G75:H76"/>
    <mergeCell ref="A42:B50"/>
    <mergeCell ref="C42:F42"/>
    <mergeCell ref="C43:C47"/>
    <mergeCell ref="C48:F48"/>
    <mergeCell ref="C49:F49"/>
    <mergeCell ref="C50:F50"/>
    <mergeCell ref="A51:B64"/>
    <mergeCell ref="C51:C57"/>
    <mergeCell ref="L145:L146"/>
    <mergeCell ref="G145:H146"/>
    <mergeCell ref="I145:J146"/>
    <mergeCell ref="A121:B134"/>
    <mergeCell ref="C121:C127"/>
    <mergeCell ref="A77:B85"/>
    <mergeCell ref="C77:F77"/>
    <mergeCell ref="C78:C82"/>
    <mergeCell ref="C83:F83"/>
    <mergeCell ref="C84:F84"/>
    <mergeCell ref="C85:F85"/>
    <mergeCell ref="L110:L111"/>
    <mergeCell ref="A112:B120"/>
    <mergeCell ref="C112:F112"/>
    <mergeCell ref="C113:C117"/>
    <mergeCell ref="C118:F118"/>
    <mergeCell ref="C119:F119"/>
    <mergeCell ref="C120:F120"/>
    <mergeCell ref="G110:H111"/>
    <mergeCell ref="I110:J111"/>
    <mergeCell ref="C128:C131"/>
    <mergeCell ref="C134:F134"/>
    <mergeCell ref="C132:C133"/>
    <mergeCell ref="B135:E135"/>
    <mergeCell ref="L180:L181"/>
    <mergeCell ref="G180:H181"/>
    <mergeCell ref="I180:J181"/>
    <mergeCell ref="A182:B190"/>
    <mergeCell ref="C182:F182"/>
    <mergeCell ref="C183:C187"/>
    <mergeCell ref="C188:F188"/>
    <mergeCell ref="C189:F189"/>
    <mergeCell ref="C190:F190"/>
    <mergeCell ref="L215:L216"/>
    <mergeCell ref="G215:H216"/>
    <mergeCell ref="I215:J216"/>
    <mergeCell ref="A217:B225"/>
    <mergeCell ref="C217:F217"/>
    <mergeCell ref="C218:C222"/>
    <mergeCell ref="C223:F223"/>
    <mergeCell ref="C224:F224"/>
    <mergeCell ref="C225:F225"/>
    <mergeCell ref="B103:E103"/>
    <mergeCell ref="B100:E100"/>
    <mergeCell ref="B104:E104"/>
    <mergeCell ref="B105:E105"/>
    <mergeCell ref="B69:E69"/>
    <mergeCell ref="B70:E70"/>
    <mergeCell ref="B65:E65"/>
    <mergeCell ref="B66:E66"/>
    <mergeCell ref="B67:E67"/>
    <mergeCell ref="B68:E68"/>
    <mergeCell ref="B101:E101"/>
    <mergeCell ref="B102:E102"/>
    <mergeCell ref="A86:B99"/>
    <mergeCell ref="C86:C92"/>
    <mergeCell ref="C93:C96"/>
    <mergeCell ref="C99:F99"/>
    <mergeCell ref="C97:C98"/>
    <mergeCell ref="A147:B155"/>
    <mergeCell ref="C147:F147"/>
    <mergeCell ref="C148:C152"/>
    <mergeCell ref="C153:F153"/>
    <mergeCell ref="C154:F154"/>
    <mergeCell ref="C155:F155"/>
    <mergeCell ref="B136:E136"/>
    <mergeCell ref="B137:E137"/>
    <mergeCell ref="B138:E138"/>
    <mergeCell ref="B139:E139"/>
    <mergeCell ref="B140:E140"/>
    <mergeCell ref="B209:E209"/>
    <mergeCell ref="B210:E210"/>
    <mergeCell ref="B240:E240"/>
    <mergeCell ref="B241:E241"/>
    <mergeCell ref="C233:C236"/>
    <mergeCell ref="C239:F239"/>
    <mergeCell ref="C237:C238"/>
    <mergeCell ref="I285:J286"/>
    <mergeCell ref="L285:L286"/>
    <mergeCell ref="A261:B274"/>
    <mergeCell ref="C261:C267"/>
    <mergeCell ref="C268:C271"/>
    <mergeCell ref="C272:C273"/>
    <mergeCell ref="C274:F274"/>
    <mergeCell ref="B275:E275"/>
    <mergeCell ref="G250:H251"/>
    <mergeCell ref="I250:J251"/>
    <mergeCell ref="L250:L251"/>
    <mergeCell ref="A252:B260"/>
    <mergeCell ref="C252:F252"/>
    <mergeCell ref="C253:C257"/>
    <mergeCell ref="C258:F258"/>
    <mergeCell ref="C259:F259"/>
    <mergeCell ref="C260:F260"/>
    <mergeCell ref="A287:B295"/>
    <mergeCell ref="C287:F287"/>
    <mergeCell ref="C288:C292"/>
    <mergeCell ref="C293:F293"/>
    <mergeCell ref="C294:F294"/>
    <mergeCell ref="C295:F295"/>
    <mergeCell ref="G285:H286"/>
    <mergeCell ref="B311:E311"/>
    <mergeCell ref="B312:E312"/>
    <mergeCell ref="B313:E313"/>
    <mergeCell ref="B314:E314"/>
    <mergeCell ref="B315:E315"/>
    <mergeCell ref="G320:H321"/>
    <mergeCell ref="A296:B309"/>
    <mergeCell ref="C296:C302"/>
    <mergeCell ref="C303:C306"/>
    <mergeCell ref="C307:C308"/>
    <mergeCell ref="C309:F309"/>
    <mergeCell ref="B310:E310"/>
    <mergeCell ref="I320:J321"/>
    <mergeCell ref="L320:L321"/>
    <mergeCell ref="A322:B330"/>
    <mergeCell ref="C322:F322"/>
    <mergeCell ref="C323:C327"/>
    <mergeCell ref="C328:F328"/>
    <mergeCell ref="C329:F329"/>
    <mergeCell ref="C330:F330"/>
    <mergeCell ref="K326:L326"/>
    <mergeCell ref="I355:J356"/>
    <mergeCell ref="L355:L356"/>
    <mergeCell ref="A357:B365"/>
    <mergeCell ref="C357:F357"/>
    <mergeCell ref="C358:C362"/>
    <mergeCell ref="C363:F363"/>
    <mergeCell ref="C364:F364"/>
    <mergeCell ref="C365:F365"/>
    <mergeCell ref="G355:H356"/>
    <mergeCell ref="B346:E346"/>
    <mergeCell ref="B347:E347"/>
    <mergeCell ref="B348:E348"/>
    <mergeCell ref="B349:E349"/>
    <mergeCell ref="B350:E350"/>
    <mergeCell ref="A331:B344"/>
    <mergeCell ref="C331:C337"/>
    <mergeCell ref="C338:C341"/>
    <mergeCell ref="C342:C343"/>
    <mergeCell ref="C344:F344"/>
    <mergeCell ref="B345:E345"/>
    <mergeCell ref="B381:E381"/>
    <mergeCell ref="B382:E382"/>
    <mergeCell ref="B383:E383"/>
    <mergeCell ref="B384:E384"/>
    <mergeCell ref="B385:E385"/>
    <mergeCell ref="A366:B379"/>
    <mergeCell ref="C366:C372"/>
    <mergeCell ref="C373:C376"/>
    <mergeCell ref="C377:C378"/>
    <mergeCell ref="C379:F379"/>
    <mergeCell ref="B380:E380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78" t="s">
        <v>498</v>
      </c>
      <c r="D5" s="878"/>
    </row>
    <row r="6" spans="1:4" ht="32.25" customHeight="1">
      <c r="A6" s="94"/>
      <c r="B6" s="95"/>
      <c r="C6" s="96"/>
      <c r="D6" s="99"/>
    </row>
    <row r="7" spans="1:4" ht="32.25" customHeight="1">
      <c r="A7" s="94"/>
      <c r="B7" s="95"/>
      <c r="C7" s="100" t="s">
        <v>438</v>
      </c>
      <c r="D7" s="101" t="str">
        <f>인집!A2</f>
        <v>단위당인건비집계표</v>
      </c>
    </row>
    <row r="8" spans="1:4" ht="32.25" customHeight="1">
      <c r="A8" s="94"/>
      <c r="B8" s="95"/>
      <c r="C8" s="100" t="s">
        <v>439</v>
      </c>
      <c r="D8" s="101" t="str">
        <f>단위당인건비!A2</f>
        <v>단위(1인)당인건비산출표</v>
      </c>
    </row>
    <row r="9" spans="1:4" ht="32.25" customHeight="1">
      <c r="A9" s="94"/>
      <c r="B9" s="95"/>
      <c r="C9" s="100" t="s">
        <v>440</v>
      </c>
      <c r="D9" s="101" t="str">
        <f>월기본급!A2</f>
        <v>M/M당기본급산출표</v>
      </c>
    </row>
    <row r="10" spans="1:4" ht="32.25" customHeight="1">
      <c r="A10" s="94"/>
      <c r="B10" s="95"/>
      <c r="C10" s="100" t="s">
        <v>441</v>
      </c>
      <c r="D10" s="101" t="str">
        <f>연장근로!A2</f>
        <v>연장근로시간산출표</v>
      </c>
    </row>
    <row r="11" spans="1:4" ht="32.25" customHeight="1">
      <c r="A11" s="94"/>
      <c r="B11" s="95"/>
      <c r="C11" s="100" t="s">
        <v>442</v>
      </c>
      <c r="D11" s="101" t="str">
        <f>휴일근로!A2</f>
        <v>휴일근로시간산출표</v>
      </c>
    </row>
    <row r="12" spans="1:4" ht="32.25" customHeight="1">
      <c r="A12" s="94"/>
      <c r="B12" s="95"/>
      <c r="C12" s="100" t="s">
        <v>443</v>
      </c>
      <c r="D12" s="101" t="str">
        <f>산정기준!A2</f>
        <v>인건비산정기준 및 관련법규</v>
      </c>
    </row>
    <row r="13" spans="1:4" ht="32.25" customHeight="1">
      <c r="A13" s="94"/>
      <c r="B13" s="95"/>
      <c r="C13" s="100" t="s">
        <v>444</v>
      </c>
      <c r="D13" s="101" t="e">
        <f>#REF!</f>
        <v>#REF!</v>
      </c>
    </row>
    <row r="14" spans="1:4" ht="32.25" customHeight="1">
      <c r="A14" s="94"/>
      <c r="B14" s="95"/>
      <c r="C14" s="100" t="s">
        <v>445</v>
      </c>
      <c r="D14" s="101" t="str">
        <f>투입인원!A2</f>
        <v>적용직종 및 소요인원산정표</v>
      </c>
    </row>
    <row r="15" spans="1:4" ht="32.25" customHeight="1">
      <c r="A15" s="94"/>
      <c r="B15" s="95"/>
      <c r="C15" s="100"/>
      <c r="D15" s="101"/>
    </row>
    <row r="16" spans="1:4" ht="32.25" customHeight="1">
      <c r="A16" s="94"/>
      <c r="B16" s="95"/>
      <c r="C16" s="100"/>
      <c r="D16" s="101"/>
    </row>
    <row r="17" spans="1:4" ht="32.25" customHeight="1">
      <c r="A17" s="94"/>
      <c r="B17" s="95"/>
      <c r="C17" s="100"/>
      <c r="D17" s="101"/>
    </row>
    <row r="18" spans="1:4" ht="32.25" customHeight="1">
      <c r="A18" s="94"/>
      <c r="B18" s="95"/>
      <c r="C18" s="100"/>
      <c r="D18" s="101"/>
    </row>
    <row r="19" spans="1:4" ht="32.25" customHeight="1">
      <c r="A19" s="94"/>
      <c r="B19" s="95"/>
      <c r="C19" s="100"/>
      <c r="D19" s="101"/>
    </row>
    <row r="20" spans="1:4" ht="32.2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24" orientation="portrait" useFirstPageNumber="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M19"/>
  <sheetViews>
    <sheetView showGridLines="0" showZeros="0" view="pageBreakPreview" zoomScaleNormal="100" workbookViewId="0">
      <selection activeCell="E16" sqref="E16"/>
    </sheetView>
  </sheetViews>
  <sheetFormatPr defaultRowHeight="12"/>
  <cols>
    <col min="1" max="1" width="1.7109375" style="116" customWidth="1"/>
    <col min="2" max="2" width="13.7109375" style="116" customWidth="1"/>
    <col min="3" max="3" width="1.7109375" style="116" customWidth="1"/>
    <col min="4" max="4" width="1.7109375" style="105" customWidth="1"/>
    <col min="5" max="5" width="15.28515625" style="105" customWidth="1"/>
    <col min="6" max="6" width="1.7109375" style="105" customWidth="1"/>
    <col min="7" max="10" width="11.7109375" style="106" customWidth="1"/>
    <col min="11" max="11" width="12.7109375" style="106" customWidth="1"/>
    <col min="12" max="12" width="13" style="106" bestFit="1" customWidth="1"/>
    <col min="13" max="16384" width="9.140625" style="105"/>
  </cols>
  <sheetData>
    <row r="1" spans="1:13" ht="20.100000000000001" customHeight="1">
      <c r="A1" s="104" t="s">
        <v>307</v>
      </c>
      <c r="B1" s="104"/>
      <c r="C1" s="104"/>
    </row>
    <row r="2" spans="1:13" s="76" customFormat="1" ht="39.950000000000003" customHeight="1">
      <c r="A2" s="107" t="s">
        <v>35</v>
      </c>
      <c r="B2" s="107"/>
      <c r="C2" s="107"/>
      <c r="D2" s="108"/>
      <c r="E2" s="108"/>
      <c r="F2" s="108"/>
      <c r="G2" s="364"/>
      <c r="H2" s="364"/>
      <c r="I2" s="364"/>
      <c r="J2" s="364"/>
      <c r="K2" s="364"/>
      <c r="L2" s="550"/>
    </row>
    <row r="3" spans="1:13" s="76" customFormat="1" ht="20.100000000000001" customHeight="1">
      <c r="A3" s="107"/>
      <c r="B3" s="107"/>
      <c r="C3" s="107"/>
      <c r="D3" s="108"/>
      <c r="E3" s="108"/>
      <c r="F3" s="108"/>
      <c r="G3" s="364"/>
      <c r="H3" s="364"/>
      <c r="I3" s="364"/>
      <c r="J3" s="364"/>
      <c r="K3" s="364"/>
      <c r="L3" s="550"/>
    </row>
    <row r="4" spans="1:13" ht="20.100000000000001" customHeight="1">
      <c r="A4" s="114"/>
      <c r="B4" s="114"/>
      <c r="C4" s="114"/>
      <c r="D4" s="115"/>
      <c r="E4" s="115"/>
      <c r="F4" s="115"/>
      <c r="K4" s="118" t="s">
        <v>36</v>
      </c>
    </row>
    <row r="5" spans="1:13" s="377" customFormat="1" ht="50.1" customHeight="1">
      <c r="A5" s="494"/>
      <c r="B5" s="128" t="s">
        <v>37</v>
      </c>
      <c r="C5" s="495"/>
      <c r="D5" s="494"/>
      <c r="E5" s="482" t="s">
        <v>38</v>
      </c>
      <c r="F5" s="495"/>
      <c r="G5" s="582" t="s">
        <v>39</v>
      </c>
      <c r="H5" s="582" t="s">
        <v>40</v>
      </c>
      <c r="I5" s="582" t="s">
        <v>41</v>
      </c>
      <c r="J5" s="582" t="s">
        <v>42</v>
      </c>
      <c r="K5" s="582" t="s">
        <v>14</v>
      </c>
      <c r="L5" s="490"/>
    </row>
    <row r="6" spans="1:13" ht="37.5" hidden="1" customHeight="1">
      <c r="A6" s="555"/>
      <c r="B6" s="492">
        <f>월기본급!B9</f>
        <v>0</v>
      </c>
      <c r="C6" s="379"/>
      <c r="D6" s="370"/>
      <c r="E6" s="558">
        <f>월기본급!F9</f>
        <v>0</v>
      </c>
      <c r="F6" s="371"/>
      <c r="G6" s="255">
        <f>단위당인건비!E6</f>
        <v>0</v>
      </c>
      <c r="H6" s="255">
        <f>단위당인건비!E11</f>
        <v>0</v>
      </c>
      <c r="I6" s="255">
        <f>단위당인건비!E12</f>
        <v>0</v>
      </c>
      <c r="J6" s="255">
        <f>단위당인건비!E13</f>
        <v>0</v>
      </c>
      <c r="K6" s="255">
        <f t="shared" ref="K6:K15" si="0">SUM(G6:J6)</f>
        <v>0</v>
      </c>
      <c r="L6" s="583"/>
      <c r="M6" s="584"/>
    </row>
    <row r="7" spans="1:13" ht="37.5" hidden="1" customHeight="1">
      <c r="A7" s="555"/>
      <c r="B7" s="492">
        <f>월기본급!B10</f>
        <v>0</v>
      </c>
      <c r="C7" s="379"/>
      <c r="D7" s="370"/>
      <c r="E7" s="558">
        <f>월기본급!F10</f>
        <v>0</v>
      </c>
      <c r="F7" s="371"/>
      <c r="G7" s="255">
        <f>단위당인건비!E25</f>
        <v>0</v>
      </c>
      <c r="H7" s="255">
        <f>단위당인건비!E30</f>
        <v>0</v>
      </c>
      <c r="I7" s="255">
        <f>단위당인건비!E31</f>
        <v>0</v>
      </c>
      <c r="J7" s="255">
        <f>단위당인건비!E32</f>
        <v>0</v>
      </c>
      <c r="K7" s="255">
        <f t="shared" si="0"/>
        <v>0</v>
      </c>
      <c r="L7" s="583"/>
      <c r="M7" s="584"/>
    </row>
    <row r="8" spans="1:13" ht="37.5" hidden="1" customHeight="1">
      <c r="A8" s="555"/>
      <c r="B8" s="492">
        <f>월기본급!B11</f>
        <v>0</v>
      </c>
      <c r="C8" s="379"/>
      <c r="D8" s="370"/>
      <c r="E8" s="558">
        <f>월기본급!F11</f>
        <v>0</v>
      </c>
      <c r="F8" s="371"/>
      <c r="G8" s="255">
        <f>단위당인건비!E44</f>
        <v>0</v>
      </c>
      <c r="H8" s="255">
        <f>단위당인건비!E49</f>
        <v>0</v>
      </c>
      <c r="I8" s="255">
        <f>단위당인건비!E50</f>
        <v>0</v>
      </c>
      <c r="J8" s="255">
        <f>단위당인건비!E51</f>
        <v>0</v>
      </c>
      <c r="K8" s="255">
        <f t="shared" si="0"/>
        <v>0</v>
      </c>
      <c r="L8" s="583"/>
      <c r="M8" s="584"/>
    </row>
    <row r="9" spans="1:13" ht="37.5" hidden="1" customHeight="1">
      <c r="A9" s="555"/>
      <c r="B9" s="492">
        <f>월기본급!B12</f>
        <v>0</v>
      </c>
      <c r="C9" s="379"/>
      <c r="D9" s="370"/>
      <c r="E9" s="253">
        <f>월기본급!F12</f>
        <v>0</v>
      </c>
      <c r="F9" s="371"/>
      <c r="G9" s="255">
        <f>단위당인건비!E63</f>
        <v>0</v>
      </c>
      <c r="H9" s="255">
        <f>단위당인건비!E68</f>
        <v>0</v>
      </c>
      <c r="I9" s="255">
        <f>단위당인건비!E69</f>
        <v>0</v>
      </c>
      <c r="J9" s="255">
        <f>단위당인건비!E70</f>
        <v>0</v>
      </c>
      <c r="K9" s="255">
        <f t="shared" si="0"/>
        <v>0</v>
      </c>
      <c r="L9" s="583"/>
      <c r="M9" s="584"/>
    </row>
    <row r="10" spans="1:13" ht="37.5" hidden="1" customHeight="1">
      <c r="A10" s="555"/>
      <c r="B10" s="492">
        <f>월기본급!B13</f>
        <v>0</v>
      </c>
      <c r="C10" s="379"/>
      <c r="D10" s="370"/>
      <c r="E10" s="253">
        <f>월기본급!F13</f>
        <v>0</v>
      </c>
      <c r="F10" s="371"/>
      <c r="G10" s="255">
        <f>단위당인건비!E82</f>
        <v>0</v>
      </c>
      <c r="H10" s="255">
        <f>단위당인건비!E87</f>
        <v>0</v>
      </c>
      <c r="I10" s="255">
        <f>단위당인건비!E88</f>
        <v>0</v>
      </c>
      <c r="J10" s="255">
        <f>단위당인건비!E89</f>
        <v>0</v>
      </c>
      <c r="K10" s="255">
        <f t="shared" si="0"/>
        <v>0</v>
      </c>
      <c r="L10" s="583"/>
      <c r="M10" s="584"/>
    </row>
    <row r="11" spans="1:13" ht="37.5" hidden="1" customHeight="1">
      <c r="A11" s="555"/>
      <c r="B11" s="492">
        <f>월기본급!B14</f>
        <v>0</v>
      </c>
      <c r="C11" s="379"/>
      <c r="D11" s="370"/>
      <c r="E11" s="253">
        <f>월기본급!F14</f>
        <v>0</v>
      </c>
      <c r="F11" s="371"/>
      <c r="G11" s="255">
        <f>단위당인건비!E101</f>
        <v>0</v>
      </c>
      <c r="H11" s="255">
        <f>단위당인건비!E106</f>
        <v>0</v>
      </c>
      <c r="I11" s="255">
        <f>단위당인건비!E107</f>
        <v>0</v>
      </c>
      <c r="J11" s="255">
        <f>단위당인건비!E108</f>
        <v>0</v>
      </c>
      <c r="K11" s="255">
        <f t="shared" si="0"/>
        <v>0</v>
      </c>
      <c r="L11" s="583"/>
      <c r="M11" s="584"/>
    </row>
    <row r="12" spans="1:13" ht="37.5" hidden="1" customHeight="1">
      <c r="A12" s="555"/>
      <c r="B12" s="492">
        <f>월기본급!B15</f>
        <v>0</v>
      </c>
      <c r="C12" s="379"/>
      <c r="D12" s="370"/>
      <c r="E12" s="253">
        <f>월기본급!F15</f>
        <v>0</v>
      </c>
      <c r="F12" s="371"/>
      <c r="G12" s="255">
        <f>단위당인건비!E120</f>
        <v>0</v>
      </c>
      <c r="H12" s="255">
        <f>단위당인건비!E125</f>
        <v>0</v>
      </c>
      <c r="I12" s="255">
        <f>단위당인건비!E126</f>
        <v>0</v>
      </c>
      <c r="J12" s="255">
        <f>단위당인건비!E127</f>
        <v>0</v>
      </c>
      <c r="K12" s="255">
        <f t="shared" si="0"/>
        <v>0</v>
      </c>
      <c r="L12" s="583"/>
      <c r="M12" s="584"/>
    </row>
    <row r="13" spans="1:13" ht="37.5" hidden="1" customHeight="1">
      <c r="A13" s="555"/>
      <c r="B13" s="492">
        <f>월기본급!B16</f>
        <v>0</v>
      </c>
      <c r="C13" s="379"/>
      <c r="D13" s="370"/>
      <c r="E13" s="253">
        <f>월기본급!F16</f>
        <v>0</v>
      </c>
      <c r="F13" s="371"/>
      <c r="G13" s="255">
        <f>단위당인건비!E139</f>
        <v>0</v>
      </c>
      <c r="H13" s="255">
        <f>단위당인건비!E144</f>
        <v>0</v>
      </c>
      <c r="I13" s="255">
        <f>단위당인건비!E145</f>
        <v>0</v>
      </c>
      <c r="J13" s="255">
        <f>단위당인건비!E146</f>
        <v>0</v>
      </c>
      <c r="K13" s="255">
        <f>SUM(G13:J13)</f>
        <v>0</v>
      </c>
      <c r="L13" s="583"/>
      <c r="M13" s="584"/>
    </row>
    <row r="14" spans="1:13" ht="37.5" customHeight="1">
      <c r="A14" s="555"/>
      <c r="B14" s="492" t="str">
        <f>월기본급!B17</f>
        <v>다산홀운영</v>
      </c>
      <c r="C14" s="379"/>
      <c r="D14" s="370"/>
      <c r="E14" s="253" t="str">
        <f>월기본급!F17</f>
        <v>전기기능사</v>
      </c>
      <c r="F14" s="371"/>
      <c r="G14" s="255">
        <f>단위당인건비!E158</f>
        <v>2231736</v>
      </c>
      <c r="H14" s="255">
        <f>단위당인건비!E163</f>
        <v>454355</v>
      </c>
      <c r="I14" s="255">
        <f>단위당인건비!E164</f>
        <v>185978</v>
      </c>
      <c r="J14" s="255">
        <f>단위당인건비!E165</f>
        <v>239339</v>
      </c>
      <c r="K14" s="255">
        <f t="shared" si="0"/>
        <v>3111408</v>
      </c>
      <c r="L14" s="583"/>
      <c r="M14" s="584"/>
    </row>
    <row r="15" spans="1:13" ht="37.5" customHeight="1">
      <c r="A15" s="555"/>
      <c r="B15" s="492" t="str">
        <f>월기본급!B18</f>
        <v>운 전 원</v>
      </c>
      <c r="C15" s="379"/>
      <c r="D15" s="370"/>
      <c r="E15" s="253" t="str">
        <f>월기본급!F18</f>
        <v>단순노무종사원</v>
      </c>
      <c r="F15" s="371"/>
      <c r="G15" s="255">
        <f>단위당인건비!E177</f>
        <v>1707524</v>
      </c>
      <c r="H15" s="255">
        <f>단위당인건비!E182</f>
        <v>347631</v>
      </c>
      <c r="I15" s="255">
        <f>단위당인건비!E183</f>
        <v>569174</v>
      </c>
      <c r="J15" s="255">
        <f>단위당인건비!E184</f>
        <v>218694</v>
      </c>
      <c r="K15" s="255">
        <f t="shared" si="0"/>
        <v>2843023</v>
      </c>
      <c r="L15" s="583"/>
      <c r="M15" s="584"/>
    </row>
    <row r="16" spans="1:13" ht="37.5" customHeight="1">
      <c r="A16" s="555"/>
      <c r="B16" s="492" t="str">
        <f>월기본급!B19</f>
        <v>사무보조원</v>
      </c>
      <c r="C16" s="379"/>
      <c r="D16" s="370"/>
      <c r="E16" s="253" t="str">
        <f>월기본급!F19</f>
        <v>단순노무종사원</v>
      </c>
      <c r="F16" s="371"/>
      <c r="G16" s="255">
        <f>단위당인건비!E196</f>
        <v>1707524</v>
      </c>
      <c r="H16" s="255">
        <f>단위당인건비!E201</f>
        <v>347631</v>
      </c>
      <c r="I16" s="255">
        <f>단위당인건비!E202</f>
        <v>71146</v>
      </c>
      <c r="J16" s="255">
        <f>단위당인건비!E203</f>
        <v>177191</v>
      </c>
      <c r="K16" s="255">
        <f>SUM(G16:J16)</f>
        <v>2303492</v>
      </c>
      <c r="L16" s="583"/>
      <c r="M16" s="584"/>
    </row>
    <row r="17" spans="1:12" ht="9.9499999999999993" customHeight="1">
      <c r="A17" s="563"/>
      <c r="B17" s="493"/>
      <c r="C17" s="385"/>
      <c r="D17" s="382"/>
      <c r="E17" s="259"/>
      <c r="F17" s="551"/>
      <c r="G17" s="314"/>
      <c r="H17" s="314"/>
      <c r="I17" s="314"/>
      <c r="J17" s="314"/>
      <c r="K17" s="314"/>
      <c r="L17" s="583"/>
    </row>
    <row r="18" spans="1:12" ht="24.95" customHeight="1">
      <c r="A18" s="114" t="str">
        <f>"주) 금액 : "&amp;단위당인건비!A1&amp;단위당인건비!A2&amp;" 참조"</f>
        <v>주) 금액 : &lt; 표 : 4 &gt; 단위(1인)당인건비산출표 참조</v>
      </c>
    </row>
    <row r="19" spans="1:12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29" orientation="portrait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O215"/>
  <sheetViews>
    <sheetView showGridLines="0" showZeros="0" view="pageBreakPreview" topLeftCell="A198" zoomScaleNormal="100" zoomScaleSheetLayoutView="100" workbookViewId="0">
      <selection activeCell="A212" sqref="A212"/>
    </sheetView>
  </sheetViews>
  <sheetFormatPr defaultRowHeight="12"/>
  <cols>
    <col min="1" max="1" width="6.7109375" style="491" customWidth="1"/>
    <col min="2" max="2" width="1.7109375" style="477" customWidth="1"/>
    <col min="3" max="3" width="20.85546875" style="477" customWidth="1"/>
    <col min="4" max="4" width="1.7109375" style="477" customWidth="1"/>
    <col min="5" max="5" width="18.42578125" style="85" customWidth="1"/>
    <col min="6" max="6" width="2.7109375" style="85" customWidth="1"/>
    <col min="7" max="7" width="0.85546875" style="85" customWidth="1"/>
    <col min="8" max="8" width="25.28515625" style="85" bestFit="1" customWidth="1"/>
    <col min="9" max="9" width="0.85546875" style="85" customWidth="1"/>
    <col min="10" max="10" width="15.85546875" style="106" customWidth="1"/>
    <col min="11" max="11" width="10.28515625" style="105" customWidth="1"/>
    <col min="12" max="12" width="16.7109375" style="115" customWidth="1"/>
    <col min="13" max="16384" width="9.140625" style="105"/>
  </cols>
  <sheetData>
    <row r="1" spans="1:12" ht="20.100000000000001" hidden="1" customHeight="1">
      <c r="A1" s="74" t="s">
        <v>481</v>
      </c>
      <c r="B1" s="377"/>
      <c r="C1" s="377"/>
      <c r="D1" s="377"/>
    </row>
    <row r="2" spans="1:12" s="76" customFormat="1" ht="39.950000000000003" hidden="1" customHeight="1">
      <c r="A2" s="75" t="s">
        <v>43</v>
      </c>
      <c r="B2" s="107"/>
      <c r="C2" s="107"/>
      <c r="D2" s="107"/>
      <c r="E2" s="110"/>
      <c r="F2" s="110"/>
      <c r="G2" s="110"/>
      <c r="H2" s="566"/>
      <c r="I2" s="566"/>
      <c r="J2" s="476"/>
      <c r="L2" s="567"/>
    </row>
    <row r="3" spans="1:12" s="76" customFormat="1" ht="20.100000000000001" hidden="1" customHeight="1">
      <c r="A3" s="75"/>
      <c r="B3" s="107"/>
      <c r="C3" s="107"/>
      <c r="D3" s="107"/>
      <c r="E3" s="110"/>
      <c r="F3" s="110"/>
      <c r="G3" s="110"/>
      <c r="H3" s="566"/>
      <c r="I3" s="566"/>
      <c r="J3" s="476"/>
      <c r="L3" s="567"/>
    </row>
    <row r="4" spans="1:12" ht="20.100000000000001" hidden="1" customHeight="1">
      <c r="A4" s="115" t="str">
        <f>"구 분 : "&amp;월기본급!B9&amp;"                       직종명 : "&amp;월기본급!F9&amp;""</f>
        <v xml:space="preserve">구 분 :                        직종명 : </v>
      </c>
      <c r="B4" s="114"/>
      <c r="C4" s="114"/>
      <c r="D4" s="114"/>
      <c r="E4" s="486"/>
      <c r="F4" s="486"/>
      <c r="G4" s="486"/>
      <c r="J4" s="118" t="s">
        <v>36</v>
      </c>
      <c r="K4" s="105">
        <v>209</v>
      </c>
      <c r="L4" s="115" t="s">
        <v>44</v>
      </c>
    </row>
    <row r="5" spans="1:12" ht="50.1" hidden="1" customHeight="1">
      <c r="A5" s="886" t="s">
        <v>45</v>
      </c>
      <c r="B5" s="887"/>
      <c r="C5" s="887"/>
      <c r="D5" s="888"/>
      <c r="E5" s="936" t="s">
        <v>46</v>
      </c>
      <c r="F5" s="937"/>
      <c r="G5" s="369" t="s">
        <v>181</v>
      </c>
      <c r="H5" s="367"/>
      <c r="I5" s="369" t="s">
        <v>47</v>
      </c>
      <c r="J5" s="367"/>
    </row>
    <row r="6" spans="1:12" ht="33.950000000000003" hidden="1" customHeight="1">
      <c r="A6" s="886" t="s">
        <v>48</v>
      </c>
      <c r="B6" s="887"/>
      <c r="C6" s="887"/>
      <c r="D6" s="888"/>
      <c r="E6" s="568">
        <f>월기본급!J9</f>
        <v>0</v>
      </c>
      <c r="F6" s="569"/>
      <c r="G6" s="84"/>
      <c r="H6" s="570" t="s">
        <v>377</v>
      </c>
      <c r="I6" s="499"/>
      <c r="J6" s="571" t="s">
        <v>49</v>
      </c>
    </row>
    <row r="7" spans="1:12" ht="33.950000000000003" hidden="1" customHeight="1">
      <c r="A7" s="895" t="s">
        <v>258</v>
      </c>
      <c r="B7" s="589"/>
      <c r="C7" s="588" t="s">
        <v>0</v>
      </c>
      <c r="D7" s="591"/>
      <c r="E7" s="694">
        <f>TRUNC((E6/K4*($L$7*4.34)*1.5),0)</f>
        <v>0</v>
      </c>
      <c r="F7" s="569"/>
      <c r="G7" s="84"/>
      <c r="H7" s="572" t="s">
        <v>203</v>
      </c>
      <c r="I7" s="573"/>
      <c r="J7" s="571" t="s">
        <v>10</v>
      </c>
      <c r="K7" s="574"/>
      <c r="L7" s="115">
        <f>연장근로!D8</f>
        <v>5</v>
      </c>
    </row>
    <row r="8" spans="1:12" ht="33.950000000000003" hidden="1" customHeight="1">
      <c r="A8" s="896"/>
      <c r="B8" s="589"/>
      <c r="C8" s="588" t="s">
        <v>229</v>
      </c>
      <c r="D8" s="591"/>
      <c r="E8" s="575">
        <f>TRUNC(E6/K4*K8*1.5,0)</f>
        <v>0</v>
      </c>
      <c r="F8" s="569"/>
      <c r="G8" s="84"/>
      <c r="H8" s="572" t="s">
        <v>203</v>
      </c>
      <c r="I8" s="573"/>
      <c r="J8" s="571" t="s">
        <v>11</v>
      </c>
      <c r="K8" s="574">
        <f>휴일근로!$F$10</f>
        <v>0</v>
      </c>
    </row>
    <row r="9" spans="1:12" ht="33.950000000000003" hidden="1" customHeight="1">
      <c r="A9" s="896"/>
      <c r="B9" s="589"/>
      <c r="C9" s="588" t="s">
        <v>50</v>
      </c>
      <c r="D9" s="591"/>
      <c r="E9" s="568">
        <f>TRUNC(((E6/K4)*8*15)/12,0)</f>
        <v>0</v>
      </c>
      <c r="F9" s="569"/>
      <c r="G9" s="84"/>
      <c r="H9" s="572" t="s">
        <v>202</v>
      </c>
      <c r="I9" s="573"/>
      <c r="J9" s="571" t="s">
        <v>12</v>
      </c>
    </row>
    <row r="10" spans="1:12" ht="33.950000000000003" hidden="1" customHeight="1">
      <c r="A10" s="896"/>
      <c r="B10" s="589"/>
      <c r="C10" s="588" t="s">
        <v>257</v>
      </c>
      <c r="D10" s="591"/>
      <c r="E10" s="568"/>
      <c r="F10" s="569"/>
      <c r="G10" s="84"/>
      <c r="H10" s="572" t="s">
        <v>378</v>
      </c>
      <c r="I10" s="573"/>
      <c r="J10" s="571" t="s">
        <v>13</v>
      </c>
    </row>
    <row r="11" spans="1:12" ht="33.950000000000003" hidden="1" customHeight="1">
      <c r="A11" s="897"/>
      <c r="B11" s="589"/>
      <c r="C11" s="588" t="s">
        <v>51</v>
      </c>
      <c r="D11" s="591"/>
      <c r="E11" s="568">
        <f>SUM(E7:E10)</f>
        <v>0</v>
      </c>
      <c r="F11" s="569"/>
      <c r="G11" s="84"/>
      <c r="H11" s="572"/>
      <c r="I11" s="573"/>
      <c r="J11" s="571"/>
    </row>
    <row r="12" spans="1:12" ht="33.950000000000003" hidden="1" customHeight="1">
      <c r="A12" s="886" t="s">
        <v>52</v>
      </c>
      <c r="B12" s="887"/>
      <c r="C12" s="887"/>
      <c r="D12" s="888"/>
      <c r="E12" s="568">
        <f>TRUNC(E6*0.7/12,0)</f>
        <v>0</v>
      </c>
      <c r="F12" s="569"/>
      <c r="G12" s="84"/>
      <c r="H12" s="576" t="s">
        <v>432</v>
      </c>
      <c r="I12" s="577"/>
      <c r="J12" s="571" t="s">
        <v>267</v>
      </c>
    </row>
    <row r="13" spans="1:12" ht="33.950000000000003" hidden="1" customHeight="1">
      <c r="A13" s="886" t="s">
        <v>53</v>
      </c>
      <c r="B13" s="887"/>
      <c r="C13" s="887"/>
      <c r="D13" s="888"/>
      <c r="E13" s="568">
        <f>TRUNC(SUM(E6,E11,E12)/12,0)</f>
        <v>0</v>
      </c>
      <c r="F13" s="569"/>
      <c r="G13" s="84"/>
      <c r="H13" s="572" t="s">
        <v>54</v>
      </c>
      <c r="I13" s="573"/>
      <c r="J13" s="571" t="s">
        <v>268</v>
      </c>
    </row>
    <row r="14" spans="1:12" ht="45" hidden="1" customHeight="1">
      <c r="A14" s="886" t="s">
        <v>55</v>
      </c>
      <c r="B14" s="887"/>
      <c r="C14" s="887"/>
      <c r="D14" s="888"/>
      <c r="E14" s="568">
        <f>SUM(E6,E11,E12,E13)</f>
        <v>0</v>
      </c>
      <c r="F14" s="569"/>
      <c r="G14" s="84"/>
      <c r="H14" s="594"/>
      <c r="I14" s="592"/>
      <c r="J14" s="593"/>
    </row>
    <row r="15" spans="1:12" s="484" customFormat="1" ht="24.95" hidden="1" customHeight="1">
      <c r="A15" s="483" t="str">
        <f>"주 1) 기본급 : "&amp;월기본급!$A$1&amp;월기본급!$A$2&amp;" 참조"</f>
        <v>주 1) 기본급 : &lt; 표 : 5 &gt; M/M당기본급산출표 참조</v>
      </c>
      <c r="B15" s="483"/>
      <c r="C15" s="483"/>
      <c r="D15" s="483"/>
      <c r="E15" s="485"/>
      <c r="F15" s="485"/>
      <c r="G15" s="485"/>
      <c r="H15" s="485"/>
      <c r="I15" s="485"/>
      <c r="J15" s="485"/>
      <c r="L15" s="488"/>
    </row>
    <row r="16" spans="1:12" s="484" customFormat="1" ht="24.95" hidden="1" customHeight="1">
      <c r="A16" s="487" t="str">
        <f>"   2) 연장근로수당 : "&amp;FIXED(E6,0)&amp;"(기본급)÷"&amp;K4&amp;"시간(월근로시간)×("&amp;(연장근로!$D$8)&amp;"시간×"&amp;(연장근로!$E$8)&amp;"주)×1.5(할증)"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16" s="483"/>
      <c r="C16" s="483"/>
      <c r="D16" s="483"/>
      <c r="E16" s="485"/>
      <c r="F16" s="485"/>
      <c r="G16" s="485"/>
      <c r="H16" s="485"/>
      <c r="I16" s="485"/>
      <c r="J16" s="485"/>
      <c r="L16" s="488"/>
    </row>
    <row r="17" spans="1:12" s="484" customFormat="1" ht="24.95" hidden="1" customHeight="1">
      <c r="A17" s="115" t="s">
        <v>275</v>
      </c>
      <c r="B17" s="483"/>
      <c r="C17" s="483"/>
      <c r="D17" s="483"/>
      <c r="E17" s="485"/>
      <c r="F17" s="485"/>
      <c r="G17" s="485"/>
      <c r="H17" s="485"/>
      <c r="I17" s="485"/>
      <c r="J17" s="485"/>
      <c r="L17" s="488"/>
    </row>
    <row r="18" spans="1:12" s="484" customFormat="1" ht="24.95" hidden="1" customHeight="1">
      <c r="A18" s="487" t="str">
        <f>"   3) 휴일근로수당 : "&amp;FIXED(E6,0)&amp;"(기본급)÷"&amp;K4&amp;"(월근로시간)×"&amp;K8&amp;"시간(휴일근로시간)×1.5(할증)"</f>
        <v xml:space="preserve">   3) 휴일근로수당 : 0(기본급)÷209(월근로시간)×0시간(휴일근로시간)×1.5(할증)</v>
      </c>
      <c r="B18" s="483"/>
      <c r="C18" s="483"/>
      <c r="D18" s="483"/>
      <c r="E18" s="485"/>
      <c r="F18" s="485"/>
      <c r="G18" s="485"/>
      <c r="H18" s="485"/>
      <c r="I18" s="485"/>
      <c r="J18" s="485"/>
      <c r="L18" s="488"/>
    </row>
    <row r="19" spans="1:12" s="484" customFormat="1" ht="24.95" hidden="1" customHeight="1">
      <c r="A19" s="487" t="str">
        <f>"   4) 년차수당 : "&amp;FIXED(E6,0)&amp;"(기본급)÷"&amp;K4&amp;"(월근로시간)×8시간(일근로시간)×15일/년÷12개월"</f>
        <v xml:space="preserve">   4) 년차수당 : 0(기본급)÷209(월근로시간)×8시간(일근로시간)×15일/년÷12개월</v>
      </c>
      <c r="B19" s="578"/>
      <c r="C19" s="578"/>
      <c r="D19" s="578"/>
      <c r="E19" s="486"/>
      <c r="F19" s="486"/>
      <c r="G19" s="486"/>
      <c r="H19" s="486"/>
      <c r="I19" s="486"/>
      <c r="J19" s="117"/>
      <c r="L19" s="488"/>
    </row>
    <row r="20" spans="1:12" s="484" customFormat="1" ht="24.95" hidden="1" customHeight="1">
      <c r="A20" s="487" t="s">
        <v>269</v>
      </c>
      <c r="B20" s="578"/>
      <c r="C20" s="578"/>
      <c r="D20" s="578"/>
      <c r="E20" s="486"/>
      <c r="F20" s="486"/>
      <c r="G20" s="486"/>
      <c r="H20" s="486"/>
      <c r="I20" s="486"/>
      <c r="J20" s="117"/>
      <c r="L20" s="488"/>
    </row>
    <row r="21" spans="1:12" ht="24.95" hidden="1" customHeight="1">
      <c r="A21" s="487" t="str">
        <f>"   6) 상여금 : "&amp;FIXED(E6,0)&amp;"(기본급)×0.7개월(년 70%적용)÷12개월"</f>
        <v xml:space="preserve">   6) 상여금 : 0(기본급)×0.7개월(년 70%적용)÷12개월</v>
      </c>
      <c r="J21" s="85"/>
    </row>
    <row r="22" spans="1:12" ht="24.95" hidden="1" customHeight="1">
      <c r="A22" s="487" t="str">
        <f>"   7) 퇴직급여충당금 : {"&amp;FIXED(E6,0)&amp;"(기본급)+"&amp;FIXED(E11,0)&amp;"(제수당)+"&amp;FIXED(E12,0)&amp;"(상여금)}÷12개월"</f>
        <v xml:space="preserve">   7) 퇴직급여충당금 : {0(기본급)+0(제수당)+0(상여금)}÷12개월</v>
      </c>
      <c r="J22" s="85"/>
    </row>
    <row r="23" spans="1:12" ht="20.100000000000001" hidden="1" customHeight="1">
      <c r="A23" s="115" t="str">
        <f>"구 분 : "&amp;월기본급!B10&amp;"                       직종명 : "&amp;월기본급!F10&amp;""</f>
        <v xml:space="preserve">구 분 :                        직종명 : </v>
      </c>
      <c r="B23" s="114"/>
      <c r="C23" s="114"/>
      <c r="D23" s="114"/>
      <c r="E23" s="486"/>
      <c r="F23" s="486"/>
      <c r="G23" s="486"/>
      <c r="J23" s="118" t="s">
        <v>36</v>
      </c>
      <c r="K23" s="105">
        <v>209</v>
      </c>
      <c r="L23" s="115" t="s">
        <v>44</v>
      </c>
    </row>
    <row r="24" spans="1:12" ht="50.1" hidden="1" customHeight="1">
      <c r="A24" s="886" t="s">
        <v>45</v>
      </c>
      <c r="B24" s="887"/>
      <c r="C24" s="887"/>
      <c r="D24" s="888"/>
      <c r="E24" s="936" t="s">
        <v>46</v>
      </c>
      <c r="F24" s="937"/>
      <c r="G24" s="369" t="s">
        <v>181</v>
      </c>
      <c r="H24" s="367"/>
      <c r="I24" s="369" t="s">
        <v>47</v>
      </c>
      <c r="J24" s="367"/>
    </row>
    <row r="25" spans="1:12" ht="36" hidden="1" customHeight="1">
      <c r="A25" s="886" t="s">
        <v>48</v>
      </c>
      <c r="B25" s="887"/>
      <c r="C25" s="887"/>
      <c r="D25" s="888"/>
      <c r="E25" s="575">
        <f>월기본급!J10</f>
        <v>0</v>
      </c>
      <c r="F25" s="579"/>
      <c r="G25" s="580"/>
      <c r="H25" s="570" t="s">
        <v>377</v>
      </c>
      <c r="I25" s="499"/>
      <c r="J25" s="571" t="s">
        <v>49</v>
      </c>
    </row>
    <row r="26" spans="1:12" ht="36" hidden="1" customHeight="1">
      <c r="A26" s="895" t="s">
        <v>258</v>
      </c>
      <c r="B26" s="589"/>
      <c r="C26" s="588" t="s">
        <v>0</v>
      </c>
      <c r="D26" s="591"/>
      <c r="E26" s="694">
        <f>TRUNC((E25/K23*($L$7*4.34)*1.5),0)</f>
        <v>0</v>
      </c>
      <c r="F26" s="579"/>
      <c r="G26" s="580"/>
      <c r="H26" s="572" t="s">
        <v>203</v>
      </c>
      <c r="I26" s="573"/>
      <c r="J26" s="571" t="s">
        <v>10</v>
      </c>
      <c r="K26" s="105" t="e">
        <f>연장근로!#REF!</f>
        <v>#REF!</v>
      </c>
    </row>
    <row r="27" spans="1:12" ht="36" hidden="1" customHeight="1">
      <c r="A27" s="896"/>
      <c r="B27" s="589"/>
      <c r="C27" s="588" t="s">
        <v>229</v>
      </c>
      <c r="D27" s="591"/>
      <c r="E27" s="575">
        <f>TRUNC(E25/K23*K27*1.5,0)</f>
        <v>0</v>
      </c>
      <c r="F27" s="579"/>
      <c r="G27" s="580"/>
      <c r="H27" s="572" t="s">
        <v>203</v>
      </c>
      <c r="I27" s="573"/>
      <c r="J27" s="571" t="s">
        <v>11</v>
      </c>
      <c r="K27" s="105">
        <f>휴일근로!$F$10</f>
        <v>0</v>
      </c>
    </row>
    <row r="28" spans="1:12" ht="36" hidden="1" customHeight="1">
      <c r="A28" s="896"/>
      <c r="B28" s="589"/>
      <c r="C28" s="588" t="s">
        <v>50</v>
      </c>
      <c r="D28" s="591"/>
      <c r="E28" s="575">
        <f>TRUNC(E25/K23*8*15/12,0)</f>
        <v>0</v>
      </c>
      <c r="F28" s="579"/>
      <c r="G28" s="580"/>
      <c r="H28" s="572" t="s">
        <v>202</v>
      </c>
      <c r="I28" s="573"/>
      <c r="J28" s="571" t="s">
        <v>12</v>
      </c>
    </row>
    <row r="29" spans="1:12" ht="36" hidden="1" customHeight="1">
      <c r="A29" s="896"/>
      <c r="B29" s="589"/>
      <c r="C29" s="588" t="s">
        <v>257</v>
      </c>
      <c r="D29" s="591"/>
      <c r="E29" s="568"/>
      <c r="F29" s="579"/>
      <c r="G29" s="580"/>
      <c r="H29" s="572" t="s">
        <v>378</v>
      </c>
      <c r="I29" s="573"/>
      <c r="J29" s="571" t="s">
        <v>13</v>
      </c>
    </row>
    <row r="30" spans="1:12" ht="36" hidden="1" customHeight="1">
      <c r="A30" s="897"/>
      <c r="B30" s="589"/>
      <c r="C30" s="588" t="s">
        <v>51</v>
      </c>
      <c r="D30" s="591"/>
      <c r="E30" s="575">
        <f>SUM(E26:E29)</f>
        <v>0</v>
      </c>
      <c r="F30" s="579"/>
      <c r="G30" s="580"/>
      <c r="H30" s="572"/>
      <c r="I30" s="573"/>
      <c r="J30" s="571"/>
    </row>
    <row r="31" spans="1:12" ht="36" hidden="1" customHeight="1">
      <c r="A31" s="886" t="s">
        <v>52</v>
      </c>
      <c r="B31" s="887"/>
      <c r="C31" s="887"/>
      <c r="D31" s="888"/>
      <c r="E31" s="568">
        <f>TRUNC(E25*0.7/12,0)</f>
        <v>0</v>
      </c>
      <c r="F31" s="569"/>
      <c r="G31" s="84"/>
      <c r="H31" s="576" t="s">
        <v>432</v>
      </c>
      <c r="I31" s="577"/>
      <c r="J31" s="571" t="s">
        <v>267</v>
      </c>
    </row>
    <row r="32" spans="1:12" ht="36" hidden="1" customHeight="1">
      <c r="A32" s="886" t="s">
        <v>53</v>
      </c>
      <c r="B32" s="887"/>
      <c r="C32" s="887"/>
      <c r="D32" s="888"/>
      <c r="E32" s="575">
        <f>TRUNC(SUM(E25,E30,E31)/12,0)</f>
        <v>0</v>
      </c>
      <c r="F32" s="579"/>
      <c r="G32" s="580"/>
      <c r="H32" s="572" t="s">
        <v>54</v>
      </c>
      <c r="I32" s="573"/>
      <c r="J32" s="571" t="s">
        <v>268</v>
      </c>
    </row>
    <row r="33" spans="1:12" ht="45" hidden="1" customHeight="1">
      <c r="A33" s="886" t="s">
        <v>55</v>
      </c>
      <c r="B33" s="887"/>
      <c r="C33" s="887"/>
      <c r="D33" s="888"/>
      <c r="E33" s="575">
        <f>SUM(E25,E30,E31,E32)</f>
        <v>0</v>
      </c>
      <c r="F33" s="579"/>
      <c r="G33" s="580"/>
      <c r="H33" s="594"/>
      <c r="I33" s="592"/>
      <c r="J33" s="593"/>
    </row>
    <row r="34" spans="1:12" s="484" customFormat="1" ht="24.95" hidden="1" customHeight="1">
      <c r="A34" s="483" t="str">
        <f>"주 1) 기본급 : "&amp;월기본급!$A$1&amp;월기본급!$A$2&amp;" 참조"</f>
        <v>주 1) 기본급 : &lt; 표 : 5 &gt; M/M당기본급산출표 참조</v>
      </c>
      <c r="B34" s="483"/>
      <c r="C34" s="483"/>
      <c r="D34" s="483"/>
      <c r="E34" s="485"/>
      <c r="F34" s="485"/>
      <c r="G34" s="485"/>
      <c r="H34" s="485"/>
      <c r="I34" s="485"/>
      <c r="J34" s="485"/>
      <c r="L34" s="488"/>
    </row>
    <row r="35" spans="1:12" s="484" customFormat="1" ht="24.95" hidden="1" customHeight="1">
      <c r="A35" s="487" t="str">
        <f>"   2) 연장근로수당 : "&amp;FIXED(E25,0)&amp;"(기본급)÷"&amp;K23&amp;"시간(월근로시간)×("&amp;(연장근로!$D$8)&amp;"시간×"&amp;(연장근로!$E$8)&amp;"주)×1.5(할증)"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35" s="483"/>
      <c r="C35" s="483"/>
      <c r="D35" s="483"/>
      <c r="E35" s="485"/>
      <c r="F35" s="485"/>
      <c r="G35" s="485"/>
      <c r="H35" s="485"/>
      <c r="I35" s="485"/>
      <c r="J35" s="485"/>
      <c r="L35" s="488"/>
    </row>
    <row r="36" spans="1:12" s="484" customFormat="1" ht="24.95" hidden="1" customHeight="1">
      <c r="A36" s="115" t="s">
        <v>270</v>
      </c>
      <c r="B36" s="483"/>
      <c r="C36" s="483"/>
      <c r="D36" s="483"/>
      <c r="E36" s="485"/>
      <c r="F36" s="485"/>
      <c r="G36" s="485"/>
      <c r="H36" s="485"/>
      <c r="I36" s="485"/>
      <c r="J36" s="485"/>
      <c r="L36" s="488"/>
    </row>
    <row r="37" spans="1:12" s="484" customFormat="1" ht="24.95" hidden="1" customHeight="1">
      <c r="A37" s="487" t="str">
        <f>"   3) 휴일근로수당 : "&amp;FIXED(E25,0)&amp;"(기본급)÷"&amp;K23&amp;"(월근로시간)×"&amp;K27&amp;"시간(휴일근로시간)×1.5(할증)"</f>
        <v xml:space="preserve">   3) 휴일근로수당 : 0(기본급)÷209(월근로시간)×0시간(휴일근로시간)×1.5(할증)</v>
      </c>
      <c r="B37" s="483"/>
      <c r="C37" s="483"/>
      <c r="D37" s="483"/>
      <c r="E37" s="485"/>
      <c r="F37" s="485"/>
      <c r="G37" s="485"/>
      <c r="H37" s="485"/>
      <c r="I37" s="485"/>
      <c r="J37" s="485"/>
      <c r="L37" s="488"/>
    </row>
    <row r="38" spans="1:12" s="484" customFormat="1" ht="24.95" hidden="1" customHeight="1">
      <c r="A38" s="487" t="str">
        <f>"   4) 년차수당 : "&amp;FIXED(E25,0)&amp;"(기본급)÷"&amp;K23&amp;"(월근로시간)×8시간(일근로시간)×15일/년÷12개월"</f>
        <v xml:space="preserve">   4) 년차수당 : 0(기본급)÷209(월근로시간)×8시간(일근로시간)×15일/년÷12개월</v>
      </c>
      <c r="B38" s="578"/>
      <c r="C38" s="578"/>
      <c r="D38" s="578"/>
      <c r="E38" s="486"/>
      <c r="F38" s="486"/>
      <c r="G38" s="486"/>
      <c r="H38" s="486"/>
      <c r="I38" s="486"/>
      <c r="J38" s="117"/>
      <c r="L38" s="488"/>
    </row>
    <row r="39" spans="1:12" s="484" customFormat="1" ht="24.95" hidden="1" customHeight="1">
      <c r="A39" s="487" t="s">
        <v>269</v>
      </c>
      <c r="B39" s="578"/>
      <c r="C39" s="578"/>
      <c r="D39" s="578"/>
      <c r="E39" s="486"/>
      <c r="F39" s="486"/>
      <c r="G39" s="486"/>
      <c r="H39" s="486"/>
      <c r="I39" s="486"/>
      <c r="J39" s="117"/>
      <c r="L39" s="488"/>
    </row>
    <row r="40" spans="1:12" ht="24.95" hidden="1" customHeight="1">
      <c r="A40" s="487" t="str">
        <f>"   6) 상여금 : "&amp;FIXED(E25,0)&amp;"(기본급)×0.7개월(년 70%적용)÷12개월"</f>
        <v xml:space="preserve">   6) 상여금 : 0(기본급)×0.7개월(년 70%적용)÷12개월</v>
      </c>
      <c r="J40" s="85"/>
    </row>
    <row r="41" spans="1:12" ht="24.95" hidden="1" customHeight="1">
      <c r="A41" s="487" t="str">
        <f>"   7) 퇴직급여충당금 : {"&amp;FIXED(E25,0)&amp;"(기본급)+"&amp;FIXED(E30,0)&amp;"(제수당)+"&amp;FIXED(E31,0)&amp;"(상여금)}÷12개월"</f>
        <v xml:space="preserve">   7) 퇴직급여충당금 : {0(기본급)+0(제수당)+0(상여금)}÷12개월</v>
      </c>
      <c r="J41" s="85"/>
    </row>
    <row r="42" spans="1:12" ht="20.100000000000001" hidden="1" customHeight="1">
      <c r="A42" s="115" t="str">
        <f>"구 분 : "&amp;월기본급!B11&amp;"                       직종명 : "&amp;월기본급!F11&amp;""</f>
        <v xml:space="preserve">구 분 :                        직종명 : </v>
      </c>
      <c r="B42" s="114"/>
      <c r="C42" s="114"/>
      <c r="D42" s="114"/>
      <c r="E42" s="486"/>
      <c r="F42" s="486"/>
      <c r="G42" s="486"/>
      <c r="J42" s="118" t="s">
        <v>36</v>
      </c>
      <c r="K42" s="105">
        <v>209</v>
      </c>
      <c r="L42" s="115" t="s">
        <v>44</v>
      </c>
    </row>
    <row r="43" spans="1:12" ht="50.1" hidden="1" customHeight="1">
      <c r="A43" s="886" t="s">
        <v>45</v>
      </c>
      <c r="B43" s="887"/>
      <c r="C43" s="887"/>
      <c r="D43" s="888"/>
      <c r="E43" s="936" t="s">
        <v>46</v>
      </c>
      <c r="F43" s="937"/>
      <c r="G43" s="369" t="s">
        <v>181</v>
      </c>
      <c r="H43" s="367"/>
      <c r="I43" s="369" t="s">
        <v>47</v>
      </c>
      <c r="J43" s="367"/>
    </row>
    <row r="44" spans="1:12" ht="36" hidden="1" customHeight="1">
      <c r="A44" s="886" t="s">
        <v>48</v>
      </c>
      <c r="B44" s="887"/>
      <c r="C44" s="887"/>
      <c r="D44" s="888"/>
      <c r="E44" s="575">
        <f>월기본급!J11</f>
        <v>0</v>
      </c>
      <c r="F44" s="579"/>
      <c r="G44" s="580"/>
      <c r="H44" s="570" t="s">
        <v>377</v>
      </c>
      <c r="I44" s="499"/>
      <c r="J44" s="571" t="s">
        <v>49</v>
      </c>
    </row>
    <row r="45" spans="1:12" ht="36" hidden="1" customHeight="1">
      <c r="A45" s="895" t="s">
        <v>258</v>
      </c>
      <c r="B45" s="589"/>
      <c r="C45" s="588" t="s">
        <v>0</v>
      </c>
      <c r="D45" s="591"/>
      <c r="E45" s="694">
        <f>TRUNC((E44/K42*($L$7*4.34)*1.5),0)</f>
        <v>0</v>
      </c>
      <c r="F45" s="579"/>
      <c r="G45" s="580"/>
      <c r="H45" s="572" t="s">
        <v>203</v>
      </c>
      <c r="I45" s="573"/>
      <c r="J45" s="571" t="s">
        <v>10</v>
      </c>
    </row>
    <row r="46" spans="1:12" ht="36" hidden="1" customHeight="1">
      <c r="A46" s="896"/>
      <c r="B46" s="589"/>
      <c r="C46" s="588" t="s">
        <v>229</v>
      </c>
      <c r="D46" s="591"/>
      <c r="E46" s="575">
        <f>TRUNC(E44/K42*K46*1.5,0)</f>
        <v>0</v>
      </c>
      <c r="F46" s="579"/>
      <c r="G46" s="580"/>
      <c r="H46" s="572" t="s">
        <v>203</v>
      </c>
      <c r="I46" s="573"/>
      <c r="J46" s="571" t="s">
        <v>11</v>
      </c>
      <c r="K46" s="105">
        <f>휴일근로!$F$10</f>
        <v>0</v>
      </c>
    </row>
    <row r="47" spans="1:12" ht="36" hidden="1" customHeight="1">
      <c r="A47" s="896"/>
      <c r="B47" s="589"/>
      <c r="C47" s="588" t="s">
        <v>50</v>
      </c>
      <c r="D47" s="591"/>
      <c r="E47" s="575">
        <f>TRUNC(E44/K42*8*15/12,0)</f>
        <v>0</v>
      </c>
      <c r="F47" s="579"/>
      <c r="G47" s="580"/>
      <c r="H47" s="572" t="s">
        <v>202</v>
      </c>
      <c r="I47" s="573"/>
      <c r="J47" s="571" t="s">
        <v>12</v>
      </c>
    </row>
    <row r="48" spans="1:12" ht="36" hidden="1" customHeight="1">
      <c r="A48" s="896"/>
      <c r="B48" s="589"/>
      <c r="C48" s="588" t="s">
        <v>257</v>
      </c>
      <c r="D48" s="591"/>
      <c r="E48" s="568"/>
      <c r="F48" s="569"/>
      <c r="G48" s="84"/>
      <c r="H48" s="572" t="s">
        <v>378</v>
      </c>
      <c r="I48" s="573"/>
      <c r="J48" s="571" t="s">
        <v>13</v>
      </c>
    </row>
    <row r="49" spans="1:12" ht="36" hidden="1" customHeight="1">
      <c r="A49" s="897"/>
      <c r="B49" s="589"/>
      <c r="C49" s="588" t="s">
        <v>51</v>
      </c>
      <c r="D49" s="591"/>
      <c r="E49" s="575">
        <f>SUM(E45:E48)</f>
        <v>0</v>
      </c>
      <c r="F49" s="579"/>
      <c r="G49" s="580"/>
      <c r="H49" s="572"/>
      <c r="I49" s="573"/>
      <c r="J49" s="571"/>
    </row>
    <row r="50" spans="1:12" ht="36" hidden="1" customHeight="1">
      <c r="A50" s="886" t="s">
        <v>52</v>
      </c>
      <c r="B50" s="887"/>
      <c r="C50" s="887"/>
      <c r="D50" s="888"/>
      <c r="E50" s="568">
        <f>TRUNC(E44*0.7/12,0)</f>
        <v>0</v>
      </c>
      <c r="F50" s="569"/>
      <c r="G50" s="84"/>
      <c r="H50" s="576" t="s">
        <v>432</v>
      </c>
      <c r="I50" s="577"/>
      <c r="J50" s="571" t="s">
        <v>267</v>
      </c>
    </row>
    <row r="51" spans="1:12" ht="36" hidden="1" customHeight="1">
      <c r="A51" s="886" t="s">
        <v>53</v>
      </c>
      <c r="B51" s="887"/>
      <c r="C51" s="887"/>
      <c r="D51" s="888"/>
      <c r="E51" s="575">
        <f>TRUNC(SUM(E44,E49,E50)/12,0)</f>
        <v>0</v>
      </c>
      <c r="F51" s="579"/>
      <c r="G51" s="580"/>
      <c r="H51" s="572" t="s">
        <v>54</v>
      </c>
      <c r="I51" s="573"/>
      <c r="J51" s="571" t="s">
        <v>268</v>
      </c>
    </row>
    <row r="52" spans="1:12" ht="45" hidden="1" customHeight="1">
      <c r="A52" s="886" t="s">
        <v>55</v>
      </c>
      <c r="B52" s="887"/>
      <c r="C52" s="887"/>
      <c r="D52" s="888"/>
      <c r="E52" s="575">
        <f>SUM(E44,E49,E50,E51)</f>
        <v>0</v>
      </c>
      <c r="F52" s="579"/>
      <c r="G52" s="580"/>
      <c r="H52" s="594"/>
      <c r="I52" s="592"/>
      <c r="J52" s="593"/>
    </row>
    <row r="53" spans="1:12" s="484" customFormat="1" ht="24.95" hidden="1" customHeight="1">
      <c r="A53" s="483" t="str">
        <f>"주 1) 기본급 : "&amp;월기본급!$A$1&amp;월기본급!$A$2&amp;" 참조"</f>
        <v>주 1) 기본급 : &lt; 표 : 5 &gt; M/M당기본급산출표 참조</v>
      </c>
      <c r="B53" s="483"/>
      <c r="C53" s="483"/>
      <c r="D53" s="483"/>
      <c r="E53" s="485"/>
      <c r="F53" s="485"/>
      <c r="G53" s="485"/>
      <c r="H53" s="485"/>
      <c r="I53" s="485"/>
      <c r="J53" s="485"/>
      <c r="L53" s="488"/>
    </row>
    <row r="54" spans="1:12" s="484" customFormat="1" ht="24.95" hidden="1" customHeight="1">
      <c r="A54" s="487" t="str">
        <f>"   2) 연장근로수당 : "&amp;FIXED(E44,0)&amp;"(기본급)÷"&amp;K42&amp;"시간(월근로시간)×("&amp;(연장근로!$D$8)&amp;"시간×"&amp;(연장근로!$E$8)&amp;"주)×1.5(할증)"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54" s="483"/>
      <c r="C54" s="483"/>
      <c r="D54" s="483"/>
      <c r="E54" s="485"/>
      <c r="F54" s="485"/>
      <c r="G54" s="485"/>
      <c r="H54" s="485"/>
      <c r="I54" s="485"/>
      <c r="J54" s="485"/>
      <c r="L54" s="488"/>
    </row>
    <row r="55" spans="1:12" s="484" customFormat="1" ht="24.95" hidden="1" customHeight="1">
      <c r="A55" s="115" t="s">
        <v>270</v>
      </c>
      <c r="B55" s="483"/>
      <c r="C55" s="483"/>
      <c r="D55" s="483"/>
      <c r="E55" s="485"/>
      <c r="F55" s="485"/>
      <c r="G55" s="485"/>
      <c r="H55" s="485"/>
      <c r="I55" s="485"/>
      <c r="J55" s="485"/>
      <c r="L55" s="488"/>
    </row>
    <row r="56" spans="1:12" s="484" customFormat="1" ht="24.95" hidden="1" customHeight="1">
      <c r="A56" s="487" t="str">
        <f>"   3) 휴일근로수당 : "&amp;FIXED(E44,0)&amp;"(기본급)÷"&amp;K42&amp;"(월근로시간)×"&amp;K46&amp;"시간(휴일근로시간)×1.5(할증)"</f>
        <v xml:space="preserve">   3) 휴일근로수당 : 0(기본급)÷209(월근로시간)×0시간(휴일근로시간)×1.5(할증)</v>
      </c>
      <c r="B56" s="483"/>
      <c r="C56" s="483"/>
      <c r="D56" s="483"/>
      <c r="E56" s="485"/>
      <c r="F56" s="485"/>
      <c r="G56" s="485"/>
      <c r="H56" s="485"/>
      <c r="I56" s="485"/>
      <c r="J56" s="485"/>
      <c r="L56" s="488"/>
    </row>
    <row r="57" spans="1:12" s="484" customFormat="1" ht="24.95" hidden="1" customHeight="1">
      <c r="A57" s="487" t="str">
        <f>"   4) 년차수당 : "&amp;FIXED(E44,0)&amp;"(기본급)÷"&amp;K42&amp;"(월근로시간)×8시간(일근로시간)×15일/년÷12개월"</f>
        <v xml:space="preserve">   4) 년차수당 : 0(기본급)÷209(월근로시간)×8시간(일근로시간)×15일/년÷12개월</v>
      </c>
      <c r="B57" s="578"/>
      <c r="C57" s="578"/>
      <c r="D57" s="578"/>
      <c r="E57" s="486"/>
      <c r="F57" s="486"/>
      <c r="G57" s="486"/>
      <c r="H57" s="486"/>
      <c r="I57" s="486"/>
      <c r="J57" s="117"/>
      <c r="L57" s="488"/>
    </row>
    <row r="58" spans="1:12" s="484" customFormat="1" ht="24.95" hidden="1" customHeight="1">
      <c r="A58" s="487" t="s">
        <v>269</v>
      </c>
      <c r="B58" s="578"/>
      <c r="C58" s="578"/>
      <c r="D58" s="578"/>
      <c r="E58" s="486"/>
      <c r="F58" s="486"/>
      <c r="G58" s="486"/>
      <c r="H58" s="486"/>
      <c r="I58" s="486"/>
      <c r="J58" s="117"/>
      <c r="L58" s="488"/>
    </row>
    <row r="59" spans="1:12" ht="24.95" hidden="1" customHeight="1">
      <c r="A59" s="487" t="str">
        <f>"   6) 상여금 : "&amp;FIXED(E44,0)&amp;"(기본급)×0.7개월(년 70%적용)÷12개월"</f>
        <v xml:space="preserve">   6) 상여금 : 0(기본급)×0.7개월(년 70%적용)÷12개월</v>
      </c>
      <c r="J59" s="85"/>
    </row>
    <row r="60" spans="1:12" ht="24.95" hidden="1" customHeight="1">
      <c r="A60" s="487" t="str">
        <f>"   7) 퇴직급여충당금 : {"&amp;FIXED(E44,0)&amp;"(기본급)+"&amp;FIXED(E49,0)&amp;"(제수당)+"&amp;FIXED(E50,0)&amp;"(상여금)}÷12개월"</f>
        <v xml:space="preserve">   7) 퇴직급여충당금 : {0(기본급)+0(제수당)+0(상여금)}÷12개월</v>
      </c>
      <c r="J60" s="85"/>
    </row>
    <row r="61" spans="1:12" ht="20.100000000000001" hidden="1" customHeight="1">
      <c r="A61" s="115" t="str">
        <f>"구 분 : "&amp;월기본급!B12&amp;"                       직종명 : "&amp;월기본급!F12&amp;""</f>
        <v xml:space="preserve">구 분 :                        직종명 : </v>
      </c>
      <c r="B61" s="114"/>
      <c r="C61" s="114"/>
      <c r="D61" s="114"/>
      <c r="E61" s="486"/>
      <c r="F61" s="486"/>
      <c r="G61" s="486"/>
      <c r="J61" s="118" t="s">
        <v>36</v>
      </c>
      <c r="K61" s="105">
        <v>209</v>
      </c>
      <c r="L61" s="115" t="s">
        <v>44</v>
      </c>
    </row>
    <row r="62" spans="1:12" ht="50.1" hidden="1" customHeight="1">
      <c r="A62" s="886" t="s">
        <v>45</v>
      </c>
      <c r="B62" s="887"/>
      <c r="C62" s="887"/>
      <c r="D62" s="888"/>
      <c r="E62" s="936" t="s">
        <v>46</v>
      </c>
      <c r="F62" s="937"/>
      <c r="G62" s="369" t="s">
        <v>181</v>
      </c>
      <c r="H62" s="367"/>
      <c r="I62" s="369" t="s">
        <v>47</v>
      </c>
      <c r="J62" s="367"/>
    </row>
    <row r="63" spans="1:12" ht="36" hidden="1" customHeight="1">
      <c r="A63" s="886" t="s">
        <v>48</v>
      </c>
      <c r="B63" s="887"/>
      <c r="C63" s="887"/>
      <c r="D63" s="888"/>
      <c r="E63" s="575">
        <f>월기본급!J12</f>
        <v>0</v>
      </c>
      <c r="F63" s="579"/>
      <c r="G63" s="580"/>
      <c r="H63" s="570" t="s">
        <v>377</v>
      </c>
      <c r="I63" s="499"/>
      <c r="J63" s="571" t="s">
        <v>49</v>
      </c>
    </row>
    <row r="64" spans="1:12" ht="36" hidden="1" customHeight="1">
      <c r="A64" s="895" t="s">
        <v>258</v>
      </c>
      <c r="B64" s="589"/>
      <c r="C64" s="588" t="s">
        <v>0</v>
      </c>
      <c r="D64" s="591"/>
      <c r="E64" s="694">
        <f>TRUNC((E63/K61*($L$7*4.34)*1.5),0)</f>
        <v>0</v>
      </c>
      <c r="F64" s="579"/>
      <c r="G64" s="580"/>
      <c r="H64" s="572" t="s">
        <v>203</v>
      </c>
      <c r="I64" s="573"/>
      <c r="J64" s="571" t="s">
        <v>10</v>
      </c>
      <c r="K64" s="105">
        <f>K45</f>
        <v>0</v>
      </c>
    </row>
    <row r="65" spans="1:12" ht="36" hidden="1" customHeight="1">
      <c r="A65" s="896"/>
      <c r="B65" s="589"/>
      <c r="C65" s="588" t="s">
        <v>209</v>
      </c>
      <c r="D65" s="591"/>
      <c r="E65" s="575">
        <f>TRUNC(E63/K61*K65*1.5,0)</f>
        <v>0</v>
      </c>
      <c r="F65" s="579"/>
      <c r="G65" s="580"/>
      <c r="H65" s="572" t="s">
        <v>203</v>
      </c>
      <c r="I65" s="573"/>
      <c r="J65" s="571" t="s">
        <v>11</v>
      </c>
      <c r="K65" s="581">
        <f>K46</f>
        <v>0</v>
      </c>
    </row>
    <row r="66" spans="1:12" ht="36" hidden="1" customHeight="1">
      <c r="A66" s="896"/>
      <c r="B66" s="589"/>
      <c r="C66" s="588" t="s">
        <v>50</v>
      </c>
      <c r="D66" s="591"/>
      <c r="E66" s="575">
        <f>TRUNC(E63/K61*8*15/12,0)</f>
        <v>0</v>
      </c>
      <c r="F66" s="579"/>
      <c r="G66" s="580"/>
      <c r="H66" s="572" t="s">
        <v>202</v>
      </c>
      <c r="I66" s="573"/>
      <c r="J66" s="571" t="s">
        <v>12</v>
      </c>
    </row>
    <row r="67" spans="1:12" ht="36" hidden="1" customHeight="1">
      <c r="A67" s="896"/>
      <c r="B67" s="589"/>
      <c r="C67" s="588" t="s">
        <v>257</v>
      </c>
      <c r="D67" s="591"/>
      <c r="E67" s="568"/>
      <c r="F67" s="579"/>
      <c r="G67" s="580"/>
      <c r="H67" s="572" t="s">
        <v>378</v>
      </c>
      <c r="I67" s="573"/>
      <c r="J67" s="571" t="s">
        <v>13</v>
      </c>
    </row>
    <row r="68" spans="1:12" ht="36" hidden="1" customHeight="1">
      <c r="A68" s="897"/>
      <c r="B68" s="589"/>
      <c r="C68" s="588" t="s">
        <v>51</v>
      </c>
      <c r="D68" s="591"/>
      <c r="E68" s="575">
        <f>SUM(E64:E67)</f>
        <v>0</v>
      </c>
      <c r="F68" s="579"/>
      <c r="G68" s="580"/>
      <c r="H68" s="572"/>
      <c r="I68" s="573"/>
      <c r="J68" s="571"/>
    </row>
    <row r="69" spans="1:12" ht="36" hidden="1" customHeight="1">
      <c r="A69" s="886" t="s">
        <v>52</v>
      </c>
      <c r="B69" s="887"/>
      <c r="C69" s="887"/>
      <c r="D69" s="888"/>
      <c r="E69" s="568">
        <f>TRUNC(E63*0.3/12,0)</f>
        <v>0</v>
      </c>
      <c r="F69" s="569"/>
      <c r="G69" s="84"/>
      <c r="H69" s="576" t="s">
        <v>432</v>
      </c>
      <c r="I69" s="577"/>
      <c r="J69" s="571" t="s">
        <v>267</v>
      </c>
    </row>
    <row r="70" spans="1:12" ht="36" hidden="1" customHeight="1">
      <c r="A70" s="886" t="s">
        <v>53</v>
      </c>
      <c r="B70" s="887"/>
      <c r="C70" s="887"/>
      <c r="D70" s="888"/>
      <c r="E70" s="575">
        <f>TRUNC(SUM(E63,E68,E69)/12,0)</f>
        <v>0</v>
      </c>
      <c r="F70" s="579"/>
      <c r="G70" s="580"/>
      <c r="H70" s="572" t="s">
        <v>54</v>
      </c>
      <c r="I70" s="573"/>
      <c r="J70" s="571" t="s">
        <v>268</v>
      </c>
    </row>
    <row r="71" spans="1:12" ht="45" hidden="1" customHeight="1">
      <c r="A71" s="886" t="s">
        <v>55</v>
      </c>
      <c r="B71" s="887"/>
      <c r="C71" s="887"/>
      <c r="D71" s="888"/>
      <c r="E71" s="575">
        <f>SUM(E63,E68,E69,E70)</f>
        <v>0</v>
      </c>
      <c r="F71" s="579"/>
      <c r="G71" s="580"/>
      <c r="H71" s="594"/>
      <c r="I71" s="592"/>
      <c r="J71" s="593"/>
    </row>
    <row r="72" spans="1:12" s="484" customFormat="1" ht="24.95" hidden="1" customHeight="1">
      <c r="A72" s="483" t="str">
        <f>"주 1) 기본급 : "&amp;월기본급!$A$1&amp;월기본급!$A$2&amp;" 참조"</f>
        <v>주 1) 기본급 : &lt; 표 : 5 &gt; M/M당기본급산출표 참조</v>
      </c>
      <c r="B72" s="483"/>
      <c r="C72" s="483"/>
      <c r="D72" s="483"/>
      <c r="E72" s="485"/>
      <c r="F72" s="485"/>
      <c r="G72" s="485"/>
      <c r="H72" s="485"/>
      <c r="I72" s="485"/>
      <c r="J72" s="485"/>
      <c r="L72" s="488"/>
    </row>
    <row r="73" spans="1:12" s="484" customFormat="1" ht="24.95" hidden="1" customHeight="1">
      <c r="A73" s="487" t="str">
        <f>"   2) 연장근로수당 : "&amp;FIXED(E63,0)&amp;"(기본급)÷"&amp;K61&amp;"시간(월근로시간)×("&amp;(연장근로!$D$8)&amp;"시간×"&amp;(연장근로!$E$8)&amp;"주)×1.5(할증)"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73" s="483"/>
      <c r="C73" s="483"/>
      <c r="D73" s="483"/>
      <c r="E73" s="485"/>
      <c r="F73" s="485"/>
      <c r="G73" s="485"/>
      <c r="H73" s="485"/>
      <c r="I73" s="485"/>
      <c r="J73" s="485"/>
      <c r="L73" s="488"/>
    </row>
    <row r="74" spans="1:12" s="484" customFormat="1" ht="24.95" hidden="1" customHeight="1">
      <c r="A74" s="115" t="s">
        <v>270</v>
      </c>
      <c r="B74" s="483"/>
      <c r="C74" s="483"/>
      <c r="D74" s="483"/>
      <c r="E74" s="485"/>
      <c r="F74" s="485"/>
      <c r="G74" s="485"/>
      <c r="H74" s="485"/>
      <c r="I74" s="485"/>
      <c r="J74" s="485"/>
      <c r="L74" s="488"/>
    </row>
    <row r="75" spans="1:12" s="484" customFormat="1" ht="24.95" hidden="1" customHeight="1">
      <c r="A75" s="487" t="str">
        <f>"   3) 휴일근로수당 : "&amp;FIXED(E63,0)&amp;"(기본급)÷"&amp;K61&amp;"(월근로시간)×"&amp;FIXED(K65,0)&amp;"시간(휴일근로시간)×1.5(할증)"</f>
        <v xml:space="preserve">   3) 휴일근로수당 : 0(기본급)÷209(월근로시간)×0시간(휴일근로시간)×1.5(할증)</v>
      </c>
      <c r="B75" s="483"/>
      <c r="C75" s="483"/>
      <c r="D75" s="483"/>
      <c r="E75" s="485"/>
      <c r="F75" s="485"/>
      <c r="G75" s="485"/>
      <c r="H75" s="485"/>
      <c r="I75" s="485"/>
      <c r="J75" s="485"/>
      <c r="L75" s="488"/>
    </row>
    <row r="76" spans="1:12" s="484" customFormat="1" ht="24.95" hidden="1" customHeight="1">
      <c r="A76" s="487" t="str">
        <f>"   4) 년차수당 : "&amp;FIXED(E63,0)&amp;"(기본급)÷"&amp;K61&amp;"(월근로시간)×8시간(일근로시간)×15일/년÷12개월"</f>
        <v xml:space="preserve">   4) 년차수당 : 0(기본급)÷209(월근로시간)×8시간(일근로시간)×15일/년÷12개월</v>
      </c>
      <c r="B76" s="578"/>
      <c r="C76" s="578"/>
      <c r="D76" s="578"/>
      <c r="E76" s="486"/>
      <c r="F76" s="486"/>
      <c r="G76" s="486"/>
      <c r="H76" s="486"/>
      <c r="I76" s="486"/>
      <c r="J76" s="117"/>
      <c r="L76" s="488"/>
    </row>
    <row r="77" spans="1:12" s="484" customFormat="1" ht="24.95" hidden="1" customHeight="1">
      <c r="A77" s="487" t="s">
        <v>269</v>
      </c>
      <c r="B77" s="578"/>
      <c r="C77" s="578"/>
      <c r="D77" s="578"/>
      <c r="E77" s="486"/>
      <c r="F77" s="486"/>
      <c r="G77" s="486"/>
      <c r="H77" s="486"/>
      <c r="I77" s="486"/>
      <c r="J77" s="117"/>
      <c r="L77" s="488"/>
    </row>
    <row r="78" spans="1:12" ht="24.95" hidden="1" customHeight="1">
      <c r="A78" s="487" t="str">
        <f>"   6) 상여금 : "&amp;FIXED(E63,0)&amp;"(기본급)×0.3개월(년 30%적용)÷12개월"</f>
        <v xml:space="preserve">   6) 상여금 : 0(기본급)×0.3개월(년 30%적용)÷12개월</v>
      </c>
      <c r="J78" s="85"/>
    </row>
    <row r="79" spans="1:12" ht="24.95" hidden="1" customHeight="1">
      <c r="A79" s="487" t="str">
        <f>"   7) 퇴직급여충당금 : {"&amp;FIXED(E63,0)&amp;"(기본급)+"&amp;FIXED(E68,0)&amp;"(제수당)+"&amp;FIXED(E69,0)&amp;"(상여금)}÷12개월"</f>
        <v xml:space="preserve">   7) 퇴직급여충당금 : {0(기본급)+0(제수당)+0(상여금)}÷12개월</v>
      </c>
      <c r="J79" s="85"/>
    </row>
    <row r="80" spans="1:12" ht="20.100000000000001" hidden="1" customHeight="1">
      <c r="A80" s="115" t="str">
        <f>"구 분 : "&amp;월기본급!B13&amp;"                       직종명 : "&amp;월기본급!F13&amp;""</f>
        <v xml:space="preserve">구 분 :                        직종명 : </v>
      </c>
      <c r="B80" s="114"/>
      <c r="C80" s="114"/>
      <c r="D80" s="114"/>
      <c r="E80" s="486"/>
      <c r="F80" s="486"/>
      <c r="G80" s="486"/>
      <c r="J80" s="118" t="s">
        <v>36</v>
      </c>
      <c r="K80" s="105">
        <v>209</v>
      </c>
      <c r="L80" s="115" t="s">
        <v>44</v>
      </c>
    </row>
    <row r="81" spans="1:12" ht="50.1" hidden="1" customHeight="1">
      <c r="A81" s="886" t="s">
        <v>45</v>
      </c>
      <c r="B81" s="887"/>
      <c r="C81" s="887"/>
      <c r="D81" s="888"/>
      <c r="E81" s="936" t="s">
        <v>46</v>
      </c>
      <c r="F81" s="937"/>
      <c r="G81" s="369" t="s">
        <v>181</v>
      </c>
      <c r="H81" s="367"/>
      <c r="I81" s="369" t="s">
        <v>47</v>
      </c>
      <c r="J81" s="367"/>
    </row>
    <row r="82" spans="1:12" ht="36" hidden="1" customHeight="1">
      <c r="A82" s="886" t="s">
        <v>48</v>
      </c>
      <c r="B82" s="887"/>
      <c r="C82" s="887"/>
      <c r="D82" s="888"/>
      <c r="E82" s="575">
        <f>월기본급!J13</f>
        <v>0</v>
      </c>
      <c r="F82" s="579"/>
      <c r="G82" s="580"/>
      <c r="H82" s="570" t="s">
        <v>377</v>
      </c>
      <c r="I82" s="499"/>
      <c r="J82" s="571" t="s">
        <v>49</v>
      </c>
    </row>
    <row r="83" spans="1:12" ht="36" hidden="1" customHeight="1">
      <c r="A83" s="895" t="s">
        <v>258</v>
      </c>
      <c r="B83" s="589"/>
      <c r="C83" s="588" t="s">
        <v>0</v>
      </c>
      <c r="D83" s="591"/>
      <c r="E83" s="694">
        <f>TRUNC((E82/K80*($L$7*4.34)*1.5),0)</f>
        <v>0</v>
      </c>
      <c r="F83" s="579"/>
      <c r="G83" s="580"/>
      <c r="H83" s="572" t="s">
        <v>203</v>
      </c>
      <c r="I83" s="573"/>
      <c r="J83" s="571" t="s">
        <v>10</v>
      </c>
    </row>
    <row r="84" spans="1:12" ht="36" hidden="1" customHeight="1">
      <c r="A84" s="896"/>
      <c r="B84" s="589"/>
      <c r="C84" s="588" t="s">
        <v>209</v>
      </c>
      <c r="D84" s="591"/>
      <c r="E84" s="575">
        <f>TRUNC(E82/K80*K84*1.5,0)</f>
        <v>0</v>
      </c>
      <c r="F84" s="579"/>
      <c r="G84" s="580"/>
      <c r="H84" s="572" t="s">
        <v>203</v>
      </c>
      <c r="I84" s="573"/>
      <c r="J84" s="571" t="s">
        <v>11</v>
      </c>
      <c r="K84" s="581">
        <f>K65</f>
        <v>0</v>
      </c>
    </row>
    <row r="85" spans="1:12" ht="36" hidden="1" customHeight="1">
      <c r="A85" s="896"/>
      <c r="B85" s="589"/>
      <c r="C85" s="588" t="s">
        <v>50</v>
      </c>
      <c r="D85" s="591"/>
      <c r="E85" s="575">
        <f>TRUNC(E82/K80*8*15/12,0)</f>
        <v>0</v>
      </c>
      <c r="F85" s="579"/>
      <c r="G85" s="580"/>
      <c r="H85" s="572" t="s">
        <v>202</v>
      </c>
      <c r="I85" s="573"/>
      <c r="J85" s="571" t="s">
        <v>12</v>
      </c>
    </row>
    <row r="86" spans="1:12" ht="36" hidden="1" customHeight="1">
      <c r="A86" s="896"/>
      <c r="B86" s="589"/>
      <c r="C86" s="588" t="s">
        <v>257</v>
      </c>
      <c r="D86" s="591"/>
      <c r="E86" s="575"/>
      <c r="F86" s="579"/>
      <c r="G86" s="580"/>
      <c r="H86" s="572" t="s">
        <v>378</v>
      </c>
      <c r="I86" s="573"/>
      <c r="J86" s="571" t="s">
        <v>13</v>
      </c>
    </row>
    <row r="87" spans="1:12" ht="36" hidden="1" customHeight="1">
      <c r="A87" s="897"/>
      <c r="B87" s="589"/>
      <c r="C87" s="588" t="s">
        <v>51</v>
      </c>
      <c r="D87" s="591"/>
      <c r="E87" s="575">
        <f>SUM(E83:E86)</f>
        <v>0</v>
      </c>
      <c r="F87" s="579"/>
      <c r="G87" s="580"/>
      <c r="H87" s="572"/>
      <c r="I87" s="573"/>
      <c r="J87" s="571"/>
    </row>
    <row r="88" spans="1:12" ht="36" hidden="1" customHeight="1">
      <c r="A88" s="886" t="s">
        <v>52</v>
      </c>
      <c r="B88" s="887"/>
      <c r="C88" s="887"/>
      <c r="D88" s="888"/>
      <c r="E88" s="568">
        <f>TRUNC(E82*0.1/12,0)</f>
        <v>0</v>
      </c>
      <c r="F88" s="569"/>
      <c r="G88" s="84"/>
      <c r="H88" s="576" t="s">
        <v>432</v>
      </c>
      <c r="I88" s="577"/>
      <c r="J88" s="571" t="s">
        <v>267</v>
      </c>
    </row>
    <row r="89" spans="1:12" ht="36" hidden="1" customHeight="1">
      <c r="A89" s="886" t="s">
        <v>53</v>
      </c>
      <c r="B89" s="887"/>
      <c r="C89" s="887"/>
      <c r="D89" s="888"/>
      <c r="E89" s="575">
        <f>TRUNC(SUM(E82,E87,E88)/12,0)</f>
        <v>0</v>
      </c>
      <c r="F89" s="579"/>
      <c r="G89" s="580"/>
      <c r="H89" s="572" t="s">
        <v>54</v>
      </c>
      <c r="I89" s="573"/>
      <c r="J89" s="571" t="s">
        <v>268</v>
      </c>
    </row>
    <row r="90" spans="1:12" ht="45" hidden="1" customHeight="1">
      <c r="A90" s="886" t="s">
        <v>55</v>
      </c>
      <c r="B90" s="887"/>
      <c r="C90" s="887"/>
      <c r="D90" s="888"/>
      <c r="E90" s="575">
        <f>SUM(E82,E87,E88,E89)</f>
        <v>0</v>
      </c>
      <c r="F90" s="579"/>
      <c r="G90" s="580"/>
      <c r="H90" s="594"/>
      <c r="I90" s="592"/>
      <c r="J90" s="593"/>
    </row>
    <row r="91" spans="1:12" s="484" customFormat="1" ht="24.95" hidden="1" customHeight="1">
      <c r="A91" s="483" t="str">
        <f>"주 1) 기본급 : "&amp;월기본급!$A$1&amp;월기본급!$A$2&amp;" 참조"</f>
        <v>주 1) 기본급 : &lt; 표 : 5 &gt; M/M당기본급산출표 참조</v>
      </c>
      <c r="B91" s="483"/>
      <c r="C91" s="483"/>
      <c r="D91" s="483"/>
      <c r="E91" s="485"/>
      <c r="F91" s="485"/>
      <c r="G91" s="485"/>
      <c r="H91" s="485"/>
      <c r="I91" s="485"/>
      <c r="J91" s="485"/>
      <c r="L91" s="488"/>
    </row>
    <row r="92" spans="1:12" s="484" customFormat="1" ht="24.95" hidden="1" customHeight="1">
      <c r="A92" s="487" t="str">
        <f>"   2) 연장근로수당 : "&amp;FIXED(E82,0)&amp;"(기본급)÷"&amp;K80&amp;"시간(월근로시간)×("&amp;(연장근로!$D$8)&amp;"시간×"&amp;(연장근로!$E$8)&amp;"주)×1.5(할증)"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92" s="483"/>
      <c r="C92" s="483"/>
      <c r="D92" s="483"/>
      <c r="E92" s="485"/>
      <c r="F92" s="485"/>
      <c r="G92" s="485"/>
      <c r="H92" s="485"/>
      <c r="I92" s="485"/>
      <c r="J92" s="485"/>
      <c r="L92" s="488"/>
    </row>
    <row r="93" spans="1:12" s="484" customFormat="1" ht="24.95" hidden="1" customHeight="1">
      <c r="A93" s="115" t="s">
        <v>270</v>
      </c>
      <c r="B93" s="483"/>
      <c r="C93" s="483"/>
      <c r="D93" s="483"/>
      <c r="E93" s="485"/>
      <c r="F93" s="485"/>
      <c r="G93" s="485"/>
      <c r="H93" s="485"/>
      <c r="I93" s="485"/>
      <c r="J93" s="485"/>
      <c r="L93" s="488"/>
    </row>
    <row r="94" spans="1:12" s="484" customFormat="1" ht="24.95" hidden="1" customHeight="1">
      <c r="A94" s="487" t="str">
        <f>"   3) 휴일근로수당 : "&amp;FIXED(E82,0)&amp;"(기본급)÷"&amp;K80&amp;"(월근로시간)×"&amp;FIXED(K84,0)&amp;"시간(휴일근로시간)×1.5(할증)"</f>
        <v xml:space="preserve">   3) 휴일근로수당 : 0(기본급)÷209(월근로시간)×0시간(휴일근로시간)×1.5(할증)</v>
      </c>
      <c r="B94" s="483"/>
      <c r="C94" s="483"/>
      <c r="D94" s="483"/>
      <c r="E94" s="485"/>
      <c r="F94" s="485"/>
      <c r="G94" s="485"/>
      <c r="H94" s="485"/>
      <c r="I94" s="485"/>
      <c r="J94" s="485"/>
      <c r="L94" s="488"/>
    </row>
    <row r="95" spans="1:12" s="484" customFormat="1" ht="24.95" hidden="1" customHeight="1">
      <c r="A95" s="487" t="str">
        <f>"   4) 년차수당 : "&amp;FIXED(E82,0)&amp;"(기본급)÷"&amp;K80&amp;"(월근로시간)×8시간(일근로시간)×15일/년÷12개월"</f>
        <v xml:space="preserve">   4) 년차수당 : 0(기본급)÷209(월근로시간)×8시간(일근로시간)×15일/년÷12개월</v>
      </c>
      <c r="B95" s="578"/>
      <c r="C95" s="578"/>
      <c r="D95" s="578"/>
      <c r="E95" s="486"/>
      <c r="F95" s="486"/>
      <c r="G95" s="486"/>
      <c r="H95" s="486"/>
      <c r="I95" s="486"/>
      <c r="J95" s="117"/>
      <c r="L95" s="488"/>
    </row>
    <row r="96" spans="1:12" s="484" customFormat="1" ht="24.95" hidden="1" customHeight="1">
      <c r="A96" s="487" t="s">
        <v>269</v>
      </c>
      <c r="B96" s="578"/>
      <c r="C96" s="578"/>
      <c r="D96" s="578"/>
      <c r="E96" s="486"/>
      <c r="F96" s="486"/>
      <c r="G96" s="486"/>
      <c r="H96" s="486"/>
      <c r="I96" s="486"/>
      <c r="J96" s="117"/>
      <c r="L96" s="488"/>
    </row>
    <row r="97" spans="1:12" ht="24.95" hidden="1" customHeight="1">
      <c r="A97" s="487" t="str">
        <f>"   6) 상여금 : "&amp;FIXED(E82,0)&amp;"(기본급)×0.1개월(년 10%적용)÷12개월"</f>
        <v xml:space="preserve">   6) 상여금 : 0(기본급)×0.1개월(년 10%적용)÷12개월</v>
      </c>
      <c r="J97" s="85"/>
    </row>
    <row r="98" spans="1:12" ht="24.95" hidden="1" customHeight="1">
      <c r="A98" s="487" t="str">
        <f>"   7) 퇴직급여충당금 : {"&amp;FIXED(E82,0)&amp;"(기본급)+"&amp;FIXED(E87,0)&amp;"(제수당)+"&amp;FIXED(E88,0)&amp;"(상여금)}÷12개월"</f>
        <v xml:space="preserve">   7) 퇴직급여충당금 : {0(기본급)+0(제수당)+0(상여금)}÷12개월</v>
      </c>
      <c r="J98" s="85"/>
    </row>
    <row r="99" spans="1:12" ht="20.100000000000001" hidden="1" customHeight="1">
      <c r="A99" s="115" t="str">
        <f>"구 분 : "&amp;월기본급!B14&amp;"                       직종명 : "&amp;월기본급!F14&amp;""</f>
        <v xml:space="preserve">구 분 :                        직종명 : </v>
      </c>
      <c r="B99" s="114"/>
      <c r="C99" s="114"/>
      <c r="D99" s="114"/>
      <c r="E99" s="486"/>
      <c r="F99" s="486"/>
      <c r="G99" s="486"/>
      <c r="J99" s="118" t="s">
        <v>36</v>
      </c>
      <c r="K99" s="105">
        <v>209</v>
      </c>
      <c r="L99" s="115" t="s">
        <v>44</v>
      </c>
    </row>
    <row r="100" spans="1:12" ht="50.1" hidden="1" customHeight="1">
      <c r="A100" s="886" t="s">
        <v>45</v>
      </c>
      <c r="B100" s="887"/>
      <c r="C100" s="887"/>
      <c r="D100" s="888"/>
      <c r="E100" s="936" t="s">
        <v>46</v>
      </c>
      <c r="F100" s="937"/>
      <c r="G100" s="369" t="s">
        <v>181</v>
      </c>
      <c r="H100" s="367"/>
      <c r="I100" s="369" t="s">
        <v>47</v>
      </c>
      <c r="J100" s="367"/>
    </row>
    <row r="101" spans="1:12" ht="36" hidden="1" customHeight="1">
      <c r="A101" s="886" t="s">
        <v>48</v>
      </c>
      <c r="B101" s="887"/>
      <c r="C101" s="887"/>
      <c r="D101" s="888"/>
      <c r="E101" s="575">
        <f>월기본급!J14</f>
        <v>0</v>
      </c>
      <c r="F101" s="579"/>
      <c r="G101" s="580"/>
      <c r="H101" s="570" t="s">
        <v>377</v>
      </c>
      <c r="I101" s="499"/>
      <c r="J101" s="571" t="s">
        <v>49</v>
      </c>
    </row>
    <row r="102" spans="1:12" ht="36" hidden="1" customHeight="1">
      <c r="A102" s="895" t="s">
        <v>258</v>
      </c>
      <c r="B102" s="589"/>
      <c r="C102" s="588" t="s">
        <v>0</v>
      </c>
      <c r="D102" s="591"/>
      <c r="E102" s="694">
        <f>TRUNC((E101/K99*($L$7*4.34)*1.5),0)</f>
        <v>0</v>
      </c>
      <c r="F102" s="579"/>
      <c r="G102" s="580"/>
      <c r="H102" s="572" t="s">
        <v>203</v>
      </c>
      <c r="I102" s="573"/>
      <c r="J102" s="571" t="s">
        <v>10</v>
      </c>
    </row>
    <row r="103" spans="1:12" ht="36" hidden="1" customHeight="1">
      <c r="A103" s="896"/>
      <c r="B103" s="589"/>
      <c r="C103" s="588" t="s">
        <v>209</v>
      </c>
      <c r="D103" s="591"/>
      <c r="E103" s="575">
        <f>TRUNC(E101/K99*K103*1.5,0)</f>
        <v>0</v>
      </c>
      <c r="F103" s="579"/>
      <c r="G103" s="580"/>
      <c r="H103" s="572" t="s">
        <v>203</v>
      </c>
      <c r="I103" s="573"/>
      <c r="J103" s="571" t="s">
        <v>11</v>
      </c>
      <c r="K103" s="581">
        <f>K84</f>
        <v>0</v>
      </c>
    </row>
    <row r="104" spans="1:12" ht="36" hidden="1" customHeight="1">
      <c r="A104" s="896"/>
      <c r="B104" s="589"/>
      <c r="C104" s="588" t="s">
        <v>50</v>
      </c>
      <c r="D104" s="591"/>
      <c r="E104" s="575">
        <f>TRUNC(E101/K99*8*15/12,0)</f>
        <v>0</v>
      </c>
      <c r="F104" s="579"/>
      <c r="G104" s="580"/>
      <c r="H104" s="572" t="s">
        <v>202</v>
      </c>
      <c r="I104" s="573"/>
      <c r="J104" s="571" t="s">
        <v>12</v>
      </c>
    </row>
    <row r="105" spans="1:12" ht="36" hidden="1" customHeight="1">
      <c r="A105" s="896"/>
      <c r="B105" s="589"/>
      <c r="C105" s="588" t="s">
        <v>257</v>
      </c>
      <c r="D105" s="591"/>
      <c r="E105" s="568"/>
      <c r="F105" s="579"/>
      <c r="G105" s="580"/>
      <c r="H105" s="572" t="s">
        <v>378</v>
      </c>
      <c r="I105" s="573"/>
      <c r="J105" s="571" t="s">
        <v>13</v>
      </c>
    </row>
    <row r="106" spans="1:12" ht="36" hidden="1" customHeight="1">
      <c r="A106" s="897"/>
      <c r="B106" s="589"/>
      <c r="C106" s="588" t="s">
        <v>51</v>
      </c>
      <c r="D106" s="591"/>
      <c r="E106" s="575">
        <f>SUM(E102:E105)</f>
        <v>0</v>
      </c>
      <c r="F106" s="579"/>
      <c r="G106" s="580"/>
      <c r="H106" s="572"/>
      <c r="I106" s="573"/>
      <c r="J106" s="571"/>
    </row>
    <row r="107" spans="1:12" ht="36" hidden="1" customHeight="1">
      <c r="A107" s="886" t="s">
        <v>52</v>
      </c>
      <c r="B107" s="887"/>
      <c r="C107" s="887"/>
      <c r="D107" s="888"/>
      <c r="E107" s="568">
        <f>TRUNC(E101*1/12,0)</f>
        <v>0</v>
      </c>
      <c r="F107" s="569"/>
      <c r="G107" s="84"/>
      <c r="H107" s="576" t="s">
        <v>432</v>
      </c>
      <c r="I107" s="577"/>
      <c r="J107" s="571" t="s">
        <v>267</v>
      </c>
    </row>
    <row r="108" spans="1:12" ht="36" hidden="1" customHeight="1">
      <c r="A108" s="886" t="s">
        <v>53</v>
      </c>
      <c r="B108" s="887"/>
      <c r="C108" s="887"/>
      <c r="D108" s="888"/>
      <c r="E108" s="575">
        <f>TRUNC(SUM(E101,E106,E107)/12,0)</f>
        <v>0</v>
      </c>
      <c r="F108" s="579"/>
      <c r="G108" s="580"/>
      <c r="H108" s="572" t="s">
        <v>54</v>
      </c>
      <c r="I108" s="573"/>
      <c r="J108" s="571" t="s">
        <v>268</v>
      </c>
    </row>
    <row r="109" spans="1:12" ht="45" hidden="1" customHeight="1">
      <c r="A109" s="886" t="s">
        <v>55</v>
      </c>
      <c r="B109" s="887"/>
      <c r="C109" s="887"/>
      <c r="D109" s="888"/>
      <c r="E109" s="575">
        <f>SUM(E101,E106,E107,E108)</f>
        <v>0</v>
      </c>
      <c r="F109" s="579"/>
      <c r="G109" s="580"/>
      <c r="H109" s="594"/>
      <c r="I109" s="592"/>
      <c r="J109" s="593"/>
    </row>
    <row r="110" spans="1:12" s="484" customFormat="1" ht="24.95" hidden="1" customHeight="1">
      <c r="A110" s="483" t="str">
        <f>"주 1) 기본급 : "&amp;월기본급!$A$1&amp;월기본급!$A$2&amp;" 참조"</f>
        <v>주 1) 기본급 : &lt; 표 : 5 &gt; M/M당기본급산출표 참조</v>
      </c>
      <c r="B110" s="483"/>
      <c r="C110" s="483"/>
      <c r="D110" s="483"/>
      <c r="E110" s="485"/>
      <c r="F110" s="485"/>
      <c r="G110" s="485"/>
      <c r="H110" s="485"/>
      <c r="I110" s="485"/>
      <c r="J110" s="485"/>
      <c r="L110" s="488"/>
    </row>
    <row r="111" spans="1:12" s="484" customFormat="1" ht="24.95" hidden="1" customHeight="1">
      <c r="A111" s="487" t="str">
        <f>"   2) 연장근로수당 : "&amp;FIXED(E101,0)&amp;"(기본급)÷"&amp;K99&amp;"시간(월근로시간)×("&amp;(연장근로!$D$8)&amp;"시간×"&amp;(연장근로!$E$8)&amp;"주)×1.5(할증)"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111" s="483"/>
      <c r="C111" s="483"/>
      <c r="D111" s="483"/>
      <c r="E111" s="485"/>
      <c r="F111" s="485"/>
      <c r="G111" s="485"/>
      <c r="H111" s="485"/>
      <c r="I111" s="485"/>
      <c r="J111" s="485"/>
      <c r="L111" s="488"/>
    </row>
    <row r="112" spans="1:12" s="484" customFormat="1" ht="24.95" hidden="1" customHeight="1">
      <c r="A112" s="115" t="s">
        <v>270</v>
      </c>
      <c r="B112" s="483"/>
      <c r="C112" s="483"/>
      <c r="D112" s="483"/>
      <c r="E112" s="485"/>
      <c r="F112" s="485"/>
      <c r="G112" s="485"/>
      <c r="H112" s="485"/>
      <c r="I112" s="485"/>
      <c r="J112" s="485"/>
      <c r="L112" s="488"/>
    </row>
    <row r="113" spans="1:12" s="484" customFormat="1" ht="24.95" hidden="1" customHeight="1">
      <c r="A113" s="487" t="str">
        <f>"   3) 휴일근로수당 : "&amp;FIXED(E101,0)&amp;"(기본급)÷"&amp;K99&amp;"(월근로시간)×"&amp;K103&amp;"시간(휴일근로시간)×1.5(할증)"</f>
        <v xml:space="preserve">   3) 휴일근로수당 : 0(기본급)÷209(월근로시간)×0시간(휴일근로시간)×1.5(할증)</v>
      </c>
      <c r="B113" s="483"/>
      <c r="C113" s="483"/>
      <c r="D113" s="483"/>
      <c r="E113" s="485"/>
      <c r="F113" s="485"/>
      <c r="G113" s="485"/>
      <c r="H113" s="485"/>
      <c r="I113" s="485"/>
      <c r="J113" s="485"/>
      <c r="L113" s="488"/>
    </row>
    <row r="114" spans="1:12" s="484" customFormat="1" ht="24.95" hidden="1" customHeight="1">
      <c r="A114" s="487" t="str">
        <f>"   4) 년차수당 : "&amp;FIXED(E101,0)&amp;"(기본급)÷"&amp;K99&amp;"(월근로시간)×8시간(일근로시간)×15일/년÷12개월"</f>
        <v xml:space="preserve">   4) 년차수당 : 0(기본급)÷209(월근로시간)×8시간(일근로시간)×15일/년÷12개월</v>
      </c>
      <c r="B114" s="578"/>
      <c r="C114" s="578"/>
      <c r="D114" s="578"/>
      <c r="E114" s="486"/>
      <c r="F114" s="486"/>
      <c r="G114" s="486"/>
      <c r="H114" s="486"/>
      <c r="I114" s="486"/>
      <c r="J114" s="117"/>
      <c r="L114" s="488"/>
    </row>
    <row r="115" spans="1:12" s="484" customFormat="1" ht="24.95" hidden="1" customHeight="1">
      <c r="A115" s="487" t="s">
        <v>269</v>
      </c>
      <c r="B115" s="578"/>
      <c r="C115" s="578"/>
      <c r="D115" s="578"/>
      <c r="E115" s="486"/>
      <c r="F115" s="486"/>
      <c r="G115" s="486"/>
      <c r="H115" s="486"/>
      <c r="I115" s="486"/>
      <c r="J115" s="117"/>
      <c r="L115" s="488"/>
    </row>
    <row r="116" spans="1:12" ht="24.95" hidden="1" customHeight="1">
      <c r="A116" s="487" t="str">
        <f>"   6) 상여금 : "&amp;FIXED(E101,0)&amp;"(기본급)×1개월(년 100%적용)÷12개월"</f>
        <v xml:space="preserve">   6) 상여금 : 0(기본급)×1개월(년 100%적용)÷12개월</v>
      </c>
      <c r="J116" s="85"/>
    </row>
    <row r="117" spans="1:12" ht="24.95" hidden="1" customHeight="1">
      <c r="A117" s="487" t="str">
        <f>"   7) 퇴직급여충당금 : {"&amp;FIXED(E101,0)&amp;"(기본급)+"&amp;FIXED(E106,0)&amp;"(제수당)+"&amp;FIXED(E107,0)&amp;"(상여금)}÷12개월"</f>
        <v xml:space="preserve">   7) 퇴직급여충당금 : {0(기본급)+0(제수당)+0(상여금)}÷12개월</v>
      </c>
      <c r="J117" s="85"/>
    </row>
    <row r="118" spans="1:12" ht="20.100000000000001" hidden="1" customHeight="1">
      <c r="A118" s="115" t="str">
        <f>"구 분 : "&amp;월기본급!B15&amp;"                       직종명 : "&amp;월기본급!F15&amp;""</f>
        <v xml:space="preserve">구 분 :                        직종명 : </v>
      </c>
      <c r="B118" s="114"/>
      <c r="C118" s="114"/>
      <c r="D118" s="114"/>
      <c r="E118" s="486"/>
      <c r="F118" s="486"/>
      <c r="G118" s="486"/>
      <c r="J118" s="118" t="s">
        <v>36</v>
      </c>
      <c r="K118" s="105">
        <v>209</v>
      </c>
      <c r="L118" s="115" t="s">
        <v>44</v>
      </c>
    </row>
    <row r="119" spans="1:12" ht="50.1" hidden="1" customHeight="1">
      <c r="A119" s="886" t="s">
        <v>45</v>
      </c>
      <c r="B119" s="887"/>
      <c r="C119" s="887"/>
      <c r="D119" s="888"/>
      <c r="E119" s="936" t="s">
        <v>46</v>
      </c>
      <c r="F119" s="937"/>
      <c r="G119" s="369" t="s">
        <v>181</v>
      </c>
      <c r="H119" s="367"/>
      <c r="I119" s="369" t="s">
        <v>47</v>
      </c>
      <c r="J119" s="367"/>
    </row>
    <row r="120" spans="1:12" ht="36" hidden="1" customHeight="1">
      <c r="A120" s="886" t="s">
        <v>48</v>
      </c>
      <c r="B120" s="887"/>
      <c r="C120" s="887"/>
      <c r="D120" s="888"/>
      <c r="E120" s="575">
        <f>월기본급!J15</f>
        <v>0</v>
      </c>
      <c r="F120" s="579"/>
      <c r="G120" s="580"/>
      <c r="H120" s="570" t="s">
        <v>377</v>
      </c>
      <c r="I120" s="499"/>
      <c r="J120" s="571" t="s">
        <v>49</v>
      </c>
    </row>
    <row r="121" spans="1:12" ht="36" hidden="1" customHeight="1">
      <c r="A121" s="895" t="s">
        <v>258</v>
      </c>
      <c r="B121" s="589"/>
      <c r="C121" s="588" t="s">
        <v>0</v>
      </c>
      <c r="D121" s="591"/>
      <c r="E121" s="694">
        <f>TRUNC((E120/K118*($L$7*4.34)*1.5),0)</f>
        <v>0</v>
      </c>
      <c r="F121" s="579"/>
      <c r="G121" s="580"/>
      <c r="H121" s="572" t="s">
        <v>203</v>
      </c>
      <c r="I121" s="573"/>
      <c r="J121" s="571" t="s">
        <v>10</v>
      </c>
    </row>
    <row r="122" spans="1:12" ht="36" hidden="1" customHeight="1">
      <c r="A122" s="896"/>
      <c r="B122" s="589"/>
      <c r="C122" s="588" t="s">
        <v>229</v>
      </c>
      <c r="D122" s="591"/>
      <c r="E122" s="575">
        <f>TRUNC(E120/K118*K122*1.5,0)</f>
        <v>0</v>
      </c>
      <c r="F122" s="579"/>
      <c r="G122" s="580"/>
      <c r="H122" s="572" t="s">
        <v>203</v>
      </c>
      <c r="I122" s="573"/>
      <c r="J122" s="571" t="s">
        <v>11</v>
      </c>
      <c r="K122" s="105">
        <f>K103</f>
        <v>0</v>
      </c>
    </row>
    <row r="123" spans="1:12" ht="36" hidden="1" customHeight="1">
      <c r="A123" s="896"/>
      <c r="B123" s="589"/>
      <c r="C123" s="588" t="s">
        <v>50</v>
      </c>
      <c r="D123" s="591"/>
      <c r="E123" s="575">
        <f>TRUNC(E120/K118*8*15/12,0)</f>
        <v>0</v>
      </c>
      <c r="F123" s="579"/>
      <c r="G123" s="580"/>
      <c r="H123" s="572" t="s">
        <v>202</v>
      </c>
      <c r="I123" s="573"/>
      <c r="J123" s="571" t="s">
        <v>12</v>
      </c>
    </row>
    <row r="124" spans="1:12" ht="36" hidden="1" customHeight="1">
      <c r="A124" s="896"/>
      <c r="B124" s="589"/>
      <c r="C124" s="588" t="s">
        <v>257</v>
      </c>
      <c r="D124" s="591"/>
      <c r="E124" s="575"/>
      <c r="F124" s="579"/>
      <c r="G124" s="580"/>
      <c r="H124" s="572" t="s">
        <v>378</v>
      </c>
      <c r="I124" s="573"/>
      <c r="J124" s="571" t="s">
        <v>13</v>
      </c>
    </row>
    <row r="125" spans="1:12" ht="36" hidden="1" customHeight="1">
      <c r="A125" s="897"/>
      <c r="B125" s="589"/>
      <c r="C125" s="588" t="s">
        <v>51</v>
      </c>
      <c r="D125" s="591"/>
      <c r="E125" s="575">
        <f>SUM(E121:E124)</f>
        <v>0</v>
      </c>
      <c r="F125" s="579"/>
      <c r="G125" s="580"/>
      <c r="H125" s="572"/>
      <c r="I125" s="573"/>
      <c r="J125" s="571"/>
    </row>
    <row r="126" spans="1:12" ht="36" hidden="1" customHeight="1">
      <c r="A126" s="886" t="s">
        <v>52</v>
      </c>
      <c r="B126" s="887"/>
      <c r="C126" s="887"/>
      <c r="D126" s="888"/>
      <c r="E126" s="568">
        <f>TRUNC(E120*1/12,0)</f>
        <v>0</v>
      </c>
      <c r="F126" s="569"/>
      <c r="G126" s="84"/>
      <c r="H126" s="576" t="s">
        <v>432</v>
      </c>
      <c r="I126" s="577"/>
      <c r="J126" s="571" t="s">
        <v>267</v>
      </c>
    </row>
    <row r="127" spans="1:12" ht="36" hidden="1" customHeight="1">
      <c r="A127" s="886" t="s">
        <v>53</v>
      </c>
      <c r="B127" s="887"/>
      <c r="C127" s="887"/>
      <c r="D127" s="888"/>
      <c r="E127" s="575">
        <f>TRUNC(SUM(E120,E125,E126)/12,0)</f>
        <v>0</v>
      </c>
      <c r="F127" s="579"/>
      <c r="G127" s="580"/>
      <c r="H127" s="572" t="s">
        <v>54</v>
      </c>
      <c r="I127" s="573"/>
      <c r="J127" s="571" t="s">
        <v>268</v>
      </c>
    </row>
    <row r="128" spans="1:12" ht="45" hidden="1" customHeight="1">
      <c r="A128" s="886" t="s">
        <v>55</v>
      </c>
      <c r="B128" s="887"/>
      <c r="C128" s="887"/>
      <c r="D128" s="888"/>
      <c r="E128" s="575">
        <f>SUM(E120,E125,E126,E127)</f>
        <v>0</v>
      </c>
      <c r="F128" s="579"/>
      <c r="G128" s="580"/>
      <c r="H128" s="594"/>
      <c r="I128" s="592"/>
      <c r="J128" s="593"/>
    </row>
    <row r="129" spans="1:12" s="484" customFormat="1" ht="24.95" hidden="1" customHeight="1">
      <c r="A129" s="483" t="str">
        <f>"주 1) 기본급 : "&amp;월기본급!$A$1&amp;월기본급!$A$2&amp;" 참조"</f>
        <v>주 1) 기본급 : &lt; 표 : 5 &gt; M/M당기본급산출표 참조</v>
      </c>
      <c r="B129" s="483"/>
      <c r="C129" s="483"/>
      <c r="D129" s="483"/>
      <c r="E129" s="485"/>
      <c r="F129" s="485"/>
      <c r="G129" s="485"/>
      <c r="H129" s="485"/>
      <c r="I129" s="485"/>
      <c r="J129" s="485"/>
      <c r="L129" s="488"/>
    </row>
    <row r="130" spans="1:12" s="484" customFormat="1" ht="24.95" hidden="1" customHeight="1">
      <c r="A130" s="487" t="str">
        <f>"   2) 연장근로수당 : "&amp;FIXED(E120,0)&amp;"(기본급)÷"&amp;K118&amp;"시간(월근로시간)×("&amp;(연장근로!$D$8)&amp;"시간×"&amp;(연장근로!$E$8)&amp;"주)×1.5(할증)"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130" s="483"/>
      <c r="C130" s="483"/>
      <c r="D130" s="483"/>
      <c r="E130" s="485"/>
      <c r="F130" s="485"/>
      <c r="G130" s="485"/>
      <c r="H130" s="485"/>
      <c r="I130" s="485"/>
      <c r="J130" s="485"/>
      <c r="L130" s="488"/>
    </row>
    <row r="131" spans="1:12" s="484" customFormat="1" ht="24.95" hidden="1" customHeight="1">
      <c r="A131" s="115" t="s">
        <v>270</v>
      </c>
      <c r="B131" s="483"/>
      <c r="C131" s="483"/>
      <c r="D131" s="483"/>
      <c r="E131" s="485"/>
      <c r="F131" s="485"/>
      <c r="G131" s="485"/>
      <c r="H131" s="485"/>
      <c r="I131" s="485"/>
      <c r="J131" s="485"/>
      <c r="L131" s="488"/>
    </row>
    <row r="132" spans="1:12" s="484" customFormat="1" ht="24.95" hidden="1" customHeight="1">
      <c r="A132" s="487" t="str">
        <f>"   3) 휴일근로수당 : "&amp;FIXED(E120,0)&amp;"(기본급)÷"&amp;K118&amp;"(월근로시간)×"&amp;K122&amp;"시간(휴일근로시간)×1.5(할증)"</f>
        <v xml:space="preserve">   3) 휴일근로수당 : 0(기본급)÷209(월근로시간)×0시간(휴일근로시간)×1.5(할증)</v>
      </c>
      <c r="B132" s="483"/>
      <c r="C132" s="483"/>
      <c r="D132" s="483"/>
      <c r="E132" s="485"/>
      <c r="F132" s="485"/>
      <c r="G132" s="485"/>
      <c r="H132" s="485"/>
      <c r="I132" s="485"/>
      <c r="J132" s="485"/>
      <c r="L132" s="488"/>
    </row>
    <row r="133" spans="1:12" s="484" customFormat="1" ht="24.95" hidden="1" customHeight="1">
      <c r="A133" s="487" t="str">
        <f>"   4) 년차수당 : "&amp;FIXED(E120,0)&amp;"(기본급)÷"&amp;K118&amp;"(월근로시간)×8시간(일근로시간)×15일/년÷12개월"</f>
        <v xml:space="preserve">   4) 년차수당 : 0(기본급)÷209(월근로시간)×8시간(일근로시간)×15일/년÷12개월</v>
      </c>
      <c r="B133" s="578"/>
      <c r="C133" s="578"/>
      <c r="D133" s="578"/>
      <c r="E133" s="486"/>
      <c r="F133" s="486"/>
      <c r="G133" s="486"/>
      <c r="H133" s="486"/>
      <c r="I133" s="486"/>
      <c r="J133" s="117"/>
      <c r="L133" s="488"/>
    </row>
    <row r="134" spans="1:12" s="484" customFormat="1" ht="24.95" hidden="1" customHeight="1">
      <c r="A134" s="487" t="s">
        <v>269</v>
      </c>
      <c r="B134" s="578"/>
      <c r="C134" s="578"/>
      <c r="D134" s="578"/>
      <c r="E134" s="486"/>
      <c r="F134" s="486"/>
      <c r="G134" s="486"/>
      <c r="H134" s="486"/>
      <c r="I134" s="486"/>
      <c r="J134" s="117"/>
      <c r="L134" s="488"/>
    </row>
    <row r="135" spans="1:12" ht="24.95" hidden="1" customHeight="1">
      <c r="A135" s="487" t="str">
        <f>"   6) 상여금 : "&amp;FIXED(E120,0)&amp;"(기본급)×1개월(년 100%적용)÷12개월"</f>
        <v xml:space="preserve">   6) 상여금 : 0(기본급)×1개월(년 100%적용)÷12개월</v>
      </c>
      <c r="J135" s="85"/>
    </row>
    <row r="136" spans="1:12" ht="24.95" hidden="1" customHeight="1">
      <c r="A136" s="487" t="str">
        <f>"   7) 퇴직급여충당금 : {"&amp;FIXED(E120,0)&amp;"(기본급)+"&amp;FIXED(E125,0)&amp;"(제수당)+"&amp;FIXED(E126,0)&amp;"(상여금)}÷12개월"</f>
        <v xml:space="preserve">   7) 퇴직급여충당금 : {0(기본급)+0(제수당)+0(상여금)}÷12개월</v>
      </c>
      <c r="J136" s="85"/>
    </row>
    <row r="137" spans="1:12" s="616" customFormat="1" ht="20.100000000000001" hidden="1" customHeight="1">
      <c r="A137" s="656" t="str">
        <f>"구 분 : "&amp;월기본급!B16&amp;"                       직종명 : "&amp;월기본급!F16&amp;""</f>
        <v xml:space="preserve">구 분 :                        직종명 : </v>
      </c>
      <c r="B137" s="612"/>
      <c r="C137" s="612"/>
      <c r="D137" s="612"/>
      <c r="E137" s="606"/>
      <c r="F137" s="606"/>
      <c r="G137" s="606"/>
      <c r="H137" s="660"/>
      <c r="I137" s="660"/>
      <c r="J137" s="661" t="s">
        <v>36</v>
      </c>
      <c r="K137" s="616">
        <v>209</v>
      </c>
      <c r="L137" s="656" t="s">
        <v>44</v>
      </c>
    </row>
    <row r="138" spans="1:12" s="616" customFormat="1" ht="50.1" hidden="1" customHeight="1">
      <c r="A138" s="914" t="s">
        <v>45</v>
      </c>
      <c r="B138" s="915"/>
      <c r="C138" s="915"/>
      <c r="D138" s="916"/>
      <c r="E138" s="931" t="s">
        <v>46</v>
      </c>
      <c r="F138" s="932"/>
      <c r="G138" s="649" t="s">
        <v>181</v>
      </c>
      <c r="H138" s="650"/>
      <c r="I138" s="649" t="s">
        <v>47</v>
      </c>
      <c r="J138" s="650"/>
      <c r="L138" s="656"/>
    </row>
    <row r="139" spans="1:12" s="616" customFormat="1" ht="36" hidden="1" customHeight="1">
      <c r="A139" s="914" t="s">
        <v>48</v>
      </c>
      <c r="B139" s="915"/>
      <c r="C139" s="915"/>
      <c r="D139" s="916"/>
      <c r="E139" s="667">
        <f>월기본급!J16</f>
        <v>0</v>
      </c>
      <c r="F139" s="668"/>
      <c r="G139" s="669"/>
      <c r="H139" s="670" t="s">
        <v>377</v>
      </c>
      <c r="I139" s="671"/>
      <c r="J139" s="692" t="s">
        <v>49</v>
      </c>
      <c r="L139" s="656"/>
    </row>
    <row r="140" spans="1:12" s="616" customFormat="1" ht="36" hidden="1" customHeight="1">
      <c r="A140" s="908" t="s">
        <v>258</v>
      </c>
      <c r="B140" s="652"/>
      <c r="C140" s="693" t="s">
        <v>0</v>
      </c>
      <c r="D140" s="691"/>
      <c r="E140" s="694">
        <f>TRUNC((E139/K137*($L$7*4.34)*1.5),0)</f>
        <v>0</v>
      </c>
      <c r="F140" s="668"/>
      <c r="G140" s="669"/>
      <c r="H140" s="673" t="s">
        <v>203</v>
      </c>
      <c r="I140" s="674"/>
      <c r="J140" s="692" t="s">
        <v>10</v>
      </c>
      <c r="L140" s="656"/>
    </row>
    <row r="141" spans="1:12" s="616" customFormat="1" ht="36" hidden="1" customHeight="1">
      <c r="A141" s="909"/>
      <c r="B141" s="652"/>
      <c r="C141" s="693" t="s">
        <v>214</v>
      </c>
      <c r="D141" s="691"/>
      <c r="E141" s="667">
        <f>TRUNC(E139/K137*K141*1.5,0)</f>
        <v>0</v>
      </c>
      <c r="F141" s="668"/>
      <c r="G141" s="669"/>
      <c r="H141" s="673" t="s">
        <v>203</v>
      </c>
      <c r="I141" s="674"/>
      <c r="J141" s="692" t="s">
        <v>11</v>
      </c>
      <c r="K141" s="616">
        <f>K160</f>
        <v>0</v>
      </c>
      <c r="L141" s="656"/>
    </row>
    <row r="142" spans="1:12" s="616" customFormat="1" ht="36" hidden="1" customHeight="1">
      <c r="A142" s="909"/>
      <c r="B142" s="652"/>
      <c r="C142" s="693" t="s">
        <v>50</v>
      </c>
      <c r="D142" s="691"/>
      <c r="E142" s="667">
        <f>TRUNC(E139/K137*8*15/12,0)</f>
        <v>0</v>
      </c>
      <c r="F142" s="668"/>
      <c r="G142" s="669"/>
      <c r="H142" s="673" t="s">
        <v>202</v>
      </c>
      <c r="I142" s="674"/>
      <c r="J142" s="692" t="s">
        <v>12</v>
      </c>
      <c r="L142" s="656"/>
    </row>
    <row r="143" spans="1:12" s="616" customFormat="1" ht="36" hidden="1" customHeight="1">
      <c r="A143" s="909"/>
      <c r="B143" s="652"/>
      <c r="C143" s="693" t="s">
        <v>257</v>
      </c>
      <c r="D143" s="691"/>
      <c r="E143" s="667"/>
      <c r="F143" s="668"/>
      <c r="G143" s="669"/>
      <c r="H143" s="673" t="s">
        <v>378</v>
      </c>
      <c r="I143" s="674"/>
      <c r="J143" s="692" t="s">
        <v>13</v>
      </c>
      <c r="L143" s="656"/>
    </row>
    <row r="144" spans="1:12" s="616" customFormat="1" ht="36" hidden="1" customHeight="1">
      <c r="A144" s="910"/>
      <c r="B144" s="652"/>
      <c r="C144" s="693" t="s">
        <v>51</v>
      </c>
      <c r="D144" s="691"/>
      <c r="E144" s="667">
        <f>SUM(E140:E143)</f>
        <v>0</v>
      </c>
      <c r="F144" s="668"/>
      <c r="G144" s="669"/>
      <c r="H144" s="673"/>
      <c r="I144" s="674"/>
      <c r="J144" s="692"/>
      <c r="L144" s="656"/>
    </row>
    <row r="145" spans="1:12" s="616" customFormat="1" ht="36" hidden="1" customHeight="1">
      <c r="A145" s="914" t="s">
        <v>52</v>
      </c>
      <c r="B145" s="915"/>
      <c r="C145" s="915"/>
      <c r="D145" s="916"/>
      <c r="E145" s="675">
        <f>TRUNC(E139*0.1/12,0)</f>
        <v>0</v>
      </c>
      <c r="F145" s="676"/>
      <c r="G145" s="677"/>
      <c r="H145" s="678" t="s">
        <v>432</v>
      </c>
      <c r="I145" s="679"/>
      <c r="J145" s="692" t="s">
        <v>267</v>
      </c>
      <c r="L145" s="656"/>
    </row>
    <row r="146" spans="1:12" s="616" customFormat="1" ht="36" hidden="1" customHeight="1">
      <c r="A146" s="914" t="s">
        <v>53</v>
      </c>
      <c r="B146" s="915"/>
      <c r="C146" s="915"/>
      <c r="D146" s="916"/>
      <c r="E146" s="667">
        <f>TRUNC(SUM(E139,E144,E145)/12,0)</f>
        <v>0</v>
      </c>
      <c r="F146" s="668"/>
      <c r="G146" s="669"/>
      <c r="H146" s="673" t="s">
        <v>54</v>
      </c>
      <c r="I146" s="674"/>
      <c r="J146" s="692" t="s">
        <v>268</v>
      </c>
      <c r="L146" s="656"/>
    </row>
    <row r="147" spans="1:12" s="616" customFormat="1" ht="45" hidden="1" customHeight="1">
      <c r="A147" s="914" t="s">
        <v>55</v>
      </c>
      <c r="B147" s="915"/>
      <c r="C147" s="915"/>
      <c r="D147" s="916"/>
      <c r="E147" s="667">
        <f>SUM(E139,E144,E145,E146)</f>
        <v>0</v>
      </c>
      <c r="F147" s="668"/>
      <c r="G147" s="669"/>
      <c r="H147" s="680"/>
      <c r="I147" s="665"/>
      <c r="J147" s="666"/>
      <c r="L147" s="656"/>
    </row>
    <row r="148" spans="1:12" s="683" customFormat="1" ht="24.95" hidden="1" customHeight="1">
      <c r="A148" s="681" t="str">
        <f>"주 1) 기본급 : "&amp;월기본급!$A$1&amp;월기본급!$A$2&amp;" 참조"</f>
        <v>주 1) 기본급 : &lt; 표 : 5 &gt; M/M당기본급산출표 참조</v>
      </c>
      <c r="B148" s="681"/>
      <c r="C148" s="681"/>
      <c r="D148" s="681"/>
      <c r="E148" s="682"/>
      <c r="F148" s="682"/>
      <c r="G148" s="682"/>
      <c r="H148" s="682"/>
      <c r="I148" s="682"/>
      <c r="J148" s="682"/>
      <c r="L148" s="684"/>
    </row>
    <row r="149" spans="1:12" s="683" customFormat="1" ht="24.95" hidden="1" customHeight="1">
      <c r="A149" s="685" t="str">
        <f>"   2) 연장근로수당 : "&amp;FIXED(E139,0)&amp;"(기본급)÷"&amp;K137&amp;"시간(월근로시간)×("&amp;(연장근로!$D$8)&amp;"시간×"&amp;(연장근로!$E$8)&amp;"주)×1.5(할증)"</f>
        <v xml:space="preserve">   2) 연장근로수당 : 0(기본급)÷209시간(월근로시간)×(5시간×4.34주)×1.5(할증)</v>
      </c>
      <c r="B149" s="681"/>
      <c r="C149" s="681"/>
      <c r="D149" s="681"/>
      <c r="E149" s="682"/>
      <c r="F149" s="682"/>
      <c r="G149" s="682"/>
      <c r="H149" s="682"/>
      <c r="I149" s="682"/>
      <c r="J149" s="682"/>
      <c r="L149" s="684"/>
    </row>
    <row r="150" spans="1:12" s="683" customFormat="1" ht="24.95" hidden="1" customHeight="1">
      <c r="A150" s="656" t="s">
        <v>270</v>
      </c>
      <c r="B150" s="681"/>
      <c r="C150" s="681"/>
      <c r="D150" s="681"/>
      <c r="E150" s="682"/>
      <c r="F150" s="682"/>
      <c r="G150" s="682"/>
      <c r="H150" s="682"/>
      <c r="I150" s="682"/>
      <c r="J150" s="682"/>
      <c r="L150" s="684"/>
    </row>
    <row r="151" spans="1:12" s="683" customFormat="1" ht="24.95" hidden="1" customHeight="1">
      <c r="A151" s="685" t="str">
        <f>"   3) 휴일근로수당 : "&amp;FIXED(E139,0)&amp;"(기본급)÷"&amp;K137&amp;"(월근로시간)×"&amp;K141&amp;"시간(휴일근로시간)×1.5(할증)"</f>
        <v xml:space="preserve">   3) 휴일근로수당 : 0(기본급)÷209(월근로시간)×0시간(휴일근로시간)×1.5(할증)</v>
      </c>
      <c r="B151" s="681"/>
      <c r="C151" s="681"/>
      <c r="D151" s="681"/>
      <c r="E151" s="682"/>
      <c r="F151" s="682"/>
      <c r="G151" s="682"/>
      <c r="H151" s="682"/>
      <c r="I151" s="682"/>
      <c r="J151" s="682"/>
      <c r="L151" s="684"/>
    </row>
    <row r="152" spans="1:12" s="683" customFormat="1" ht="24.95" hidden="1" customHeight="1">
      <c r="A152" s="685" t="str">
        <f>"   4) 년차수당 : "&amp;FIXED(E139,0)&amp;"(기본급)÷"&amp;K137&amp;"(월근로시간)×8시간(일근로시간)×15일/년÷12개월"</f>
        <v xml:space="preserve">   4) 년차수당 : 0(기본급)÷209(월근로시간)×8시간(일근로시간)×15일/년÷12개월</v>
      </c>
      <c r="B152" s="686"/>
      <c r="C152" s="686"/>
      <c r="D152" s="686"/>
      <c r="E152" s="606"/>
      <c r="F152" s="606"/>
      <c r="G152" s="606"/>
      <c r="H152" s="606"/>
      <c r="I152" s="606"/>
      <c r="J152" s="687"/>
      <c r="L152" s="684"/>
    </row>
    <row r="153" spans="1:12" s="683" customFormat="1" ht="24.95" hidden="1" customHeight="1">
      <c r="A153" s="685" t="s">
        <v>269</v>
      </c>
      <c r="B153" s="686"/>
      <c r="C153" s="686"/>
      <c r="D153" s="686"/>
      <c r="E153" s="606"/>
      <c r="F153" s="606"/>
      <c r="G153" s="606"/>
      <c r="H153" s="606"/>
      <c r="I153" s="606"/>
      <c r="J153" s="687"/>
      <c r="L153" s="684"/>
    </row>
    <row r="154" spans="1:12" s="616" customFormat="1" ht="24.95" hidden="1" customHeight="1">
      <c r="A154" s="685" t="str">
        <f>"   6) 상여금 : "&amp;FIXED(E139,0)&amp;"(기본급)×0.1개월(년 10%적용)÷12개월"</f>
        <v xml:space="preserve">   6) 상여금 : 0(기본급)×0.1개월(년 10%적용)÷12개월</v>
      </c>
      <c r="B154" s="695"/>
      <c r="C154" s="695"/>
      <c r="D154" s="695"/>
      <c r="E154" s="660"/>
      <c r="F154" s="660"/>
      <c r="G154" s="660"/>
      <c r="H154" s="660"/>
      <c r="I154" s="660"/>
      <c r="J154" s="660"/>
      <c r="L154" s="656"/>
    </row>
    <row r="155" spans="1:12" s="616" customFormat="1" ht="24.95" hidden="1" customHeight="1">
      <c r="A155" s="685" t="str">
        <f>"   7) 퇴직급여충당금 : {"&amp;FIXED(E139,0)&amp;"(기본급)+"&amp;FIXED(E144,0)&amp;"(제수당)+"&amp;FIXED(E145,0)&amp;"(상여금)}÷12개월"</f>
        <v xml:space="preserve">   7) 퇴직급여충당금 : {0(기본급)+0(제수당)+0(상여금)}÷12개월</v>
      </c>
      <c r="B155" s="695"/>
      <c r="C155" s="695"/>
      <c r="D155" s="695"/>
      <c r="E155" s="660"/>
      <c r="F155" s="660"/>
      <c r="G155" s="660"/>
      <c r="H155" s="660"/>
      <c r="I155" s="660"/>
      <c r="J155" s="660"/>
      <c r="L155" s="656"/>
    </row>
    <row r="156" spans="1:12" ht="20.100000000000001" customHeight="1">
      <c r="A156" s="115" t="str">
        <f>"구 분 : "&amp;월기본급!B17&amp;"                       직종명 : "&amp;월기본급!F17&amp;""</f>
        <v>구 분 : 다산홀운영                       직종명 : 전기기능사</v>
      </c>
      <c r="B156" s="114"/>
      <c r="C156" s="114"/>
      <c r="D156" s="114"/>
      <c r="E156" s="486"/>
      <c r="F156" s="486"/>
      <c r="G156" s="486"/>
      <c r="J156" s="118" t="s">
        <v>36</v>
      </c>
      <c r="K156" s="105">
        <v>209</v>
      </c>
      <c r="L156" s="115" t="s">
        <v>44</v>
      </c>
    </row>
    <row r="157" spans="1:12" ht="50.1" customHeight="1">
      <c r="A157" s="886" t="s">
        <v>45</v>
      </c>
      <c r="B157" s="887"/>
      <c r="C157" s="887"/>
      <c r="D157" s="888"/>
      <c r="E157" s="936" t="s">
        <v>46</v>
      </c>
      <c r="F157" s="937"/>
      <c r="G157" s="369" t="s">
        <v>181</v>
      </c>
      <c r="H157" s="367"/>
      <c r="I157" s="369" t="s">
        <v>47</v>
      </c>
      <c r="J157" s="367"/>
    </row>
    <row r="158" spans="1:12" ht="36" customHeight="1">
      <c r="A158" s="886" t="s">
        <v>48</v>
      </c>
      <c r="B158" s="887"/>
      <c r="C158" s="887"/>
      <c r="D158" s="888"/>
      <c r="E158" s="575">
        <f>월기본급!J17</f>
        <v>2231736</v>
      </c>
      <c r="F158" s="579"/>
      <c r="G158" s="580"/>
      <c r="H158" s="570" t="s">
        <v>377</v>
      </c>
      <c r="I158" s="499"/>
      <c r="J158" s="571" t="s">
        <v>49</v>
      </c>
    </row>
    <row r="159" spans="1:12" ht="36" customHeight="1">
      <c r="A159" s="895" t="s">
        <v>258</v>
      </c>
      <c r="B159" s="589"/>
      <c r="C159" s="693" t="s">
        <v>0</v>
      </c>
      <c r="D159" s="691"/>
      <c r="E159" s="694">
        <f>TRUNC((E158/K156*($L$7*4.34)*1.5),0)</f>
        <v>347574</v>
      </c>
      <c r="F159" s="668"/>
      <c r="G159" s="580"/>
      <c r="H159" s="572" t="s">
        <v>203</v>
      </c>
      <c r="I159" s="573"/>
      <c r="J159" s="571" t="s">
        <v>10</v>
      </c>
    </row>
    <row r="160" spans="1:12" ht="36" customHeight="1">
      <c r="A160" s="896"/>
      <c r="B160" s="589"/>
      <c r="C160" s="588" t="s">
        <v>214</v>
      </c>
      <c r="D160" s="591"/>
      <c r="E160" s="575">
        <f>TRUNC(E158/K156*K160*1.5,0)</f>
        <v>0</v>
      </c>
      <c r="F160" s="579"/>
      <c r="G160" s="580"/>
      <c r="H160" s="572" t="s">
        <v>203</v>
      </c>
      <c r="I160" s="573"/>
      <c r="J160" s="571" t="s">
        <v>11</v>
      </c>
      <c r="K160" s="105">
        <f>K122</f>
        <v>0</v>
      </c>
    </row>
    <row r="161" spans="1:12" ht="36" customHeight="1">
      <c r="A161" s="896"/>
      <c r="B161" s="589"/>
      <c r="C161" s="588" t="s">
        <v>50</v>
      </c>
      <c r="D161" s="591"/>
      <c r="E161" s="575">
        <f>TRUNC(E158/K156*8*15/12,0)</f>
        <v>106781</v>
      </c>
      <c r="F161" s="579"/>
      <c r="G161" s="580"/>
      <c r="H161" s="572" t="s">
        <v>202</v>
      </c>
      <c r="I161" s="573"/>
      <c r="J161" s="571" t="s">
        <v>12</v>
      </c>
    </row>
    <row r="162" spans="1:12" ht="36" customHeight="1">
      <c r="A162" s="896"/>
      <c r="B162" s="589"/>
      <c r="C162" s="588" t="s">
        <v>257</v>
      </c>
      <c r="D162" s="591"/>
      <c r="E162" s="575"/>
      <c r="F162" s="579"/>
      <c r="G162" s="580"/>
      <c r="H162" s="572" t="s">
        <v>378</v>
      </c>
      <c r="I162" s="573"/>
      <c r="J162" s="571" t="s">
        <v>13</v>
      </c>
    </row>
    <row r="163" spans="1:12" ht="36" customHeight="1">
      <c r="A163" s="897"/>
      <c r="B163" s="589"/>
      <c r="C163" s="588" t="s">
        <v>51</v>
      </c>
      <c r="D163" s="591"/>
      <c r="E163" s="575">
        <f>SUM(E159:E162)</f>
        <v>454355</v>
      </c>
      <c r="F163" s="579"/>
      <c r="G163" s="580"/>
      <c r="H163" s="572"/>
      <c r="I163" s="573"/>
      <c r="J163" s="571"/>
    </row>
    <row r="164" spans="1:12" ht="36" customHeight="1">
      <c r="A164" s="886" t="s">
        <v>52</v>
      </c>
      <c r="B164" s="887"/>
      <c r="C164" s="887"/>
      <c r="D164" s="888"/>
      <c r="E164" s="568">
        <f>TRUNC(E158*1/12,0)</f>
        <v>185978</v>
      </c>
      <c r="F164" s="569"/>
      <c r="G164" s="84"/>
      <c r="H164" s="576" t="s">
        <v>432</v>
      </c>
      <c r="I164" s="577"/>
      <c r="J164" s="571" t="s">
        <v>267</v>
      </c>
    </row>
    <row r="165" spans="1:12" ht="36" customHeight="1">
      <c r="A165" s="886" t="s">
        <v>53</v>
      </c>
      <c r="B165" s="887"/>
      <c r="C165" s="887"/>
      <c r="D165" s="888"/>
      <c r="E165" s="575">
        <f>TRUNC(SUM(E158,E163,E164)/12,0)</f>
        <v>239339</v>
      </c>
      <c r="F165" s="579"/>
      <c r="G165" s="580"/>
      <c r="H165" s="572" t="s">
        <v>54</v>
      </c>
      <c r="I165" s="573"/>
      <c r="J165" s="571" t="s">
        <v>268</v>
      </c>
    </row>
    <row r="166" spans="1:12" ht="45" customHeight="1">
      <c r="A166" s="886" t="s">
        <v>55</v>
      </c>
      <c r="B166" s="887"/>
      <c r="C166" s="887"/>
      <c r="D166" s="888"/>
      <c r="E166" s="575">
        <f>SUM(E158,E163,E164,E165)</f>
        <v>3111408</v>
      </c>
      <c r="F166" s="579"/>
      <c r="G166" s="580"/>
      <c r="H166" s="594"/>
      <c r="I166" s="592"/>
      <c r="J166" s="593"/>
    </row>
    <row r="167" spans="1:12" s="484" customFormat="1" ht="24.95" customHeight="1">
      <c r="A167" s="483" t="str">
        <f>"주 1) 기본급 : "&amp;월기본급!$A$1&amp;월기본급!$A$2&amp;" 참조"</f>
        <v>주 1) 기본급 : &lt; 표 : 5 &gt; M/M당기본급산출표 참조</v>
      </c>
      <c r="B167" s="483"/>
      <c r="C167" s="483"/>
      <c r="D167" s="483"/>
      <c r="E167" s="485"/>
      <c r="F167" s="485"/>
      <c r="G167" s="485"/>
      <c r="H167" s="485"/>
      <c r="I167" s="485"/>
      <c r="J167" s="485"/>
      <c r="L167" s="488"/>
    </row>
    <row r="168" spans="1:12" s="484" customFormat="1" ht="24.95" customHeight="1">
      <c r="A168" s="487" t="str">
        <f>"   2) 연장근로수당 : "&amp;FIXED(E158,0)&amp;"(기본급)÷"&amp;K156&amp;"시간(월근로시간)×("&amp;(연장근로!$D$8)&amp;"시간×"&amp;(연장근로!$E$8)&amp;"주)×1.5(할증)"</f>
        <v xml:space="preserve">   2) 연장근로수당 : 2,231,736(기본급)÷209시간(월근로시간)×(5시간×4.34주)×1.5(할증)</v>
      </c>
      <c r="B168" s="483"/>
      <c r="C168" s="483"/>
      <c r="D168" s="483"/>
      <c r="E168" s="485"/>
      <c r="F168" s="485"/>
      <c r="G168" s="485"/>
      <c r="H168" s="485"/>
      <c r="I168" s="485"/>
      <c r="J168" s="485"/>
      <c r="L168" s="488"/>
    </row>
    <row r="169" spans="1:12" s="484" customFormat="1" ht="24.95" customHeight="1">
      <c r="A169" s="115" t="s">
        <v>270</v>
      </c>
      <c r="B169" s="483"/>
      <c r="C169" s="483"/>
      <c r="D169" s="483"/>
      <c r="E169" s="485"/>
      <c r="F169" s="485"/>
      <c r="G169" s="485"/>
      <c r="H169" s="485"/>
      <c r="I169" s="485"/>
      <c r="J169" s="485"/>
      <c r="L169" s="488"/>
    </row>
    <row r="170" spans="1:12" s="484" customFormat="1" ht="24.95" customHeight="1">
      <c r="A170" s="487" t="str">
        <f>"   3) 휴일근로수당 : "&amp;FIXED(E158,0)&amp;"(기본급)÷"&amp;K156&amp;"(월근로시간)×"&amp;K160&amp;"시간(휴일근로시간)×1.5(할증)"</f>
        <v xml:space="preserve">   3) 휴일근로수당 : 2,231,736(기본급)÷209(월근로시간)×0시간(휴일근로시간)×1.5(할증)</v>
      </c>
      <c r="B170" s="483"/>
      <c r="C170" s="483"/>
      <c r="D170" s="483"/>
      <c r="E170" s="485"/>
      <c r="F170" s="485"/>
      <c r="G170" s="485"/>
      <c r="H170" s="485"/>
      <c r="I170" s="485"/>
      <c r="J170" s="485"/>
      <c r="L170" s="488"/>
    </row>
    <row r="171" spans="1:12" s="484" customFormat="1" ht="24.95" customHeight="1">
      <c r="A171" s="487" t="str">
        <f>"   4) 년차수당 : "&amp;FIXED(E158,0)&amp;"(기본급)÷"&amp;K156&amp;"(월근로시간)×8시간(일근로시간)×15일/년÷12개월"</f>
        <v xml:space="preserve">   4) 년차수당 : 2,231,736(기본급)÷209(월근로시간)×8시간(일근로시간)×15일/년÷12개월</v>
      </c>
      <c r="B171" s="578"/>
      <c r="C171" s="578"/>
      <c r="D171" s="578"/>
      <c r="E171" s="486"/>
      <c r="F171" s="486"/>
      <c r="G171" s="486"/>
      <c r="H171" s="486"/>
      <c r="I171" s="486"/>
      <c r="J171" s="117"/>
      <c r="L171" s="488"/>
    </row>
    <row r="172" spans="1:12" s="484" customFormat="1" ht="24.95" customHeight="1">
      <c r="A172" s="487" t="s">
        <v>269</v>
      </c>
      <c r="B172" s="578"/>
      <c r="C172" s="578"/>
      <c r="D172" s="578"/>
      <c r="E172" s="486"/>
      <c r="F172" s="486"/>
      <c r="G172" s="486"/>
      <c r="H172" s="486"/>
      <c r="I172" s="486"/>
      <c r="J172" s="117"/>
      <c r="L172" s="488"/>
    </row>
    <row r="173" spans="1:12" ht="24.95" customHeight="1">
      <c r="A173" s="487" t="str">
        <f>"   6) 상여금 : "&amp;FIXED(E158,0)&amp;"(기본급)×1개월(년 100%적용)÷12개월"</f>
        <v xml:space="preserve">   6) 상여금 : 2,231,736(기본급)×1개월(년 100%적용)÷12개월</v>
      </c>
      <c r="J173" s="85"/>
    </row>
    <row r="174" spans="1:12" ht="24.95" customHeight="1">
      <c r="A174" s="487" t="str">
        <f>"   7) 퇴직급여충당금 : {"&amp;FIXED(E158,0)&amp;"(기본급)+"&amp;FIXED(E163,0)&amp;"(제수당)+"&amp;FIXED(E164,0)&amp;"(상여금)}÷12개월"</f>
        <v xml:space="preserve">   7) 퇴직급여충당금 : {2,231,736(기본급)+454,355(제수당)+185,978(상여금)}÷12개월</v>
      </c>
      <c r="J174" s="85"/>
    </row>
    <row r="175" spans="1:12" ht="20.100000000000001" customHeight="1">
      <c r="A175" s="115" t="str">
        <f>"구 분 : "&amp;월기본급!B18&amp;"                       직종명 : "&amp;월기본급!F18&amp;""</f>
        <v>구 분 : 운 전 원                       직종명 : 단순노무종사원</v>
      </c>
      <c r="B175" s="114"/>
      <c r="C175" s="114"/>
      <c r="D175" s="114"/>
      <c r="E175" s="486"/>
      <c r="F175" s="486"/>
      <c r="G175" s="486"/>
      <c r="J175" s="118" t="s">
        <v>36</v>
      </c>
      <c r="K175" s="105">
        <v>209</v>
      </c>
      <c r="L175" s="115" t="s">
        <v>44</v>
      </c>
    </row>
    <row r="176" spans="1:12" ht="50.1" customHeight="1">
      <c r="A176" s="886" t="s">
        <v>45</v>
      </c>
      <c r="B176" s="887"/>
      <c r="C176" s="887"/>
      <c r="D176" s="888"/>
      <c r="E176" s="936" t="s">
        <v>46</v>
      </c>
      <c r="F176" s="937"/>
      <c r="G176" s="369" t="s">
        <v>181</v>
      </c>
      <c r="H176" s="367"/>
      <c r="I176" s="369" t="s">
        <v>47</v>
      </c>
      <c r="J176" s="367"/>
    </row>
    <row r="177" spans="1:12" ht="36" customHeight="1">
      <c r="A177" s="886" t="s">
        <v>48</v>
      </c>
      <c r="B177" s="887"/>
      <c r="C177" s="887"/>
      <c r="D177" s="888"/>
      <c r="E177" s="575">
        <f>월기본급!J18</f>
        <v>1707524</v>
      </c>
      <c r="F177" s="579"/>
      <c r="G177" s="580"/>
      <c r="H177" s="570" t="s">
        <v>377</v>
      </c>
      <c r="I177" s="499"/>
      <c r="J177" s="571" t="s">
        <v>49</v>
      </c>
    </row>
    <row r="178" spans="1:12" ht="36" customHeight="1">
      <c r="A178" s="895" t="s">
        <v>258</v>
      </c>
      <c r="B178" s="589"/>
      <c r="C178" s="693" t="s">
        <v>0</v>
      </c>
      <c r="D178" s="691"/>
      <c r="E178" s="694">
        <f>TRUNC((E177/K175*($L$7*4.34)*1.5),0)</f>
        <v>265932</v>
      </c>
      <c r="F178" s="668"/>
      <c r="G178" s="669"/>
      <c r="H178" s="673" t="s">
        <v>203</v>
      </c>
      <c r="I178" s="573"/>
      <c r="J178" s="571" t="s">
        <v>10</v>
      </c>
    </row>
    <row r="179" spans="1:12" ht="36" customHeight="1">
      <c r="A179" s="896"/>
      <c r="B179" s="589"/>
      <c r="C179" s="588" t="s">
        <v>214</v>
      </c>
      <c r="D179" s="591"/>
      <c r="E179" s="575">
        <f>TRUNC(E177/K175*K179*1.5,0)</f>
        <v>0</v>
      </c>
      <c r="F179" s="579"/>
      <c r="G179" s="580"/>
      <c r="H179" s="572" t="s">
        <v>203</v>
      </c>
      <c r="I179" s="573"/>
      <c r="J179" s="571" t="s">
        <v>11</v>
      </c>
      <c r="K179" s="105">
        <f>K160</f>
        <v>0</v>
      </c>
    </row>
    <row r="180" spans="1:12" ht="36" customHeight="1">
      <c r="A180" s="896"/>
      <c r="B180" s="589"/>
      <c r="C180" s="588" t="s">
        <v>50</v>
      </c>
      <c r="D180" s="591"/>
      <c r="E180" s="575">
        <f>TRUNC(E177/K175*8*15/12,0)</f>
        <v>81699</v>
      </c>
      <c r="F180" s="579"/>
      <c r="G180" s="580"/>
      <c r="H180" s="572" t="s">
        <v>202</v>
      </c>
      <c r="I180" s="573"/>
      <c r="J180" s="571" t="s">
        <v>12</v>
      </c>
    </row>
    <row r="181" spans="1:12" ht="36" customHeight="1">
      <c r="A181" s="896"/>
      <c r="B181" s="589"/>
      <c r="C181" s="588" t="s">
        <v>257</v>
      </c>
      <c r="D181" s="591"/>
      <c r="E181" s="575"/>
      <c r="F181" s="579"/>
      <c r="G181" s="580"/>
      <c r="H181" s="572" t="s">
        <v>378</v>
      </c>
      <c r="I181" s="573"/>
      <c r="J181" s="571" t="s">
        <v>13</v>
      </c>
    </row>
    <row r="182" spans="1:12" ht="36" customHeight="1">
      <c r="A182" s="897"/>
      <c r="B182" s="589"/>
      <c r="C182" s="588" t="s">
        <v>51</v>
      </c>
      <c r="D182" s="591"/>
      <c r="E182" s="575">
        <f>SUM(E178:E181)</f>
        <v>347631</v>
      </c>
      <c r="F182" s="579"/>
      <c r="G182" s="580"/>
      <c r="H182" s="572"/>
      <c r="I182" s="573"/>
      <c r="J182" s="571"/>
    </row>
    <row r="183" spans="1:12" ht="36" customHeight="1">
      <c r="A183" s="886" t="s">
        <v>52</v>
      </c>
      <c r="B183" s="887"/>
      <c r="C183" s="887"/>
      <c r="D183" s="888"/>
      <c r="E183" s="568">
        <f>TRUNC(E177*4/12,0)</f>
        <v>569174</v>
      </c>
      <c r="F183" s="569"/>
      <c r="G183" s="84"/>
      <c r="H183" s="576" t="s">
        <v>432</v>
      </c>
      <c r="I183" s="577"/>
      <c r="J183" s="571" t="s">
        <v>267</v>
      </c>
    </row>
    <row r="184" spans="1:12" ht="36" customHeight="1">
      <c r="A184" s="886" t="s">
        <v>53</v>
      </c>
      <c r="B184" s="887"/>
      <c r="C184" s="887"/>
      <c r="D184" s="888"/>
      <c r="E184" s="575">
        <f>TRUNC(SUM(E177,E182,E183)/12,0)</f>
        <v>218694</v>
      </c>
      <c r="F184" s="579"/>
      <c r="G184" s="580"/>
      <c r="H184" s="572" t="s">
        <v>54</v>
      </c>
      <c r="I184" s="573"/>
      <c r="J184" s="571" t="s">
        <v>268</v>
      </c>
    </row>
    <row r="185" spans="1:12" ht="45" customHeight="1">
      <c r="A185" s="886" t="s">
        <v>55</v>
      </c>
      <c r="B185" s="887"/>
      <c r="C185" s="887"/>
      <c r="D185" s="888"/>
      <c r="E185" s="575">
        <f>SUM(E177,E182,E183,E184)</f>
        <v>2843023</v>
      </c>
      <c r="F185" s="579"/>
      <c r="G185" s="580"/>
      <c r="H185" s="594"/>
      <c r="I185" s="592"/>
      <c r="J185" s="593"/>
    </row>
    <row r="186" spans="1:12" s="484" customFormat="1" ht="24.95" customHeight="1">
      <c r="A186" s="483" t="str">
        <f>"주 1) 기본급 : "&amp;월기본급!$A$1&amp;월기본급!$A$2&amp;" 참조"</f>
        <v>주 1) 기본급 : &lt; 표 : 5 &gt; M/M당기본급산출표 참조</v>
      </c>
      <c r="B186" s="483"/>
      <c r="C186" s="483"/>
      <c r="D186" s="483"/>
      <c r="E186" s="485"/>
      <c r="F186" s="485"/>
      <c r="G186" s="485"/>
      <c r="H186" s="485"/>
      <c r="I186" s="485"/>
      <c r="J186" s="485"/>
      <c r="L186" s="488"/>
    </row>
    <row r="187" spans="1:12" s="484" customFormat="1" ht="24.95" customHeight="1">
      <c r="A187" s="487" t="str">
        <f>"   2) 연장근로수당 : "&amp;FIXED(E177,0)&amp;"(기본급)÷"&amp;K175&amp;"시간(월근로시간)×("&amp;(연장근로!$D$8)&amp;"시간×"&amp;(연장근로!$E$8)&amp;"주)×1.5(할증)"</f>
        <v xml:space="preserve">   2) 연장근로수당 : 1,707,524(기본급)÷209시간(월근로시간)×(5시간×4.34주)×1.5(할증)</v>
      </c>
      <c r="B187" s="483"/>
      <c r="C187" s="483"/>
      <c r="D187" s="483"/>
      <c r="E187" s="485"/>
      <c r="F187" s="485"/>
      <c r="G187" s="485"/>
      <c r="H187" s="485"/>
      <c r="I187" s="485"/>
      <c r="J187" s="485"/>
      <c r="L187" s="488"/>
    </row>
    <row r="188" spans="1:12" s="484" customFormat="1" ht="24.95" customHeight="1">
      <c r="A188" s="115" t="s">
        <v>270</v>
      </c>
      <c r="B188" s="483"/>
      <c r="C188" s="483"/>
      <c r="D188" s="483"/>
      <c r="E188" s="485"/>
      <c r="F188" s="485"/>
      <c r="G188" s="485"/>
      <c r="H188" s="485"/>
      <c r="I188" s="485"/>
      <c r="J188" s="485"/>
      <c r="L188" s="488"/>
    </row>
    <row r="189" spans="1:12" s="484" customFormat="1" ht="24.95" customHeight="1">
      <c r="A189" s="487" t="str">
        <f>"   3) 휴일근로수당 : "&amp;FIXED(E177,0)&amp;"(기본급)÷"&amp;K175&amp;"(월근로시간)×"&amp;K179&amp;"시간(휴일근로시간)×1.5(할증)"</f>
        <v xml:space="preserve">   3) 휴일근로수당 : 1,707,524(기본급)÷209(월근로시간)×0시간(휴일근로시간)×1.5(할증)</v>
      </c>
      <c r="B189" s="483"/>
      <c r="C189" s="483"/>
      <c r="D189" s="483"/>
      <c r="E189" s="485"/>
      <c r="F189" s="485"/>
      <c r="G189" s="485"/>
      <c r="H189" s="485"/>
      <c r="I189" s="485"/>
      <c r="J189" s="485"/>
      <c r="L189" s="488"/>
    </row>
    <row r="190" spans="1:12" s="484" customFormat="1" ht="24.95" customHeight="1">
      <c r="A190" s="487" t="str">
        <f>"   4) 년차수당 : "&amp;FIXED(E177,0)&amp;"(기본급)÷"&amp;K175&amp;"(월근로시간)×8시간(일근로시간)×15일/년÷12개월"</f>
        <v xml:space="preserve">   4) 년차수당 : 1,707,524(기본급)÷209(월근로시간)×8시간(일근로시간)×15일/년÷12개월</v>
      </c>
      <c r="B190" s="578"/>
      <c r="C190" s="578"/>
      <c r="D190" s="578"/>
      <c r="E190" s="486"/>
      <c r="F190" s="486"/>
      <c r="G190" s="486"/>
      <c r="H190" s="486"/>
      <c r="I190" s="486"/>
      <c r="J190" s="117"/>
      <c r="L190" s="488"/>
    </row>
    <row r="191" spans="1:12" s="484" customFormat="1" ht="24.95" customHeight="1">
      <c r="A191" s="487" t="s">
        <v>269</v>
      </c>
      <c r="B191" s="578"/>
      <c r="C191" s="578"/>
      <c r="D191" s="578"/>
      <c r="E191" s="486"/>
      <c r="F191" s="486"/>
      <c r="G191" s="486"/>
      <c r="H191" s="486"/>
      <c r="I191" s="486"/>
      <c r="J191" s="117"/>
      <c r="L191" s="488"/>
    </row>
    <row r="192" spans="1:12" ht="24.95" customHeight="1">
      <c r="A192" s="487" t="str">
        <f>"   6) 상여금 : "&amp;FIXED(E177,0)&amp;"(기본급)×4개월(년 400%적용)÷12개월"</f>
        <v xml:space="preserve">   6) 상여금 : 1,707,524(기본급)×4개월(년 400%적용)÷12개월</v>
      </c>
      <c r="J192" s="85"/>
    </row>
    <row r="193" spans="1:15" ht="24.95" customHeight="1">
      <c r="A193" s="487" t="str">
        <f>"   7) 퇴직급여충당금 : {"&amp;FIXED(E177,0)&amp;"(기본급)+"&amp;FIXED(E182,0)&amp;"(제수당)+"&amp;FIXED(E183,0)&amp;"(상여금)}÷12개월"</f>
        <v xml:space="preserve">   7) 퇴직급여충당금 : {1,707,524(기본급)+347,631(제수당)+569,174(상여금)}÷12개월</v>
      </c>
      <c r="J193" s="85"/>
    </row>
    <row r="194" spans="1:15" s="662" customFormat="1" ht="20.100000000000001" customHeight="1">
      <c r="A194" s="658" t="str">
        <f>"구 분 : "&amp;월기본급!B19&amp;"                       직종명 : "&amp;월기본급!F19&amp;""</f>
        <v>구 분 : 사무보조원                       직종명 : 단순노무종사원</v>
      </c>
      <c r="B194" s="659"/>
      <c r="C194" s="659"/>
      <c r="D194" s="659"/>
      <c r="E194" s="606"/>
      <c r="F194" s="606"/>
      <c r="G194" s="606"/>
      <c r="H194" s="660"/>
      <c r="I194" s="660"/>
      <c r="J194" s="661" t="s">
        <v>525</v>
      </c>
      <c r="K194" s="662">
        <v>209</v>
      </c>
      <c r="L194" s="658" t="s">
        <v>526</v>
      </c>
    </row>
    <row r="195" spans="1:15" s="662" customFormat="1" ht="50.1" customHeight="1">
      <c r="A195" s="928" t="s">
        <v>527</v>
      </c>
      <c r="B195" s="929"/>
      <c r="C195" s="929"/>
      <c r="D195" s="930"/>
      <c r="E195" s="931" t="s">
        <v>528</v>
      </c>
      <c r="F195" s="932"/>
      <c r="G195" s="649" t="s">
        <v>529</v>
      </c>
      <c r="H195" s="650"/>
      <c r="I195" s="649" t="s">
        <v>530</v>
      </c>
      <c r="J195" s="650"/>
      <c r="L195" s="658"/>
    </row>
    <row r="196" spans="1:15" s="662" customFormat="1" ht="36" customHeight="1">
      <c r="A196" s="928" t="s">
        <v>531</v>
      </c>
      <c r="B196" s="929"/>
      <c r="C196" s="929"/>
      <c r="D196" s="930"/>
      <c r="E196" s="667">
        <f>월기본급!J19</f>
        <v>1707524</v>
      </c>
      <c r="F196" s="668"/>
      <c r="G196" s="669"/>
      <c r="H196" s="670" t="s">
        <v>532</v>
      </c>
      <c r="I196" s="671"/>
      <c r="J196" s="655" t="s">
        <v>49</v>
      </c>
      <c r="K196" s="852">
        <v>0.86745000000000005</v>
      </c>
      <c r="L196" s="853">
        <f>ABS(E196*K196)</f>
        <v>1481191.6938</v>
      </c>
    </row>
    <row r="197" spans="1:15" s="662" customFormat="1" ht="36" customHeight="1">
      <c r="A197" s="933" t="s">
        <v>533</v>
      </c>
      <c r="B197" s="663"/>
      <c r="C197" s="672" t="s">
        <v>534</v>
      </c>
      <c r="D197" s="664"/>
      <c r="E197" s="694">
        <f>TRUNC((E196/K194*($L$7*4.34)*1.5),0)</f>
        <v>265932</v>
      </c>
      <c r="F197" s="668"/>
      <c r="G197" s="669"/>
      <c r="H197" s="673" t="s">
        <v>535</v>
      </c>
      <c r="I197" s="674"/>
      <c r="J197" s="655" t="s">
        <v>10</v>
      </c>
      <c r="K197" s="852">
        <v>0.86745000000000005</v>
      </c>
      <c r="L197" s="853">
        <f t="shared" ref="L197:L204" si="0">ABS(E197*K197)</f>
        <v>230682.71340000001</v>
      </c>
    </row>
    <row r="198" spans="1:15" s="662" customFormat="1" ht="36" customHeight="1">
      <c r="A198" s="934"/>
      <c r="B198" s="663"/>
      <c r="C198" s="672" t="s">
        <v>536</v>
      </c>
      <c r="D198" s="664"/>
      <c r="E198" s="667"/>
      <c r="F198" s="668"/>
      <c r="G198" s="669"/>
      <c r="H198" s="673" t="s">
        <v>535</v>
      </c>
      <c r="I198" s="674"/>
      <c r="J198" s="655" t="s">
        <v>11</v>
      </c>
      <c r="K198" s="852">
        <v>0.86745000000000005</v>
      </c>
      <c r="L198" s="853">
        <f t="shared" si="0"/>
        <v>0</v>
      </c>
    </row>
    <row r="199" spans="1:15" s="662" customFormat="1" ht="36" customHeight="1">
      <c r="A199" s="934"/>
      <c r="B199" s="663"/>
      <c r="C199" s="672" t="s">
        <v>537</v>
      </c>
      <c r="D199" s="664"/>
      <c r="E199" s="667">
        <f>TRUNC(E196/K194*8*15/12,0)</f>
        <v>81699</v>
      </c>
      <c r="F199" s="668"/>
      <c r="G199" s="669"/>
      <c r="H199" s="673" t="s">
        <v>538</v>
      </c>
      <c r="I199" s="674"/>
      <c r="J199" s="655" t="s">
        <v>12</v>
      </c>
      <c r="K199" s="852">
        <v>0.86745000000000005</v>
      </c>
      <c r="L199" s="853">
        <f t="shared" si="0"/>
        <v>70869.797550000003</v>
      </c>
    </row>
    <row r="200" spans="1:15" s="662" customFormat="1" ht="36" customHeight="1">
      <c r="A200" s="934"/>
      <c r="B200" s="663"/>
      <c r="C200" s="672" t="s">
        <v>539</v>
      </c>
      <c r="D200" s="664"/>
      <c r="E200" s="667"/>
      <c r="F200" s="668"/>
      <c r="G200" s="669"/>
      <c r="H200" s="673" t="s">
        <v>540</v>
      </c>
      <c r="I200" s="674"/>
      <c r="J200" s="655" t="s">
        <v>13</v>
      </c>
      <c r="K200" s="852">
        <v>0.86745000000000005</v>
      </c>
      <c r="L200" s="853">
        <f t="shared" si="0"/>
        <v>0</v>
      </c>
    </row>
    <row r="201" spans="1:15" s="662" customFormat="1" ht="36" customHeight="1">
      <c r="A201" s="935"/>
      <c r="B201" s="663"/>
      <c r="C201" s="672" t="s">
        <v>541</v>
      </c>
      <c r="D201" s="664"/>
      <c r="E201" s="667">
        <f>SUM(E197:E200)</f>
        <v>347631</v>
      </c>
      <c r="F201" s="668"/>
      <c r="G201" s="669"/>
      <c r="H201" s="673"/>
      <c r="I201" s="674"/>
      <c r="J201" s="655"/>
      <c r="K201" s="852">
        <v>0.86745000000000005</v>
      </c>
      <c r="L201" s="853"/>
    </row>
    <row r="202" spans="1:15" s="662" customFormat="1" ht="36" customHeight="1">
      <c r="A202" s="928" t="s">
        <v>542</v>
      </c>
      <c r="B202" s="929"/>
      <c r="C202" s="929"/>
      <c r="D202" s="930"/>
      <c r="E202" s="675">
        <f>TRUNC(E196*0.5/12,0)</f>
        <v>71146</v>
      </c>
      <c r="F202" s="676"/>
      <c r="G202" s="677"/>
      <c r="H202" s="678" t="s">
        <v>543</v>
      </c>
      <c r="I202" s="679"/>
      <c r="J202" s="655" t="s">
        <v>544</v>
      </c>
      <c r="K202" s="852">
        <v>0.86745000000000005</v>
      </c>
      <c r="L202" s="853">
        <f t="shared" si="0"/>
        <v>61715.597700000006</v>
      </c>
    </row>
    <row r="203" spans="1:15" s="662" customFormat="1" ht="36" customHeight="1">
      <c r="A203" s="928" t="s">
        <v>545</v>
      </c>
      <c r="B203" s="929"/>
      <c r="C203" s="929"/>
      <c r="D203" s="930"/>
      <c r="E203" s="667">
        <f>TRUNC(SUM(E196,E201,E202)/12,0)</f>
        <v>177191</v>
      </c>
      <c r="F203" s="668"/>
      <c r="G203" s="669"/>
      <c r="H203" s="673" t="s">
        <v>546</v>
      </c>
      <c r="I203" s="674"/>
      <c r="J203" s="655" t="s">
        <v>268</v>
      </c>
      <c r="K203" s="852">
        <v>0.86745000000000005</v>
      </c>
      <c r="L203" s="853">
        <f t="shared" si="0"/>
        <v>153704.33295000001</v>
      </c>
      <c r="O203" s="662">
        <f>ABS(L202+L196+L199)</f>
        <v>1613777.0890500001</v>
      </c>
    </row>
    <row r="204" spans="1:15" s="662" customFormat="1" ht="45" customHeight="1">
      <c r="A204" s="928" t="s">
        <v>547</v>
      </c>
      <c r="B204" s="929"/>
      <c r="C204" s="929"/>
      <c r="D204" s="930"/>
      <c r="E204" s="667">
        <f>SUM(E196,E201,E202,E203)</f>
        <v>2303492</v>
      </c>
      <c r="F204" s="668"/>
      <c r="G204" s="669"/>
      <c r="H204" s="680"/>
      <c r="I204" s="665"/>
      <c r="J204" s="666"/>
      <c r="K204" s="852">
        <v>0.86745000000000005</v>
      </c>
      <c r="L204" s="853">
        <f t="shared" si="0"/>
        <v>1998164.1354</v>
      </c>
    </row>
    <row r="205" spans="1:15" s="683" customFormat="1" ht="24.95" customHeight="1">
      <c r="A205" s="681" t="str">
        <f>"주 1) 기본급 : "&amp;월기본급!$A$1&amp;월기본급!$A$2&amp;" 참조"</f>
        <v>주 1) 기본급 : &lt; 표 : 5 &gt; M/M당기본급산출표 참조</v>
      </c>
      <c r="B205" s="681"/>
      <c r="C205" s="681"/>
      <c r="D205" s="681"/>
      <c r="E205" s="682"/>
      <c r="F205" s="682"/>
      <c r="G205" s="682"/>
      <c r="H205" s="682"/>
      <c r="I205" s="682"/>
      <c r="J205" s="682"/>
      <c r="L205" s="684"/>
    </row>
    <row r="206" spans="1:15" s="683" customFormat="1" ht="24.95" customHeight="1">
      <c r="A206" s="685" t="str">
        <f>"   2) 연장근로수당 : "&amp;FIXED(E196,0)&amp;"(기본급)÷"&amp;K194&amp;"시간(월근로시간)×("&amp;(연장근로!$D$8)&amp;"시간×"&amp;(연장근로!$E$8)&amp;"주)×1.5(할증)"</f>
        <v xml:space="preserve">   2) 연장근로수당 : 1,707,524(기본급)÷209시간(월근로시간)×(5시간×4.34주)×1.5(할증)</v>
      </c>
      <c r="B206" s="681"/>
      <c r="C206" s="681"/>
      <c r="D206" s="681"/>
      <c r="E206" s="682"/>
      <c r="F206" s="682"/>
      <c r="G206" s="682"/>
      <c r="H206" s="682"/>
      <c r="I206" s="682"/>
      <c r="J206" s="682"/>
      <c r="L206" s="684"/>
    </row>
    <row r="207" spans="1:15" s="683" customFormat="1" ht="24.95" customHeight="1">
      <c r="A207" s="658" t="s">
        <v>548</v>
      </c>
      <c r="B207" s="681"/>
      <c r="C207" s="681"/>
      <c r="D207" s="681"/>
      <c r="E207" s="682"/>
      <c r="F207" s="682"/>
      <c r="G207" s="682"/>
      <c r="H207" s="682"/>
      <c r="I207" s="682"/>
      <c r="J207" s="682"/>
      <c r="L207" s="684"/>
    </row>
    <row r="208" spans="1:15" s="683" customFormat="1" ht="24.95" customHeight="1">
      <c r="A208" s="685" t="str">
        <f>"   3) 휴일근로수당 : "&amp;FIXED(E196,0)&amp;"(기본급)÷"&amp;K194&amp;"(월근로시간)×"&amp;K198&amp;"시간(휴일근로시간)×1.5(할증)"</f>
        <v xml:space="preserve">   3) 휴일근로수당 : 1,707,524(기본급)÷209(월근로시간)×0.86745시간(휴일근로시간)×1.5(할증)</v>
      </c>
      <c r="B208" s="681"/>
      <c r="C208" s="681"/>
      <c r="D208" s="681"/>
      <c r="E208" s="682"/>
      <c r="F208" s="682"/>
      <c r="G208" s="682"/>
      <c r="H208" s="682"/>
      <c r="I208" s="682"/>
      <c r="J208" s="682"/>
      <c r="L208" s="684"/>
    </row>
    <row r="209" spans="1:12" s="683" customFormat="1" ht="24.95" customHeight="1">
      <c r="A209" s="685" t="str">
        <f>"   4) 년차수당 : "&amp;FIXED(E196,0)&amp;"(기본급)÷"&amp;K194&amp;"(월근로시간)×8시간(일근로시간)×15일/년÷12개월"</f>
        <v xml:space="preserve">   4) 년차수당 : 1,707,524(기본급)÷209(월근로시간)×8시간(일근로시간)×15일/년÷12개월</v>
      </c>
      <c r="B209" s="686"/>
      <c r="C209" s="686"/>
      <c r="D209" s="686"/>
      <c r="E209" s="606"/>
      <c r="F209" s="606"/>
      <c r="G209" s="606"/>
      <c r="H209" s="606"/>
      <c r="I209" s="606"/>
      <c r="J209" s="687"/>
      <c r="L209" s="684"/>
    </row>
    <row r="210" spans="1:12" s="683" customFormat="1" ht="24.95" customHeight="1">
      <c r="A210" s="685" t="s">
        <v>549</v>
      </c>
      <c r="B210" s="686"/>
      <c r="C210" s="686"/>
      <c r="D210" s="686"/>
      <c r="E210" s="606"/>
      <c r="F210" s="606"/>
      <c r="G210" s="606"/>
      <c r="H210" s="606"/>
      <c r="I210" s="606"/>
      <c r="J210" s="687"/>
      <c r="L210" s="684"/>
    </row>
    <row r="211" spans="1:12" s="662" customFormat="1" ht="24.95" customHeight="1">
      <c r="A211" s="685" t="str">
        <f>"   6) 상여금 : "&amp;FIXED(E196,0)&amp;"(기본급)×0.5개월(년 50%적용)÷12개월"</f>
        <v xml:space="preserve">   6) 상여금 : 1,707,524(기본급)×0.5개월(년 50%적용)÷12개월</v>
      </c>
      <c r="B211" s="688"/>
      <c r="C211" s="688"/>
      <c r="D211" s="688"/>
      <c r="E211" s="660"/>
      <c r="F211" s="660"/>
      <c r="G211" s="660"/>
      <c r="H211" s="660"/>
      <c r="I211" s="660"/>
      <c r="J211" s="660"/>
      <c r="L211" s="658"/>
    </row>
    <row r="212" spans="1:12" s="662" customFormat="1" ht="24.95" customHeight="1">
      <c r="A212" s="685" t="str">
        <f>"   7) 퇴직급여충당금 : {"&amp;FIXED(E196,0)&amp;"(기본급)+"&amp;FIXED(E201,0)&amp;"(제수당)+"&amp;FIXED(E202,0)&amp;"(상여금)}÷12개월"</f>
        <v xml:space="preserve">   7) 퇴직급여충당금 : {1,707,524(기본급)+347,631(제수당)+71,146(상여금)}÷12개월</v>
      </c>
      <c r="B212" s="688"/>
      <c r="C212" s="688"/>
      <c r="D212" s="688"/>
      <c r="E212" s="660"/>
      <c r="F212" s="660"/>
      <c r="G212" s="660"/>
      <c r="H212" s="660"/>
      <c r="I212" s="660"/>
      <c r="J212" s="660"/>
      <c r="L212" s="658"/>
    </row>
    <row r="213" spans="1:12" s="662" customFormat="1" ht="21.95" customHeight="1">
      <c r="A213" s="685"/>
      <c r="B213" s="688"/>
      <c r="C213" s="688"/>
      <c r="D213" s="688"/>
      <c r="E213" s="660"/>
      <c r="F213" s="660"/>
      <c r="G213" s="660"/>
      <c r="H213" s="660"/>
      <c r="I213" s="660"/>
      <c r="J213" s="660"/>
      <c r="L213" s="658"/>
    </row>
    <row r="214" spans="1:12" s="662" customFormat="1" ht="21.95" customHeight="1">
      <c r="A214" s="685"/>
      <c r="B214" s="688"/>
      <c r="C214" s="688"/>
      <c r="D214" s="688"/>
      <c r="E214" s="660"/>
      <c r="F214" s="660"/>
      <c r="G214" s="660"/>
      <c r="H214" s="660"/>
      <c r="I214" s="660"/>
      <c r="J214" s="660"/>
      <c r="L214" s="658"/>
    </row>
    <row r="215" spans="1:12" s="662" customFormat="1">
      <c r="A215" s="689"/>
      <c r="B215" s="688"/>
      <c r="C215" s="688"/>
      <c r="D215" s="688"/>
      <c r="E215" s="660"/>
      <c r="F215" s="660"/>
      <c r="G215" s="660"/>
      <c r="H215" s="660"/>
      <c r="I215" s="660"/>
      <c r="J215" s="690"/>
      <c r="L215" s="658"/>
    </row>
  </sheetData>
  <mergeCells count="77">
    <mergeCell ref="A50:D50"/>
    <mergeCell ref="A45:A49"/>
    <mergeCell ref="A44:D44"/>
    <mergeCell ref="A63:D63"/>
    <mergeCell ref="E62:F62"/>
    <mergeCell ref="A62:D62"/>
    <mergeCell ref="A52:D52"/>
    <mergeCell ref="A51:D51"/>
    <mergeCell ref="A146:D146"/>
    <mergeCell ref="A145:D145"/>
    <mergeCell ref="A140:A144"/>
    <mergeCell ref="E138:F138"/>
    <mergeCell ref="E119:F119"/>
    <mergeCell ref="A119:D119"/>
    <mergeCell ref="A5:D5"/>
    <mergeCell ref="E5:F5"/>
    <mergeCell ref="A6:D6"/>
    <mergeCell ref="A24:D24"/>
    <mergeCell ref="A43:D43"/>
    <mergeCell ref="E43:F43"/>
    <mergeCell ref="E24:F24"/>
    <mergeCell ref="A7:A11"/>
    <mergeCell ref="A33:D33"/>
    <mergeCell ref="A31:D31"/>
    <mergeCell ref="A12:D12"/>
    <mergeCell ref="A13:D13"/>
    <mergeCell ref="A14:D14"/>
    <mergeCell ref="A25:D25"/>
    <mergeCell ref="A26:A30"/>
    <mergeCell ref="A32:D32"/>
    <mergeCell ref="A176:D176"/>
    <mergeCell ref="A164:D164"/>
    <mergeCell ref="E176:F176"/>
    <mergeCell ref="A165:D165"/>
    <mergeCell ref="A166:D166"/>
    <mergeCell ref="E100:F100"/>
    <mergeCell ref="A101:D101"/>
    <mergeCell ref="A71:D71"/>
    <mergeCell ref="A64:A68"/>
    <mergeCell ref="A69:D69"/>
    <mergeCell ref="A70:D70"/>
    <mergeCell ref="A81:D81"/>
    <mergeCell ref="A89:D89"/>
    <mergeCell ref="A90:D90"/>
    <mergeCell ref="A82:D82"/>
    <mergeCell ref="A83:A87"/>
    <mergeCell ref="A88:D88"/>
    <mergeCell ref="A100:D100"/>
    <mergeCell ref="E81:F81"/>
    <mergeCell ref="E157:F157"/>
    <mergeCell ref="A102:A106"/>
    <mergeCell ref="A158:D158"/>
    <mergeCell ref="A159:A163"/>
    <mergeCell ref="A128:D128"/>
    <mergeCell ref="A120:D120"/>
    <mergeCell ref="A121:A125"/>
    <mergeCell ref="A126:D126"/>
    <mergeCell ref="A127:D127"/>
    <mergeCell ref="A147:D147"/>
    <mergeCell ref="A138:D138"/>
    <mergeCell ref="A139:D139"/>
    <mergeCell ref="A157:D157"/>
    <mergeCell ref="A107:D107"/>
    <mergeCell ref="A108:D108"/>
    <mergeCell ref="A109:D109"/>
    <mergeCell ref="A177:D177"/>
    <mergeCell ref="A178:A182"/>
    <mergeCell ref="A183:D183"/>
    <mergeCell ref="A184:D184"/>
    <mergeCell ref="A185:D185"/>
    <mergeCell ref="A204:D204"/>
    <mergeCell ref="A195:D195"/>
    <mergeCell ref="E195:F195"/>
    <mergeCell ref="A196:D196"/>
    <mergeCell ref="A197:A201"/>
    <mergeCell ref="A202:D202"/>
    <mergeCell ref="A203:D203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 &amp;P -</oddFooter>
  </headerFooter>
  <rowBreaks count="2" manualBreakCount="2">
    <brk id="174" max="9" man="1"/>
    <brk id="193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L22"/>
  <sheetViews>
    <sheetView showGridLines="0" showZeros="0" view="pageBreakPreview" zoomScale="95" zoomScaleNormal="100" workbookViewId="0">
      <selection activeCell="B18" sqref="B18"/>
    </sheetView>
  </sheetViews>
  <sheetFormatPr defaultRowHeight="12"/>
  <cols>
    <col min="1" max="1" width="1.7109375" style="116" customWidth="1"/>
    <col min="2" max="2" width="13.7109375" style="116" customWidth="1"/>
    <col min="3" max="3" width="1.7109375" style="116" customWidth="1"/>
    <col min="4" max="4" width="10.7109375" style="105" customWidth="1"/>
    <col min="5" max="5" width="1.7109375" style="105" customWidth="1"/>
    <col min="6" max="6" width="15.7109375" style="105" customWidth="1"/>
    <col min="7" max="7" width="1.7109375" style="105" customWidth="1"/>
    <col min="8" max="8" width="11.7109375" style="106" customWidth="1"/>
    <col min="9" max="9" width="10.7109375" style="106" customWidth="1"/>
    <col min="10" max="10" width="13.7109375" style="106" customWidth="1"/>
    <col min="11" max="11" width="12" style="106" customWidth="1"/>
    <col min="12" max="12" width="9.140625" style="106"/>
    <col min="13" max="16384" width="9.140625" style="105"/>
  </cols>
  <sheetData>
    <row r="1" spans="1:12" ht="20.100000000000001" customHeight="1">
      <c r="A1" s="104" t="s">
        <v>482</v>
      </c>
      <c r="B1" s="104"/>
      <c r="C1" s="104"/>
      <c r="D1" s="227"/>
    </row>
    <row r="2" spans="1:12" s="76" customFormat="1" ht="39.950000000000003" customHeight="1">
      <c r="A2" s="107" t="s">
        <v>56</v>
      </c>
      <c r="B2" s="107"/>
      <c r="C2" s="107"/>
      <c r="D2" s="108"/>
      <c r="E2" s="108"/>
      <c r="F2" s="108"/>
      <c r="G2" s="108"/>
      <c r="H2" s="364"/>
      <c r="I2" s="364"/>
      <c r="J2" s="364"/>
      <c r="K2" s="364"/>
      <c r="L2" s="550"/>
    </row>
    <row r="3" spans="1:12" s="76" customFormat="1" ht="20.100000000000001" customHeight="1">
      <c r="A3" s="107"/>
      <c r="B3" s="107"/>
      <c r="C3" s="107"/>
      <c r="D3" s="108"/>
      <c r="E3" s="108"/>
      <c r="F3" s="108"/>
      <c r="G3" s="108"/>
      <c r="H3" s="364"/>
      <c r="I3" s="364"/>
      <c r="J3" s="364"/>
      <c r="K3" s="364"/>
      <c r="L3" s="550"/>
    </row>
    <row r="4" spans="1:12" ht="20.100000000000001" customHeight="1">
      <c r="A4" s="114"/>
      <c r="B4" s="114"/>
      <c r="C4" s="114"/>
      <c r="D4" s="115"/>
      <c r="E4" s="115"/>
      <c r="F4" s="115"/>
      <c r="G4" s="115"/>
      <c r="K4" s="118" t="s">
        <v>374</v>
      </c>
    </row>
    <row r="5" spans="1:12" s="377" customFormat="1" ht="20.100000000000001" customHeight="1">
      <c r="A5" s="479"/>
      <c r="B5" s="941" t="s">
        <v>57</v>
      </c>
      <c r="C5" s="480"/>
      <c r="D5" s="943" t="s">
        <v>58</v>
      </c>
      <c r="E5" s="479"/>
      <c r="F5" s="945" t="s">
        <v>38</v>
      </c>
      <c r="G5" s="480"/>
      <c r="H5" s="895" t="s">
        <v>233</v>
      </c>
      <c r="I5" s="895" t="s">
        <v>234</v>
      </c>
      <c r="J5" s="895" t="s">
        <v>180</v>
      </c>
      <c r="K5" s="895" t="s">
        <v>210</v>
      </c>
      <c r="L5" s="490"/>
    </row>
    <row r="6" spans="1:12" s="377" customFormat="1" ht="30" customHeight="1">
      <c r="A6" s="382"/>
      <c r="B6" s="942"/>
      <c r="C6" s="551"/>
      <c r="D6" s="944"/>
      <c r="E6" s="382"/>
      <c r="F6" s="946"/>
      <c r="G6" s="551"/>
      <c r="H6" s="897"/>
      <c r="I6" s="897"/>
      <c r="J6" s="897"/>
      <c r="K6" s="897"/>
      <c r="L6" s="490"/>
    </row>
    <row r="7" spans="1:12" s="74" customFormat="1" ht="20.100000000000001" hidden="1" customHeight="1">
      <c r="A7" s="370"/>
      <c r="B7" s="116"/>
      <c r="C7" s="116"/>
      <c r="D7" s="370"/>
      <c r="E7" s="552"/>
      <c r="F7" s="377"/>
      <c r="G7" s="553"/>
      <c r="H7" s="481" t="s">
        <v>59</v>
      </c>
      <c r="I7" s="481" t="s">
        <v>10</v>
      </c>
      <c r="J7" s="481"/>
      <c r="K7" s="554"/>
      <c r="L7" s="489"/>
    </row>
    <row r="8" spans="1:12" s="74" customFormat="1" ht="20.100000000000001" hidden="1" customHeight="1">
      <c r="A8" s="370"/>
      <c r="B8" s="116"/>
      <c r="C8" s="116"/>
      <c r="D8" s="370"/>
      <c r="E8" s="552"/>
      <c r="F8" s="377"/>
      <c r="G8" s="553"/>
      <c r="H8" s="481" t="s">
        <v>371</v>
      </c>
      <c r="I8" s="481" t="s">
        <v>369</v>
      </c>
      <c r="J8" s="481" t="s">
        <v>370</v>
      </c>
      <c r="K8" s="554"/>
      <c r="L8" s="489"/>
    </row>
    <row r="9" spans="1:12" ht="35.1" hidden="1" customHeight="1">
      <c r="A9" s="555"/>
      <c r="B9" s="492"/>
      <c r="C9" s="379"/>
      <c r="D9" s="525"/>
      <c r="E9" s="556"/>
      <c r="F9" s="823"/>
      <c r="G9" s="557"/>
      <c r="H9" s="352"/>
      <c r="I9" s="529"/>
      <c r="J9" s="352">
        <f>TRUNC(H9*I9,0)</f>
        <v>0</v>
      </c>
      <c r="K9" s="373"/>
    </row>
    <row r="10" spans="1:12" ht="35.1" hidden="1" customHeight="1">
      <c r="A10" s="555"/>
      <c r="B10" s="492"/>
      <c r="C10" s="379"/>
      <c r="D10" s="525"/>
      <c r="E10" s="370"/>
      <c r="F10" s="824"/>
      <c r="G10" s="371"/>
      <c r="H10" s="255"/>
      <c r="I10" s="559"/>
      <c r="J10" s="352">
        <f>TRUNC(H10*I10,0)</f>
        <v>0</v>
      </c>
      <c r="K10" s="373"/>
    </row>
    <row r="11" spans="1:12" ht="35.1" hidden="1" customHeight="1">
      <c r="A11" s="555"/>
      <c r="B11" s="492"/>
      <c r="C11" s="379"/>
      <c r="D11" s="825"/>
      <c r="E11" s="370"/>
      <c r="F11" s="558"/>
      <c r="G11" s="371"/>
      <c r="H11" s="255"/>
      <c r="I11" s="559"/>
      <c r="J11" s="352">
        <f t="shared" ref="J11:J17" si="0">TRUNC(H11*I11,0)</f>
        <v>0</v>
      </c>
      <c r="K11" s="373"/>
    </row>
    <row r="12" spans="1:12" ht="35.1" hidden="1" customHeight="1">
      <c r="A12" s="555"/>
      <c r="B12" s="492"/>
      <c r="C12" s="379"/>
      <c r="D12" s="373"/>
      <c r="E12" s="370"/>
      <c r="F12" s="823"/>
      <c r="G12" s="371"/>
      <c r="H12" s="255"/>
      <c r="I12" s="559"/>
      <c r="J12" s="352">
        <f>TRUNC(H12*I12,0)</f>
        <v>0</v>
      </c>
      <c r="K12" s="373"/>
    </row>
    <row r="13" spans="1:12" ht="35.1" hidden="1" customHeight="1">
      <c r="A13" s="555"/>
      <c r="B13" s="492"/>
      <c r="C13" s="379"/>
      <c r="D13" s="373"/>
      <c r="E13" s="370"/>
      <c r="F13" s="823"/>
      <c r="G13" s="371"/>
      <c r="H13" s="255"/>
      <c r="I13" s="559"/>
      <c r="J13" s="352">
        <f>TRUNC(H13*I13,0)</f>
        <v>0</v>
      </c>
      <c r="K13" s="373"/>
    </row>
    <row r="14" spans="1:12" ht="35.1" hidden="1" customHeight="1">
      <c r="A14" s="555"/>
      <c r="B14" s="560"/>
      <c r="C14" s="561"/>
      <c r="D14" s="373"/>
      <c r="E14" s="370"/>
      <c r="F14" s="823"/>
      <c r="G14" s="371"/>
      <c r="H14" s="255"/>
      <c r="I14" s="559"/>
      <c r="J14" s="352">
        <f t="shared" si="0"/>
        <v>0</v>
      </c>
      <c r="K14" s="373"/>
    </row>
    <row r="15" spans="1:12" ht="35.1" hidden="1" customHeight="1">
      <c r="A15" s="555"/>
      <c r="B15" s="560"/>
      <c r="C15" s="561"/>
      <c r="D15" s="373"/>
      <c r="E15" s="370"/>
      <c r="F15" s="823"/>
      <c r="G15" s="371"/>
      <c r="H15" s="255"/>
      <c r="I15" s="559"/>
      <c r="J15" s="352">
        <f t="shared" si="0"/>
        <v>0</v>
      </c>
      <c r="K15" s="562"/>
    </row>
    <row r="16" spans="1:12" ht="35.1" hidden="1" customHeight="1">
      <c r="A16" s="555"/>
      <c r="B16" s="560"/>
      <c r="C16" s="561"/>
      <c r="D16" s="373"/>
      <c r="E16" s="370"/>
      <c r="F16" s="823"/>
      <c r="G16" s="371"/>
      <c r="H16" s="255"/>
      <c r="I16" s="559"/>
      <c r="J16" s="352">
        <f>TRUNC(H16*I16,0)</f>
        <v>0</v>
      </c>
      <c r="K16" s="562"/>
    </row>
    <row r="17" spans="1:11" ht="35.1" customHeight="1">
      <c r="A17" s="555"/>
      <c r="B17" s="861" t="s">
        <v>636</v>
      </c>
      <c r="C17" s="860"/>
      <c r="D17" s="859">
        <v>122</v>
      </c>
      <c r="E17" s="858"/>
      <c r="F17" s="857" t="s">
        <v>637</v>
      </c>
      <c r="G17" s="856"/>
      <c r="H17" s="855">
        <v>85836</v>
      </c>
      <c r="I17" s="854">
        <v>26</v>
      </c>
      <c r="J17" s="855">
        <f t="shared" si="0"/>
        <v>2231736</v>
      </c>
      <c r="K17" s="562"/>
    </row>
    <row r="18" spans="1:11" ht="35.1" customHeight="1">
      <c r="A18" s="555"/>
      <c r="B18" s="861" t="s">
        <v>643</v>
      </c>
      <c r="C18" s="860"/>
      <c r="D18" s="859">
        <v>135</v>
      </c>
      <c r="E18" s="858"/>
      <c r="F18" s="857" t="s">
        <v>642</v>
      </c>
      <c r="G18" s="856"/>
      <c r="H18" s="855">
        <v>65674</v>
      </c>
      <c r="I18" s="854">
        <v>26</v>
      </c>
      <c r="J18" s="855">
        <f>TRUNC(H18*I18,0)</f>
        <v>1707524</v>
      </c>
      <c r="K18" s="562"/>
    </row>
    <row r="19" spans="1:11" ht="35.1" customHeight="1">
      <c r="A19" s="555"/>
      <c r="B19" s="861" t="s">
        <v>638</v>
      </c>
      <c r="C19" s="860"/>
      <c r="D19" s="859">
        <v>135</v>
      </c>
      <c r="E19" s="858"/>
      <c r="F19" s="857" t="s">
        <v>639</v>
      </c>
      <c r="G19" s="856"/>
      <c r="H19" s="855">
        <v>65674</v>
      </c>
      <c r="I19" s="854">
        <v>26</v>
      </c>
      <c r="J19" s="855">
        <f>TRUNC(H19*I19,0)</f>
        <v>1707524</v>
      </c>
      <c r="K19" s="562"/>
    </row>
    <row r="20" spans="1:11" ht="20.100000000000001" customHeight="1">
      <c r="A20" s="563"/>
      <c r="B20" s="493"/>
      <c r="C20" s="385"/>
      <c r="D20" s="478"/>
      <c r="E20" s="382"/>
      <c r="F20" s="259"/>
      <c r="G20" s="551"/>
      <c r="H20" s="564"/>
      <c r="I20" s="384"/>
      <c r="J20" s="564"/>
      <c r="K20" s="565"/>
    </row>
    <row r="21" spans="1:11" ht="30" customHeight="1">
      <c r="A21" s="938" t="s">
        <v>641</v>
      </c>
      <c r="B21" s="939"/>
      <c r="C21" s="939"/>
      <c r="D21" s="939"/>
      <c r="E21" s="939"/>
      <c r="F21" s="939"/>
      <c r="G21" s="939"/>
      <c r="H21" s="939"/>
      <c r="I21" s="939"/>
      <c r="J21" s="939"/>
      <c r="K21" s="939"/>
    </row>
    <row r="22" spans="1:11" ht="30" customHeight="1">
      <c r="A22" s="940"/>
      <c r="B22" s="940"/>
      <c r="C22" s="940"/>
      <c r="D22" s="940"/>
      <c r="E22" s="940"/>
      <c r="F22" s="940"/>
      <c r="G22" s="940"/>
      <c r="H22" s="940"/>
      <c r="I22" s="940"/>
      <c r="J22" s="940"/>
      <c r="K22" s="940"/>
    </row>
  </sheetData>
  <mergeCells count="8">
    <mergeCell ref="A21:K22"/>
    <mergeCell ref="J5:J6"/>
    <mergeCell ref="K5:K6"/>
    <mergeCell ref="B5:B6"/>
    <mergeCell ref="D5:D6"/>
    <mergeCell ref="F5:F6"/>
    <mergeCell ref="H5:H6"/>
    <mergeCell ref="I5:I6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13"/>
  <sheetViews>
    <sheetView showGridLines="0" showZeros="0" view="pageBreakPreview" zoomScaleNormal="75" workbookViewId="0">
      <selection activeCell="J17" sqref="J17"/>
    </sheetView>
  </sheetViews>
  <sheetFormatPr defaultColWidth="11.42578125" defaultRowHeight="12"/>
  <cols>
    <col min="1" max="1" width="3.7109375" style="502" customWidth="1"/>
    <col min="2" max="2" width="18.28515625" style="503" customWidth="1"/>
    <col min="3" max="3" width="3.7109375" style="502" customWidth="1"/>
    <col min="4" max="4" width="16.5703125" style="502" customWidth="1"/>
    <col min="5" max="6" width="16.5703125" style="503" customWidth="1"/>
    <col min="7" max="7" width="19.5703125" style="502" customWidth="1"/>
    <col min="8" max="16384" width="11.42578125" style="502"/>
  </cols>
  <sheetData>
    <row r="1" spans="1:7" ht="20.100000000000001" customHeight="1">
      <c r="A1" s="502" t="s">
        <v>483</v>
      </c>
    </row>
    <row r="2" spans="1:7" ht="39.950000000000003" customHeight="1">
      <c r="A2" s="504" t="s">
        <v>282</v>
      </c>
      <c r="B2" s="505"/>
      <c r="C2" s="506"/>
      <c r="D2" s="506"/>
      <c r="E2" s="505"/>
      <c r="F2" s="505"/>
      <c r="G2" s="506"/>
    </row>
    <row r="3" spans="1:7" ht="20.100000000000001" customHeight="1">
      <c r="A3" s="506"/>
      <c r="B3" s="505"/>
      <c r="C3" s="505"/>
      <c r="D3" s="505"/>
      <c r="E3" s="509"/>
      <c r="F3" s="509"/>
      <c r="G3" s="509"/>
    </row>
    <row r="4" spans="1:7" ht="20.100000000000001" customHeight="1">
      <c r="A4" s="510"/>
      <c r="B4" s="511"/>
      <c r="C4" s="511"/>
      <c r="D4" s="511"/>
      <c r="E4" s="512"/>
      <c r="F4" s="512"/>
      <c r="G4" s="513"/>
    </row>
    <row r="5" spans="1:7" ht="50.1" customHeight="1">
      <c r="A5" s="514"/>
      <c r="B5" s="515" t="s">
        <v>273</v>
      </c>
      <c r="C5" s="516"/>
      <c r="D5" s="517" t="s">
        <v>286</v>
      </c>
      <c r="E5" s="520" t="s">
        <v>283</v>
      </c>
      <c r="F5" s="519" t="s">
        <v>284</v>
      </c>
      <c r="G5" s="520" t="s">
        <v>272</v>
      </c>
    </row>
    <row r="6" spans="1:7" ht="30" customHeight="1">
      <c r="A6" s="521"/>
      <c r="B6" s="505"/>
      <c r="C6" s="522"/>
      <c r="D6" s="523" t="s">
        <v>208</v>
      </c>
      <c r="E6" s="524" t="s">
        <v>246</v>
      </c>
      <c r="F6" s="509" t="s">
        <v>243</v>
      </c>
      <c r="G6" s="525"/>
    </row>
    <row r="7" spans="1:7" ht="30" customHeight="1">
      <c r="A7" s="521"/>
      <c r="B7" s="505"/>
      <c r="C7" s="522"/>
      <c r="D7" s="523" t="s">
        <v>372</v>
      </c>
      <c r="E7" s="525" t="s">
        <v>375</v>
      </c>
      <c r="F7" s="523" t="s">
        <v>372</v>
      </c>
      <c r="G7" s="525"/>
    </row>
    <row r="8" spans="1:7" ht="60" customHeight="1">
      <c r="A8" s="526"/>
      <c r="B8" s="527" t="s">
        <v>285</v>
      </c>
      <c r="C8" s="527"/>
      <c r="D8" s="830">
        <v>5</v>
      </c>
      <c r="E8" s="545">
        <v>4.34</v>
      </c>
      <c r="F8" s="546">
        <f>TRUNC(D8*E8,2)</f>
        <v>21.7</v>
      </c>
      <c r="G8" s="547"/>
    </row>
    <row r="9" spans="1:7" ht="60" customHeight="1">
      <c r="A9" s="531"/>
      <c r="B9" s="532"/>
      <c r="C9" s="532"/>
      <c r="D9" s="533"/>
      <c r="E9" s="534"/>
      <c r="F9" s="548"/>
      <c r="G9" s="536"/>
    </row>
    <row r="10" spans="1:7" ht="45" customHeight="1">
      <c r="A10" s="514"/>
      <c r="B10" s="515" t="s">
        <v>274</v>
      </c>
      <c r="C10" s="537"/>
      <c r="D10" s="538"/>
      <c r="E10" s="539"/>
      <c r="F10" s="549">
        <f>SUM(F8:F9)</f>
        <v>21.7</v>
      </c>
      <c r="G10" s="541"/>
    </row>
    <row r="11" spans="1:7" ht="30" customHeight="1">
      <c r="A11" s="502" t="s">
        <v>431</v>
      </c>
    </row>
    <row r="12" spans="1:7" ht="30" customHeight="1">
      <c r="A12" s="502" t="s">
        <v>376</v>
      </c>
    </row>
    <row r="13" spans="1:7" ht="30" customHeight="1">
      <c r="A13" s="542" t="s">
        <v>287</v>
      </c>
      <c r="B13" s="542"/>
      <c r="C13" s="543"/>
      <c r="D13" s="543"/>
      <c r="E13" s="544"/>
      <c r="F13" s="544"/>
      <c r="G13" s="54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3"/>
  <sheetViews>
    <sheetView showGridLines="0" showZeros="0" view="pageBreakPreview" zoomScaleNormal="75" workbookViewId="0">
      <selection activeCell="D8" sqref="D8"/>
    </sheetView>
  </sheetViews>
  <sheetFormatPr defaultColWidth="11.42578125" defaultRowHeight="12"/>
  <cols>
    <col min="1" max="1" width="3.7109375" style="502" customWidth="1"/>
    <col min="2" max="2" width="20.7109375" style="503" customWidth="1"/>
    <col min="3" max="3" width="3.7109375" style="502" customWidth="1"/>
    <col min="4" max="4" width="15.7109375" style="502" customWidth="1"/>
    <col min="5" max="6" width="15.7109375" style="503" customWidth="1"/>
    <col min="7" max="7" width="19.5703125" style="502" customWidth="1"/>
    <col min="8" max="9" width="11.42578125" style="502" customWidth="1"/>
    <col min="10" max="10" width="17" style="502" bestFit="1" customWidth="1"/>
    <col min="11" max="16384" width="11.42578125" style="502"/>
  </cols>
  <sheetData>
    <row r="1" spans="1:9" ht="20.100000000000001" customHeight="1">
      <c r="A1" s="502" t="s">
        <v>308</v>
      </c>
    </row>
    <row r="2" spans="1:9" ht="39.950000000000003" customHeight="1">
      <c r="A2" s="504" t="s">
        <v>288</v>
      </c>
      <c r="B2" s="505"/>
      <c r="C2" s="506"/>
      <c r="D2" s="506"/>
      <c r="E2" s="505"/>
      <c r="F2" s="505"/>
      <c r="G2" s="506"/>
      <c r="H2" s="507"/>
      <c r="I2" s="508"/>
    </row>
    <row r="3" spans="1:9" ht="20.100000000000001" customHeight="1">
      <c r="A3" s="506"/>
      <c r="B3" s="505"/>
      <c r="C3" s="505"/>
      <c r="D3" s="505"/>
      <c r="E3" s="509"/>
      <c r="F3" s="509"/>
      <c r="G3" s="509"/>
      <c r="H3" s="509"/>
      <c r="I3" s="508"/>
    </row>
    <row r="4" spans="1:9" ht="20.100000000000001" customHeight="1">
      <c r="A4" s="510"/>
      <c r="B4" s="511"/>
      <c r="C4" s="511"/>
      <c r="D4" s="511"/>
      <c r="E4" s="512"/>
      <c r="F4" s="512"/>
      <c r="G4" s="513"/>
      <c r="H4" s="512"/>
      <c r="I4" s="513"/>
    </row>
    <row r="5" spans="1:9" ht="50.1" customHeight="1">
      <c r="A5" s="514"/>
      <c r="B5" s="515" t="s">
        <v>273</v>
      </c>
      <c r="C5" s="516"/>
      <c r="D5" s="517" t="s">
        <v>367</v>
      </c>
      <c r="E5" s="518" t="s">
        <v>552</v>
      </c>
      <c r="F5" s="519" t="s">
        <v>289</v>
      </c>
      <c r="G5" s="520" t="s">
        <v>272</v>
      </c>
    </row>
    <row r="6" spans="1:9" ht="30" customHeight="1">
      <c r="A6" s="521"/>
      <c r="B6" s="505"/>
      <c r="C6" s="522"/>
      <c r="D6" s="523" t="s">
        <v>208</v>
      </c>
      <c r="E6" s="524" t="s">
        <v>246</v>
      </c>
      <c r="F6" s="509" t="s">
        <v>243</v>
      </c>
      <c r="G6" s="525"/>
    </row>
    <row r="7" spans="1:9" ht="30" customHeight="1">
      <c r="A7" s="521"/>
      <c r="B7" s="505"/>
      <c r="C7" s="522"/>
      <c r="D7" s="523" t="s">
        <v>372</v>
      </c>
      <c r="E7" s="524" t="s">
        <v>373</v>
      </c>
      <c r="F7" s="523" t="s">
        <v>372</v>
      </c>
      <c r="G7" s="525"/>
    </row>
    <row r="8" spans="1:9" ht="60" customHeight="1">
      <c r="A8" s="526"/>
      <c r="B8" s="527" t="s">
        <v>285</v>
      </c>
      <c r="C8" s="527"/>
      <c r="D8" s="528"/>
      <c r="E8" s="829">
        <v>1</v>
      </c>
      <c r="F8" s="530">
        <f>TRUNC(D8*E8,2)</f>
        <v>0</v>
      </c>
      <c r="G8" s="525"/>
    </row>
    <row r="9" spans="1:9" ht="60" customHeight="1">
      <c r="A9" s="531"/>
      <c r="B9" s="532"/>
      <c r="C9" s="532"/>
      <c r="D9" s="533"/>
      <c r="E9" s="534"/>
      <c r="F9" s="535"/>
      <c r="G9" s="536"/>
    </row>
    <row r="10" spans="1:9" ht="45" customHeight="1">
      <c r="A10" s="514"/>
      <c r="B10" s="515" t="s">
        <v>274</v>
      </c>
      <c r="C10" s="537"/>
      <c r="D10" s="538"/>
      <c r="E10" s="539"/>
      <c r="F10" s="540">
        <f>SUM(F8:F9)</f>
        <v>0</v>
      </c>
      <c r="G10" s="541"/>
    </row>
    <row r="11" spans="1:9" ht="30" customHeight="1">
      <c r="A11" s="502" t="s">
        <v>368</v>
      </c>
    </row>
    <row r="12" spans="1:9" ht="30" customHeight="1">
      <c r="A12" s="502" t="s">
        <v>553</v>
      </c>
    </row>
    <row r="13" spans="1:9" ht="30" customHeight="1">
      <c r="A13" s="542" t="s">
        <v>554</v>
      </c>
      <c r="B13" s="542"/>
      <c r="C13" s="543"/>
      <c r="D13" s="543"/>
      <c r="E13" s="544"/>
      <c r="F13" s="544"/>
      <c r="G13" s="544"/>
      <c r="H13" s="544"/>
      <c r="I13" s="54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I12"/>
  <sheetViews>
    <sheetView showGridLines="0" showZeros="0" view="pageBreakPreview" zoomScaleNormal="100" zoomScaleSheetLayoutView="100" workbookViewId="0">
      <selection activeCell="G12" sqref="G12"/>
    </sheetView>
  </sheetViews>
  <sheetFormatPr defaultRowHeight="12"/>
  <cols>
    <col min="1" max="1" width="5.7109375" style="467" customWidth="1"/>
    <col min="2" max="2" width="1.28515625" style="467" customWidth="1"/>
    <col min="3" max="3" width="12.7109375" style="467" customWidth="1"/>
    <col min="4" max="4" width="1.28515625" style="467" customWidth="1"/>
    <col min="5" max="5" width="29.7109375" style="461" customWidth="1"/>
    <col min="6" max="6" width="74.7109375" style="461" customWidth="1"/>
    <col min="7" max="7" width="44.140625" style="461" customWidth="1"/>
    <col min="8" max="8" width="9.140625" style="461"/>
    <col min="9" max="9" width="0" style="496" hidden="1" customWidth="1"/>
    <col min="10" max="16384" width="9.140625" style="461"/>
  </cols>
  <sheetData>
    <row r="1" spans="1:9" ht="20.100000000000001" customHeight="1">
      <c r="A1" s="419" t="s">
        <v>484</v>
      </c>
      <c r="B1" s="460"/>
      <c r="C1" s="460"/>
      <c r="D1" s="460"/>
    </row>
    <row r="2" spans="1:9" ht="39.950000000000003" customHeight="1">
      <c r="A2" s="463" t="s">
        <v>200</v>
      </c>
      <c r="B2" s="497"/>
      <c r="C2" s="497"/>
      <c r="D2" s="497"/>
      <c r="E2" s="498"/>
      <c r="F2" s="498"/>
      <c r="G2" s="498"/>
    </row>
    <row r="3" spans="1:9" ht="20.100000000000001" customHeight="1">
      <c r="A3" s="498"/>
      <c r="B3" s="497"/>
      <c r="C3" s="497"/>
      <c r="D3" s="497"/>
      <c r="E3" s="498"/>
      <c r="F3" s="498"/>
      <c r="G3" s="498"/>
    </row>
    <row r="4" spans="1:9" ht="20.100000000000001" customHeight="1"/>
    <row r="5" spans="1:9" ht="24.95" customHeight="1">
      <c r="A5" s="947" t="s">
        <v>193</v>
      </c>
      <c r="B5" s="941"/>
      <c r="C5" s="941"/>
      <c r="D5" s="948"/>
      <c r="E5" s="951" t="s">
        <v>194</v>
      </c>
      <c r="F5" s="953" t="s">
        <v>195</v>
      </c>
      <c r="G5" s="951" t="s">
        <v>196</v>
      </c>
    </row>
    <row r="6" spans="1:9" ht="24.95" customHeight="1">
      <c r="A6" s="949"/>
      <c r="B6" s="942"/>
      <c r="C6" s="942"/>
      <c r="D6" s="950"/>
      <c r="E6" s="952"/>
      <c r="F6" s="954"/>
      <c r="G6" s="952"/>
    </row>
    <row r="7" spans="1:9" ht="50.1" customHeight="1">
      <c r="A7" s="936" t="s">
        <v>197</v>
      </c>
      <c r="B7" s="960"/>
      <c r="C7" s="960"/>
      <c r="D7" s="937"/>
      <c r="E7" s="873" t="s">
        <v>617</v>
      </c>
      <c r="F7" s="873" t="s">
        <v>618</v>
      </c>
      <c r="G7" s="873" t="s">
        <v>619</v>
      </c>
      <c r="I7" s="657" t="e">
        <f>#REF!</f>
        <v>#REF!</v>
      </c>
    </row>
    <row r="8" spans="1:9" ht="50.1" customHeight="1">
      <c r="A8" s="958" t="s">
        <v>213</v>
      </c>
      <c r="B8" s="499"/>
      <c r="C8" s="500" t="s">
        <v>0</v>
      </c>
      <c r="D8" s="501"/>
      <c r="E8" s="875" t="s">
        <v>620</v>
      </c>
      <c r="F8" s="875" t="s">
        <v>621</v>
      </c>
      <c r="G8" s="875" t="s">
        <v>616</v>
      </c>
    </row>
    <row r="9" spans="1:9" ht="50.1" customHeight="1">
      <c r="A9" s="959"/>
      <c r="B9" s="499"/>
      <c r="C9" s="500" t="s">
        <v>214</v>
      </c>
      <c r="D9" s="501"/>
      <c r="E9" s="875" t="s">
        <v>622</v>
      </c>
      <c r="F9" s="875" t="s">
        <v>623</v>
      </c>
      <c r="G9" s="875" t="s">
        <v>624</v>
      </c>
    </row>
    <row r="10" spans="1:9" ht="50.1" customHeight="1">
      <c r="A10" s="959"/>
      <c r="B10" s="499"/>
      <c r="C10" s="500" t="s">
        <v>22</v>
      </c>
      <c r="D10" s="501"/>
      <c r="E10" s="875" t="s">
        <v>625</v>
      </c>
      <c r="F10" s="875" t="s">
        <v>626</v>
      </c>
      <c r="G10" s="875" t="s">
        <v>627</v>
      </c>
    </row>
    <row r="11" spans="1:9" ht="50.1" customHeight="1">
      <c r="A11" s="955" t="s">
        <v>198</v>
      </c>
      <c r="B11" s="956"/>
      <c r="C11" s="956"/>
      <c r="D11" s="957"/>
      <c r="E11" s="875" t="s">
        <v>628</v>
      </c>
      <c r="F11" s="875" t="s">
        <v>640</v>
      </c>
      <c r="G11" s="875" t="s">
        <v>644</v>
      </c>
    </row>
    <row r="12" spans="1:9" ht="50.1" customHeight="1">
      <c r="A12" s="955" t="s">
        <v>199</v>
      </c>
      <c r="B12" s="956"/>
      <c r="C12" s="956"/>
      <c r="D12" s="957"/>
      <c r="E12" s="874" t="s">
        <v>629</v>
      </c>
      <c r="F12" s="875" t="s">
        <v>630</v>
      </c>
      <c r="G12" s="875" t="s">
        <v>631</v>
      </c>
    </row>
  </sheetData>
  <mergeCells count="8">
    <mergeCell ref="A5:D6"/>
    <mergeCell ref="E5:E6"/>
    <mergeCell ref="F5:F6"/>
    <mergeCell ref="G5:G6"/>
    <mergeCell ref="A12:D12"/>
    <mergeCell ref="A8:A10"/>
    <mergeCell ref="A7:D7"/>
    <mergeCell ref="A11:D1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Footer>&amp;C-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J31"/>
  <sheetViews>
    <sheetView showGridLines="0" showZeros="0" view="pageBreakPreview" zoomScaleNormal="100" zoomScaleSheetLayoutView="100" workbookViewId="0">
      <selection activeCell="D28" sqref="D28"/>
    </sheetView>
  </sheetViews>
  <sheetFormatPr defaultRowHeight="12"/>
  <cols>
    <col min="1" max="1" width="3.7109375" style="614" customWidth="1"/>
    <col min="2" max="2" width="11.7109375" style="614" customWidth="1"/>
    <col min="3" max="3" width="0.85546875" style="614" customWidth="1"/>
    <col min="4" max="4" width="13.42578125" style="614" customWidth="1"/>
    <col min="5" max="5" width="8.85546875" style="614" customWidth="1"/>
    <col min="6" max="6" width="5.7109375" style="616" customWidth="1"/>
    <col min="7" max="7" width="0.85546875" style="616" customWidth="1"/>
    <col min="8" max="8" width="37.7109375" style="616" customWidth="1"/>
    <col min="9" max="9" width="0.85546875" style="616" customWidth="1"/>
    <col min="10" max="10" width="20.7109375" style="616" customWidth="1"/>
    <col min="11" max="16384" width="9.140625" style="616"/>
  </cols>
  <sheetData>
    <row r="1" spans="1:10" ht="20.100000000000001" customHeight="1">
      <c r="A1" s="615" t="s">
        <v>485</v>
      </c>
      <c r="B1" s="615"/>
    </row>
    <row r="2" spans="1:10" s="619" customFormat="1" ht="39.950000000000003" customHeight="1">
      <c r="A2" s="617" t="s">
        <v>60</v>
      </c>
      <c r="B2" s="617"/>
      <c r="C2" s="618"/>
      <c r="D2" s="618"/>
      <c r="E2" s="618"/>
      <c r="F2" s="617"/>
      <c r="G2" s="617"/>
      <c r="H2" s="617"/>
      <c r="I2" s="617"/>
      <c r="J2" s="617"/>
    </row>
    <row r="3" spans="1:10" s="619" customFormat="1" ht="15" customHeight="1">
      <c r="A3" s="617"/>
      <c r="B3" s="617"/>
      <c r="C3" s="618"/>
      <c r="D3" s="618"/>
      <c r="E3" s="618"/>
      <c r="F3" s="617"/>
      <c r="G3" s="617"/>
      <c r="H3" s="617"/>
      <c r="I3" s="617"/>
      <c r="J3" s="617"/>
    </row>
    <row r="4" spans="1:10" ht="20.100000000000001" customHeight="1"/>
    <row r="5" spans="1:10" ht="39.950000000000003" customHeight="1">
      <c r="A5" s="620" t="s">
        <v>61</v>
      </c>
      <c r="B5" s="621"/>
      <c r="C5" s="622" t="s">
        <v>179</v>
      </c>
      <c r="D5" s="623"/>
      <c r="E5" s="624"/>
      <c r="F5" s="622" t="s">
        <v>236</v>
      </c>
      <c r="G5" s="622" t="s">
        <v>62</v>
      </c>
      <c r="H5" s="624"/>
      <c r="I5" s="623" t="s">
        <v>235</v>
      </c>
      <c r="J5" s="624"/>
    </row>
    <row r="6" spans="1:10" s="614" customFormat="1" ht="21.95" hidden="1" customHeight="1">
      <c r="A6" s="625"/>
      <c r="B6" s="626"/>
      <c r="C6" s="627"/>
      <c r="D6" s="628"/>
      <c r="E6" s="629"/>
      <c r="F6" s="630"/>
      <c r="G6" s="630"/>
      <c r="H6" s="631"/>
      <c r="I6" s="632"/>
      <c r="J6" s="633"/>
    </row>
    <row r="7" spans="1:10" s="614" customFormat="1" ht="21.95" hidden="1" customHeight="1">
      <c r="A7" s="605"/>
      <c r="B7" s="606"/>
      <c r="C7" s="607"/>
      <c r="D7" s="608"/>
      <c r="E7" s="609"/>
      <c r="F7" s="610"/>
      <c r="G7" s="610"/>
      <c r="H7" s="611"/>
      <c r="I7" s="612"/>
      <c r="J7" s="827"/>
    </row>
    <row r="8" spans="1:10" s="614" customFormat="1" ht="21.95" hidden="1" customHeight="1">
      <c r="A8" s="605"/>
      <c r="B8" s="606"/>
      <c r="C8" s="607"/>
      <c r="D8" s="608"/>
      <c r="E8" s="609"/>
      <c r="F8" s="610"/>
      <c r="G8" s="610"/>
      <c r="H8" s="611"/>
      <c r="I8" s="612"/>
      <c r="J8" s="613"/>
    </row>
    <row r="9" spans="1:10" s="614" customFormat="1" ht="21.95" hidden="1" customHeight="1">
      <c r="A9" s="605"/>
      <c r="B9" s="606"/>
      <c r="C9" s="607"/>
      <c r="D9" s="608"/>
      <c r="E9" s="609"/>
      <c r="F9" s="610"/>
      <c r="G9" s="610"/>
      <c r="H9" s="826"/>
      <c r="I9" s="612"/>
      <c r="J9" s="827"/>
    </row>
    <row r="10" spans="1:10" s="614" customFormat="1" ht="21.95" hidden="1" customHeight="1">
      <c r="A10" s="625"/>
      <c r="B10" s="626"/>
      <c r="C10" s="627"/>
      <c r="D10" s="628"/>
      <c r="E10" s="629"/>
      <c r="F10" s="630"/>
      <c r="G10" s="630"/>
      <c r="H10" s="634"/>
      <c r="I10" s="632"/>
      <c r="J10" s="633"/>
    </row>
    <row r="11" spans="1:10" s="614" customFormat="1" ht="21.95" hidden="1" customHeight="1">
      <c r="A11" s="605"/>
      <c r="B11" s="606"/>
      <c r="C11" s="607"/>
      <c r="D11" s="635"/>
      <c r="E11" s="609"/>
      <c r="F11" s="610"/>
      <c r="G11" s="610"/>
      <c r="H11" s="611"/>
      <c r="I11" s="612"/>
      <c r="J11" s="613"/>
    </row>
    <row r="12" spans="1:10" s="614" customFormat="1" ht="21.95" hidden="1" customHeight="1">
      <c r="A12" s="605"/>
      <c r="B12" s="606"/>
      <c r="C12" s="607"/>
      <c r="D12" s="635"/>
      <c r="E12" s="609"/>
      <c r="F12" s="610"/>
      <c r="G12" s="610"/>
      <c r="H12" s="611"/>
      <c r="I12" s="612"/>
      <c r="J12" s="613"/>
    </row>
    <row r="13" spans="1:10" s="614" customFormat="1" ht="21.95" hidden="1" customHeight="1">
      <c r="A13" s="605"/>
      <c r="B13" s="606"/>
      <c r="C13" s="607"/>
      <c r="D13" s="635"/>
      <c r="E13" s="609"/>
      <c r="F13" s="610"/>
      <c r="G13" s="610"/>
      <c r="H13" s="611"/>
      <c r="I13" s="612"/>
      <c r="J13" s="636"/>
    </row>
    <row r="14" spans="1:10" s="614" customFormat="1" ht="21.95" hidden="1" customHeight="1">
      <c r="A14" s="605"/>
      <c r="B14" s="606"/>
      <c r="C14" s="607"/>
      <c r="D14" s="635"/>
      <c r="E14" s="609"/>
      <c r="F14" s="610"/>
      <c r="G14" s="610"/>
      <c r="H14" s="611"/>
      <c r="I14" s="612"/>
      <c r="J14" s="613"/>
    </row>
    <row r="15" spans="1:10" s="614" customFormat="1" ht="21.95" hidden="1" customHeight="1">
      <c r="A15" s="605"/>
      <c r="B15" s="606"/>
      <c r="C15" s="607"/>
      <c r="D15" s="635"/>
      <c r="E15" s="609"/>
      <c r="F15" s="610"/>
      <c r="G15" s="610"/>
      <c r="H15" s="611"/>
      <c r="I15" s="612"/>
      <c r="J15" s="636"/>
    </row>
    <row r="16" spans="1:10" s="614" customFormat="1" ht="21.95" hidden="1" customHeight="1">
      <c r="A16" s="637"/>
      <c r="B16" s="638"/>
      <c r="C16" s="639"/>
      <c r="D16" s="640"/>
      <c r="E16" s="641"/>
      <c r="F16" s="642"/>
      <c r="G16" s="642"/>
      <c r="H16" s="643"/>
      <c r="I16" s="644"/>
      <c r="J16" s="645"/>
    </row>
    <row r="17" spans="1:10" s="614" customFormat="1" ht="21.95" hidden="1" customHeight="1">
      <c r="A17" s="646"/>
      <c r="B17" s="606"/>
      <c r="C17" s="607"/>
      <c r="D17" s="635"/>
      <c r="E17" s="609"/>
      <c r="F17" s="610"/>
      <c r="G17" s="610"/>
      <c r="H17" s="611"/>
      <c r="I17" s="612"/>
      <c r="J17" s="613"/>
    </row>
    <row r="18" spans="1:10" s="614" customFormat="1" ht="21.95" hidden="1" customHeight="1">
      <c r="A18" s="605"/>
      <c r="B18" s="606"/>
      <c r="C18" s="607"/>
      <c r="D18" s="635"/>
      <c r="E18" s="609"/>
      <c r="F18" s="610"/>
      <c r="G18" s="610"/>
      <c r="H18" s="611"/>
      <c r="I18" s="612"/>
      <c r="J18" s="613"/>
    </row>
    <row r="19" spans="1:10" s="614" customFormat="1" ht="21.95" hidden="1" customHeight="1">
      <c r="A19" s="605"/>
      <c r="B19" s="606"/>
      <c r="C19" s="607"/>
      <c r="D19" s="635"/>
      <c r="E19" s="609"/>
      <c r="F19" s="610"/>
      <c r="G19" s="610"/>
      <c r="H19" s="611"/>
      <c r="I19" s="612"/>
      <c r="J19" s="613"/>
    </row>
    <row r="20" spans="1:10" s="614" customFormat="1" ht="21.95" hidden="1" customHeight="1">
      <c r="A20" s="605"/>
      <c r="B20" s="606"/>
      <c r="C20" s="607"/>
      <c r="D20" s="635"/>
      <c r="E20" s="609"/>
      <c r="F20" s="610"/>
      <c r="G20" s="610"/>
      <c r="H20" s="611"/>
      <c r="I20" s="612"/>
      <c r="J20" s="636"/>
    </row>
    <row r="21" spans="1:10" s="614" customFormat="1" ht="21.95" hidden="1" customHeight="1">
      <c r="A21" s="605"/>
      <c r="B21" s="606"/>
      <c r="C21" s="607"/>
      <c r="D21" s="635"/>
      <c r="E21" s="609"/>
      <c r="F21" s="610"/>
      <c r="G21" s="610"/>
      <c r="H21" s="611"/>
      <c r="I21" s="612"/>
      <c r="J21" s="636"/>
    </row>
    <row r="22" spans="1:10" s="614" customFormat="1" ht="21.95" hidden="1" customHeight="1">
      <c r="A22" s="637"/>
      <c r="B22" s="638"/>
      <c r="C22" s="639"/>
      <c r="D22" s="640"/>
      <c r="E22" s="641"/>
      <c r="F22" s="642"/>
      <c r="G22" s="642"/>
      <c r="H22" s="643"/>
      <c r="I22" s="644"/>
      <c r="J22" s="645"/>
    </row>
    <row r="23" spans="1:10" s="614" customFormat="1" ht="21.95" hidden="1" customHeight="1">
      <c r="A23" s="625"/>
      <c r="B23" s="626"/>
      <c r="C23" s="627"/>
      <c r="D23" s="628"/>
      <c r="E23" s="629"/>
      <c r="F23" s="630"/>
      <c r="G23" s="630"/>
      <c r="H23" s="634"/>
      <c r="I23" s="632"/>
      <c r="J23" s="647"/>
    </row>
    <row r="24" spans="1:10" s="614" customFormat="1" ht="21.95" hidden="1" customHeight="1">
      <c r="A24" s="637"/>
      <c r="B24" s="638"/>
      <c r="C24" s="639"/>
      <c r="D24" s="640"/>
      <c r="E24" s="641"/>
      <c r="F24" s="642"/>
      <c r="G24" s="642"/>
      <c r="H24" s="643"/>
      <c r="I24" s="644"/>
      <c r="J24" s="648"/>
    </row>
    <row r="25" spans="1:10" s="614" customFormat="1" ht="21.95" customHeight="1">
      <c r="A25" s="834" t="s">
        <v>569</v>
      </c>
      <c r="B25" s="836" t="s">
        <v>571</v>
      </c>
      <c r="C25" s="627"/>
      <c r="D25" s="628"/>
      <c r="E25" s="629"/>
      <c r="F25" s="630"/>
      <c r="G25" s="630"/>
      <c r="H25" s="634"/>
      <c r="I25" s="632"/>
      <c r="J25" s="647"/>
    </row>
    <row r="26" spans="1:10" s="614" customFormat="1" ht="21.95" customHeight="1">
      <c r="A26" s="637"/>
      <c r="B26" s="837" t="s">
        <v>572</v>
      </c>
      <c r="C26" s="639"/>
      <c r="D26" s="640" t="str">
        <f>월기본급!F17</f>
        <v>전기기능사</v>
      </c>
      <c r="E26" s="641"/>
      <c r="F26" s="642">
        <v>1</v>
      </c>
      <c r="G26" s="642"/>
      <c r="H26" s="839" t="s">
        <v>575</v>
      </c>
      <c r="I26" s="644"/>
      <c r="J26" s="840" t="s">
        <v>585</v>
      </c>
    </row>
    <row r="27" spans="1:10" s="614" customFormat="1" ht="21.95" customHeight="1">
      <c r="A27" s="835" t="s">
        <v>570</v>
      </c>
      <c r="B27" s="838" t="s">
        <v>573</v>
      </c>
      <c r="C27" s="607"/>
      <c r="D27" s="635"/>
      <c r="E27" s="609"/>
      <c r="F27" s="610"/>
      <c r="G27" s="610"/>
      <c r="H27" s="611"/>
      <c r="I27" s="612"/>
      <c r="J27" s="613"/>
    </row>
    <row r="28" spans="1:10" s="614" customFormat="1" ht="21.95" customHeight="1">
      <c r="A28" s="646"/>
      <c r="B28" s="838" t="s">
        <v>574</v>
      </c>
      <c r="C28" s="607"/>
      <c r="D28" s="635" t="str">
        <f>월기본급!F18</f>
        <v>단순노무종사원</v>
      </c>
      <c r="E28" s="609"/>
      <c r="F28" s="610">
        <v>2</v>
      </c>
      <c r="G28" s="610"/>
      <c r="H28" s="826" t="s">
        <v>576</v>
      </c>
      <c r="I28" s="612"/>
      <c r="J28" s="613" t="s">
        <v>524</v>
      </c>
    </row>
    <row r="29" spans="1:10" s="614" customFormat="1" ht="21.95" customHeight="1">
      <c r="A29" s="605"/>
      <c r="B29" s="838" t="s">
        <v>578</v>
      </c>
      <c r="C29" s="607"/>
      <c r="D29" s="635" t="str">
        <f>월기본급!F19</f>
        <v>단순노무종사원</v>
      </c>
      <c r="E29" s="609"/>
      <c r="F29" s="610">
        <v>1</v>
      </c>
      <c r="G29" s="610"/>
      <c r="H29" s="826" t="s">
        <v>577</v>
      </c>
      <c r="I29" s="612"/>
      <c r="J29" s="613" t="s">
        <v>384</v>
      </c>
    </row>
    <row r="30" spans="1:10" ht="21.95" customHeight="1">
      <c r="A30" s="649" t="s">
        <v>63</v>
      </c>
      <c r="B30" s="650"/>
      <c r="C30" s="649"/>
      <c r="D30" s="651"/>
      <c r="E30" s="650"/>
      <c r="F30" s="652">
        <f>SUM(F7:F29)</f>
        <v>4</v>
      </c>
      <c r="G30" s="652"/>
      <c r="H30" s="653"/>
      <c r="I30" s="654"/>
      <c r="J30" s="655"/>
    </row>
    <row r="31" spans="1:10" ht="22.5" customHeight="1">
      <c r="A31" s="656" t="s">
        <v>385</v>
      </c>
      <c r="B31" s="656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8" firstPageNumber="51" orientation="portrait" r:id="rId1"/>
  <headerFooter alignWithMargins="0">
    <oddFooter>&amp;C-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showGridLines="0" showZeros="0" view="pageBreakPreview" zoomScale="85" zoomScaleNormal="60" zoomScaleSheetLayoutView="85" workbookViewId="0">
      <selection activeCell="E1" sqref="E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78" t="s">
        <v>499</v>
      </c>
      <c r="D5" s="878"/>
    </row>
    <row r="6" spans="1:4" ht="31.5" customHeight="1">
      <c r="A6" s="94"/>
      <c r="B6" s="95"/>
      <c r="C6" s="96"/>
      <c r="D6" s="99"/>
    </row>
    <row r="7" spans="1:4" ht="31.5" customHeight="1">
      <c r="A7" s="94"/>
      <c r="B7" s="95"/>
      <c r="C7" s="100" t="s">
        <v>446</v>
      </c>
      <c r="D7" s="101" t="str">
        <f>경비집계표!A2</f>
        <v>경비집계표</v>
      </c>
    </row>
    <row r="8" spans="1:4" ht="31.5" customHeight="1">
      <c r="A8" s="94"/>
      <c r="B8" s="95"/>
      <c r="C8" s="100" t="s">
        <v>447</v>
      </c>
      <c r="D8" s="101" t="str">
        <f>보험료!A2</f>
        <v>보험료산출표</v>
      </c>
    </row>
    <row r="9" spans="1:4" ht="31.5" customHeight="1">
      <c r="A9" s="94"/>
      <c r="B9" s="95"/>
      <c r="C9" s="100" t="s">
        <v>448</v>
      </c>
      <c r="D9" s="101" t="str">
        <f>보험료산출기준!A2</f>
        <v>경비산정기준표</v>
      </c>
    </row>
    <row r="10" spans="1:4" ht="31.5" customHeight="1">
      <c r="A10" s="94"/>
      <c r="B10" s="95"/>
      <c r="C10" s="100" t="s">
        <v>449</v>
      </c>
      <c r="D10" s="101" t="str">
        <f>산재비율!A2</f>
        <v>산업재해보상보험요율</v>
      </c>
    </row>
    <row r="11" spans="1:4" ht="31.5" customHeight="1">
      <c r="A11" s="94"/>
      <c r="B11" s="95"/>
      <c r="C11" s="100" t="s">
        <v>450</v>
      </c>
      <c r="D11" s="101" t="str">
        <f>복리후생비!A2</f>
        <v>복리후생비집계표</v>
      </c>
    </row>
    <row r="12" spans="1:4" ht="31.5" customHeight="1">
      <c r="A12" s="94"/>
      <c r="B12" s="95"/>
      <c r="C12" s="100" t="s">
        <v>451</v>
      </c>
      <c r="D12" s="101" t="str">
        <f>식대!A2</f>
        <v>식비산출표</v>
      </c>
    </row>
    <row r="13" spans="1:4" ht="31.5" customHeight="1">
      <c r="A13" s="94"/>
      <c r="B13" s="95"/>
      <c r="C13" s="100" t="s">
        <v>452</v>
      </c>
      <c r="D13" s="101" t="str">
        <f>체력단련비!A2</f>
        <v>체력단련비산출표</v>
      </c>
    </row>
    <row r="14" spans="1:4" ht="31.5" customHeight="1">
      <c r="A14" s="94"/>
      <c r="B14" s="95"/>
      <c r="C14" s="100" t="s">
        <v>453</v>
      </c>
      <c r="D14" s="101" t="str">
        <f>피복비!A2</f>
        <v>피복비산출표</v>
      </c>
    </row>
    <row r="15" spans="1:4" ht="31.5" customHeight="1">
      <c r="A15" s="94"/>
      <c r="B15" s="95"/>
      <c r="C15" s="100" t="s">
        <v>454</v>
      </c>
      <c r="D15" s="101" t="str">
        <f>사업소세!A2</f>
        <v>사업소세산출표</v>
      </c>
    </row>
    <row r="16" spans="1:4" ht="31.5" customHeight="1">
      <c r="A16" s="94"/>
      <c r="B16" s="95"/>
      <c r="C16" s="100" t="s">
        <v>455</v>
      </c>
      <c r="D16" s="101" t="str">
        <f>교육비!A2</f>
        <v>교육비산출표</v>
      </c>
    </row>
    <row r="17" spans="1:4" ht="31.5" customHeight="1">
      <c r="A17" s="94"/>
      <c r="B17" s="95"/>
      <c r="C17" s="100"/>
      <c r="D17" s="101"/>
    </row>
    <row r="18" spans="1:4" ht="39.75" customHeight="1">
      <c r="A18" s="94"/>
      <c r="B18" s="95"/>
      <c r="C18" s="100"/>
      <c r="D18" s="101"/>
    </row>
    <row r="19" spans="1:4" ht="31.5" customHeight="1">
      <c r="A19" s="94"/>
      <c r="B19" s="95"/>
      <c r="C19" s="100"/>
      <c r="D19" s="101"/>
    </row>
    <row r="20" spans="1:4" ht="31.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41" orientation="portrait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D22"/>
  <sheetViews>
    <sheetView showGridLines="0" showZeros="0" view="pageBreakPreview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77" t="s">
        <v>588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78" t="s">
        <v>434</v>
      </c>
      <c r="D8" s="878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useFirstPageNumber="1" r:id="rId1"/>
  <headerFooter alignWithMargins="0">
    <oddFooter>&amp;C&amp;"바탕체,보통"&amp;10-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I72"/>
  <sheetViews>
    <sheetView showGridLines="0" showZeros="0" view="pageBreakPreview" topLeftCell="C49" zoomScaleNormal="100" workbookViewId="0">
      <selection activeCell="E57" sqref="E57"/>
    </sheetView>
  </sheetViews>
  <sheetFormatPr defaultColWidth="10.28515625" defaultRowHeight="34.15" customHeight="1"/>
  <cols>
    <col min="1" max="1" width="5.7109375" style="783" customWidth="1"/>
    <col min="2" max="2" width="1.7109375" style="782" customWidth="1"/>
    <col min="3" max="3" width="20.7109375" style="782" customWidth="1"/>
    <col min="4" max="4" width="1.7109375" style="782" customWidth="1"/>
    <col min="5" max="8" width="13.7109375" style="783" customWidth="1"/>
    <col min="9" max="9" width="10.5703125" style="783" customWidth="1"/>
    <col min="10" max="10" width="26.28515625" style="782" customWidth="1"/>
    <col min="11" max="16384" width="10.28515625" style="782"/>
  </cols>
  <sheetData>
    <row r="1" spans="1:9" ht="20.100000000000001" customHeight="1">
      <c r="A1" s="782" t="s">
        <v>486</v>
      </c>
    </row>
    <row r="2" spans="1:9" s="786" customFormat="1" ht="39.950000000000003" customHeight="1">
      <c r="A2" s="784" t="s">
        <v>64</v>
      </c>
      <c r="B2" s="784"/>
      <c r="C2" s="784"/>
      <c r="D2" s="784"/>
      <c r="E2" s="785"/>
      <c r="F2" s="785"/>
      <c r="G2" s="785"/>
      <c r="H2" s="785"/>
      <c r="I2" s="785"/>
    </row>
    <row r="3" spans="1:9" ht="20.100000000000001" customHeight="1">
      <c r="A3" s="787"/>
      <c r="B3" s="788"/>
      <c r="C3" s="788"/>
      <c r="D3" s="788"/>
      <c r="E3" s="787"/>
      <c r="F3" s="787"/>
      <c r="G3" s="787"/>
      <c r="H3" s="787"/>
      <c r="I3" s="787"/>
    </row>
    <row r="4" spans="1:9" ht="20.100000000000001" customHeight="1">
      <c r="A4" s="787"/>
      <c r="C4" s="788"/>
      <c r="D4" s="789"/>
      <c r="E4" s="787"/>
      <c r="F4" s="787"/>
      <c r="G4" s="787"/>
      <c r="H4" s="787"/>
      <c r="I4" s="790" t="s">
        <v>33</v>
      </c>
    </row>
    <row r="5" spans="1:9" ht="24.95" customHeight="1">
      <c r="A5" s="969" t="s">
        <v>65</v>
      </c>
      <c r="B5" s="970"/>
      <c r="C5" s="970"/>
      <c r="D5" s="971"/>
      <c r="E5" s="791">
        <f>인집!B6</f>
        <v>0</v>
      </c>
      <c r="F5" s="791">
        <f>인집!B7</f>
        <v>0</v>
      </c>
      <c r="G5" s="791">
        <f>인집!B8</f>
        <v>0</v>
      </c>
      <c r="H5" s="791">
        <f>인집!B9</f>
        <v>0</v>
      </c>
      <c r="I5" s="975" t="s">
        <v>247</v>
      </c>
    </row>
    <row r="6" spans="1:9" ht="24.95" customHeight="1">
      <c r="A6" s="972"/>
      <c r="B6" s="973"/>
      <c r="C6" s="973"/>
      <c r="D6" s="974"/>
      <c r="E6" s="792" t="str">
        <f>"("&amp;인집!E6&amp;")"</f>
        <v>(0)</v>
      </c>
      <c r="F6" s="792" t="str">
        <f>"("&amp;인집!E7&amp;")"</f>
        <v>(0)</v>
      </c>
      <c r="G6" s="792" t="str">
        <f>"("&amp;인집!E8&amp;")"</f>
        <v>(0)</v>
      </c>
      <c r="H6" s="792" t="str">
        <f>"("&amp;인집!E9&amp;")"</f>
        <v>(0)</v>
      </c>
      <c r="I6" s="976"/>
    </row>
    <row r="7" spans="1:9" ht="30" customHeight="1">
      <c r="A7" s="961" t="s">
        <v>277</v>
      </c>
      <c r="B7" s="793"/>
      <c r="C7" s="794" t="s">
        <v>27</v>
      </c>
      <c r="D7" s="795"/>
      <c r="E7" s="796">
        <f>보험료!I9</f>
        <v>0</v>
      </c>
      <c r="F7" s="796">
        <f>보험료!I29</f>
        <v>0</v>
      </c>
      <c r="G7" s="796">
        <f>보험료!I50</f>
        <v>0</v>
      </c>
      <c r="H7" s="796">
        <f>보험료!I71</f>
        <v>0</v>
      </c>
      <c r="I7" s="797" t="s">
        <v>67</v>
      </c>
    </row>
    <row r="8" spans="1:9" ht="30" customHeight="1">
      <c r="A8" s="962"/>
      <c r="B8" s="793"/>
      <c r="C8" s="794" t="s">
        <v>78</v>
      </c>
      <c r="D8" s="795"/>
      <c r="E8" s="796">
        <f>보험료!I10</f>
        <v>0</v>
      </c>
      <c r="F8" s="796">
        <f>보험료!I30</f>
        <v>0</v>
      </c>
      <c r="G8" s="796">
        <f>보험료!I51</f>
        <v>0</v>
      </c>
      <c r="H8" s="796">
        <f>보험료!I72</f>
        <v>0</v>
      </c>
      <c r="I8" s="798"/>
    </row>
    <row r="9" spans="1:9" ht="30" customHeight="1">
      <c r="A9" s="962"/>
      <c r="B9" s="793"/>
      <c r="C9" s="794" t="s">
        <v>201</v>
      </c>
      <c r="D9" s="795"/>
      <c r="E9" s="796">
        <f>보험료!I11</f>
        <v>0</v>
      </c>
      <c r="F9" s="796">
        <f>보험료!I31</f>
        <v>0</v>
      </c>
      <c r="G9" s="796">
        <f>보험료!I52</f>
        <v>0</v>
      </c>
      <c r="H9" s="796">
        <f>보험료!I73</f>
        <v>0</v>
      </c>
      <c r="I9" s="798"/>
    </row>
    <row r="10" spans="1:9" ht="30" customHeight="1">
      <c r="A10" s="962"/>
      <c r="B10" s="793"/>
      <c r="C10" s="794" t="s">
        <v>80</v>
      </c>
      <c r="D10" s="795"/>
      <c r="E10" s="796">
        <f>보험료!I12</f>
        <v>0</v>
      </c>
      <c r="F10" s="796">
        <f>보험료!I32</f>
        <v>0</v>
      </c>
      <c r="G10" s="796">
        <f>보험료!I53</f>
        <v>0</v>
      </c>
      <c r="H10" s="796">
        <f>보험료!I74</f>
        <v>0</v>
      </c>
      <c r="I10" s="798"/>
    </row>
    <row r="11" spans="1:9" ht="30" customHeight="1">
      <c r="A11" s="962"/>
      <c r="B11" s="793"/>
      <c r="C11" s="794" t="s">
        <v>237</v>
      </c>
      <c r="D11" s="795"/>
      <c r="E11" s="796">
        <f>보험료!I13</f>
        <v>0</v>
      </c>
      <c r="F11" s="796">
        <f>보험료!I33</f>
        <v>0</v>
      </c>
      <c r="G11" s="796">
        <f>보험료!I54</f>
        <v>0</v>
      </c>
      <c r="H11" s="796">
        <f>보험료!I75</f>
        <v>0</v>
      </c>
      <c r="I11" s="798"/>
    </row>
    <row r="12" spans="1:9" ht="30" customHeight="1">
      <c r="A12" s="962"/>
      <c r="B12" s="793"/>
      <c r="C12" s="794" t="s">
        <v>81</v>
      </c>
      <c r="D12" s="795"/>
      <c r="E12" s="796">
        <f>보험료!I14</f>
        <v>0</v>
      </c>
      <c r="F12" s="796">
        <f>보험료!I34</f>
        <v>0</v>
      </c>
      <c r="G12" s="796">
        <f>보험료!I55</f>
        <v>0</v>
      </c>
      <c r="H12" s="796">
        <f>보험료!I76</f>
        <v>0</v>
      </c>
      <c r="I12" s="799"/>
    </row>
    <row r="13" spans="1:9" ht="30" customHeight="1">
      <c r="A13" s="963"/>
      <c r="B13" s="793"/>
      <c r="C13" s="800" t="s">
        <v>2</v>
      </c>
      <c r="D13" s="795"/>
      <c r="E13" s="796">
        <f>SUM(E7:E12)</f>
        <v>0</v>
      </c>
      <c r="F13" s="796">
        <f>SUM(F7:F12)</f>
        <v>0</v>
      </c>
      <c r="G13" s="796">
        <f>SUM(G7:G12)</f>
        <v>0</v>
      </c>
      <c r="H13" s="796">
        <f>SUM(H7:H12)</f>
        <v>0</v>
      </c>
      <c r="I13" s="798"/>
    </row>
    <row r="14" spans="1:9" ht="30" customHeight="1">
      <c r="A14" s="961" t="s">
        <v>68</v>
      </c>
      <c r="B14" s="801"/>
      <c r="C14" s="794" t="s">
        <v>69</v>
      </c>
      <c r="D14" s="795"/>
      <c r="E14" s="796">
        <f>복리후생비!G7</f>
        <v>0</v>
      </c>
      <c r="F14" s="796">
        <f>복리후생비!G8</f>
        <v>0</v>
      </c>
      <c r="G14" s="796">
        <f>복리후생비!G9</f>
        <v>0</v>
      </c>
      <c r="H14" s="796">
        <f>복리후생비!G10</f>
        <v>0</v>
      </c>
      <c r="I14" s="802" t="s">
        <v>70</v>
      </c>
    </row>
    <row r="15" spans="1:9" ht="30" customHeight="1">
      <c r="A15" s="962"/>
      <c r="B15" s="801"/>
      <c r="C15" s="794" t="s">
        <v>463</v>
      </c>
      <c r="D15" s="795"/>
      <c r="E15" s="796">
        <f>복리후생비!J7</f>
        <v>0</v>
      </c>
      <c r="F15" s="796">
        <f>복리후생비!J8</f>
        <v>0</v>
      </c>
      <c r="G15" s="796">
        <f>복리후생비!J9</f>
        <v>0</v>
      </c>
      <c r="H15" s="796">
        <f>복리후생비!J10</f>
        <v>0</v>
      </c>
      <c r="I15" s="803"/>
    </row>
    <row r="16" spans="1:9" ht="30" customHeight="1">
      <c r="A16" s="962"/>
      <c r="B16" s="801"/>
      <c r="C16" s="794" t="s">
        <v>459</v>
      </c>
      <c r="D16" s="795"/>
      <c r="E16" s="796">
        <f>복리후생비!K7</f>
        <v>0</v>
      </c>
      <c r="F16" s="796">
        <f>복리후생비!K8</f>
        <v>0</v>
      </c>
      <c r="G16" s="796">
        <f>복리후생비!K9</f>
        <v>0</v>
      </c>
      <c r="H16" s="796">
        <f>복리후생비!K10</f>
        <v>0</v>
      </c>
      <c r="I16" s="803"/>
    </row>
    <row r="17" spans="1:9" ht="30" customHeight="1">
      <c r="A17" s="963"/>
      <c r="B17" s="801"/>
      <c r="C17" s="800" t="s">
        <v>2</v>
      </c>
      <c r="D17" s="795"/>
      <c r="E17" s="796">
        <f>SUM(E14:E16)</f>
        <v>0</v>
      </c>
      <c r="F17" s="796">
        <f>SUM(F14:F16)</f>
        <v>0</v>
      </c>
      <c r="G17" s="796">
        <f>SUM(G14:G16)</f>
        <v>0</v>
      </c>
      <c r="H17" s="796">
        <f>SUM(H14:H16)</f>
        <v>0</v>
      </c>
      <c r="I17" s="799"/>
    </row>
    <row r="18" spans="1:9" ht="30" customHeight="1">
      <c r="A18" s="964" t="s">
        <v>238</v>
      </c>
      <c r="B18" s="967"/>
      <c r="C18" s="967"/>
      <c r="D18" s="968"/>
      <c r="E18" s="796">
        <f>사업소세!J8</f>
        <v>0</v>
      </c>
      <c r="F18" s="796">
        <f>사업소세!J9</f>
        <v>0</v>
      </c>
      <c r="G18" s="796">
        <f>사업소세!J10</f>
        <v>0</v>
      </c>
      <c r="H18" s="796">
        <f>사업소세!J11</f>
        <v>0</v>
      </c>
      <c r="I18" s="799" t="s">
        <v>215</v>
      </c>
    </row>
    <row r="19" spans="1:9" ht="30" customHeight="1">
      <c r="A19" s="964" t="s">
        <v>259</v>
      </c>
      <c r="B19" s="967"/>
      <c r="C19" s="967"/>
      <c r="D19" s="968"/>
      <c r="E19" s="796">
        <f>교육비!J7</f>
        <v>0</v>
      </c>
      <c r="F19" s="796">
        <f>교육비!J8</f>
        <v>0</v>
      </c>
      <c r="G19" s="796">
        <f>교육비!J9</f>
        <v>0</v>
      </c>
      <c r="H19" s="796">
        <f>교육비!J10</f>
        <v>0</v>
      </c>
      <c r="I19" s="799" t="s">
        <v>12</v>
      </c>
    </row>
    <row r="20" spans="1:9" ht="39.950000000000003" customHeight="1">
      <c r="A20" s="804" t="s">
        <v>178</v>
      </c>
      <c r="B20" s="793"/>
      <c r="C20" s="801"/>
      <c r="D20" s="795"/>
      <c r="E20" s="796">
        <f>SUM(E13,E17,E18,E19)</f>
        <v>0</v>
      </c>
      <c r="F20" s="796">
        <f>SUM(F13,F17,F18,F19)</f>
        <v>0</v>
      </c>
      <c r="G20" s="796">
        <f>SUM(G13,G17,G18,G19)</f>
        <v>0</v>
      </c>
      <c r="H20" s="796">
        <f>SUM(H13,H17,H18,H19)</f>
        <v>0</v>
      </c>
      <c r="I20" s="805"/>
    </row>
    <row r="21" spans="1:9" ht="24.95" customHeight="1">
      <c r="A21" s="806" t="str">
        <f>"주 1) 보험료 : "&amp;보험료!$A$1&amp;보험료!$A$2&amp;" 참조"</f>
        <v>주 1) 보험료 : &lt; 표 : 12 &gt; 보험료산출표 참조</v>
      </c>
    </row>
    <row r="22" spans="1:9" ht="24.95" customHeight="1">
      <c r="A22" s="806" t="str">
        <f>"   2) 복리후생비 : "&amp;복리후생비!$A$1&amp;복리후생비!$A$2&amp;" 참조"</f>
        <v xml:space="preserve">   2) 복리후생비 : &lt; 표 : 15 &gt; 복리후생비집계표 참조</v>
      </c>
    </row>
    <row r="23" spans="1:9" ht="24.95" customHeight="1">
      <c r="A23" s="806" t="str">
        <f>"   3) 사업소세 : "&amp;사업소세!$A$1&amp;사업소세!$A$2&amp;" 참조"</f>
        <v xml:space="preserve">   3) 사업소세 : &lt; 표 : 19 &gt; 사업소세산출표 참조</v>
      </c>
    </row>
    <row r="24" spans="1:9" ht="24.95" customHeight="1">
      <c r="A24" s="806" t="str">
        <f>"   4) 교육비 : "&amp;교육비!$A$1&amp;교육비!$A$2&amp;" 참조"</f>
        <v xml:space="preserve">   4) 교육비 : &lt; 표 : 20 &gt; 교육비산출표 참조</v>
      </c>
    </row>
    <row r="25" spans="1:9" ht="20.100000000000001" customHeight="1">
      <c r="A25" s="782"/>
    </row>
    <row r="26" spans="1:9" s="786" customFormat="1" ht="39.950000000000003" customHeight="1">
      <c r="A26" s="784" t="s">
        <v>64</v>
      </c>
      <c r="B26" s="784"/>
      <c r="C26" s="784"/>
      <c r="D26" s="784"/>
      <c r="E26" s="785"/>
      <c r="F26" s="785"/>
      <c r="G26" s="785"/>
      <c r="H26" s="785"/>
      <c r="I26" s="785"/>
    </row>
    <row r="27" spans="1:9" ht="20.100000000000001" customHeight="1">
      <c r="A27" s="787"/>
      <c r="B27" s="788"/>
      <c r="C27" s="788"/>
      <c r="D27" s="788"/>
      <c r="E27" s="787"/>
      <c r="F27" s="787"/>
      <c r="G27" s="787"/>
      <c r="H27" s="787"/>
      <c r="I27" s="787"/>
    </row>
    <row r="28" spans="1:9" ht="20.100000000000001" customHeight="1">
      <c r="A28" s="787"/>
      <c r="C28" s="788"/>
      <c r="D28" s="789"/>
      <c r="E28" s="787"/>
      <c r="F28" s="787"/>
      <c r="G28" s="787"/>
      <c r="H28" s="787"/>
      <c r="I28" s="790" t="s">
        <v>33</v>
      </c>
    </row>
    <row r="29" spans="1:9" ht="24.95" customHeight="1">
      <c r="A29" s="969" t="s">
        <v>65</v>
      </c>
      <c r="B29" s="970"/>
      <c r="C29" s="970"/>
      <c r="D29" s="971"/>
      <c r="E29" s="791">
        <f>인집!B10</f>
        <v>0</v>
      </c>
      <c r="F29" s="791">
        <f>인집!B11</f>
        <v>0</v>
      </c>
      <c r="G29" s="791">
        <f>인집!B12</f>
        <v>0</v>
      </c>
      <c r="H29" s="791">
        <f>인집!B13</f>
        <v>0</v>
      </c>
      <c r="I29" s="975" t="s">
        <v>247</v>
      </c>
    </row>
    <row r="30" spans="1:9" ht="24.95" customHeight="1">
      <c r="A30" s="972"/>
      <c r="B30" s="973"/>
      <c r="C30" s="973"/>
      <c r="D30" s="974"/>
      <c r="E30" s="792" t="str">
        <f>"("&amp;인집!E10&amp;")"</f>
        <v>(0)</v>
      </c>
      <c r="F30" s="792" t="str">
        <f>"("&amp;인집!E11&amp;")"</f>
        <v>(0)</v>
      </c>
      <c r="G30" s="792" t="str">
        <f>"("&amp;인집!E12&amp;")"</f>
        <v>(0)</v>
      </c>
      <c r="H30" s="792" t="str">
        <f>"("&amp;인집!E13&amp;")"</f>
        <v>(0)</v>
      </c>
      <c r="I30" s="976"/>
    </row>
    <row r="31" spans="1:9" ht="30" customHeight="1">
      <c r="A31" s="961" t="s">
        <v>66</v>
      </c>
      <c r="B31" s="793"/>
      <c r="C31" s="794" t="s">
        <v>27</v>
      </c>
      <c r="D31" s="795"/>
      <c r="E31" s="796">
        <f>보험료!I92</f>
        <v>0</v>
      </c>
      <c r="F31" s="796">
        <f>보험료!I113</f>
        <v>0</v>
      </c>
      <c r="G31" s="796">
        <f>보험료!I134</f>
        <v>0</v>
      </c>
      <c r="H31" s="796">
        <f>보험료!I155</f>
        <v>0</v>
      </c>
      <c r="I31" s="797" t="s">
        <v>67</v>
      </c>
    </row>
    <row r="32" spans="1:9" ht="30" customHeight="1">
      <c r="A32" s="962"/>
      <c r="B32" s="793"/>
      <c r="C32" s="794" t="s">
        <v>78</v>
      </c>
      <c r="D32" s="795"/>
      <c r="E32" s="796">
        <f>보험료!I93</f>
        <v>0</v>
      </c>
      <c r="F32" s="796">
        <f>보험료!I114</f>
        <v>0</v>
      </c>
      <c r="G32" s="796">
        <f>보험료!I135</f>
        <v>0</v>
      </c>
      <c r="H32" s="796">
        <f>보험료!I156</f>
        <v>0</v>
      </c>
      <c r="I32" s="798"/>
    </row>
    <row r="33" spans="1:9" ht="30" customHeight="1">
      <c r="A33" s="962"/>
      <c r="B33" s="793"/>
      <c r="C33" s="794" t="s">
        <v>201</v>
      </c>
      <c r="D33" s="795"/>
      <c r="E33" s="796">
        <f>보험료!I94</f>
        <v>0</v>
      </c>
      <c r="F33" s="796">
        <f>보험료!I115</f>
        <v>0</v>
      </c>
      <c r="G33" s="796">
        <f>보험료!I136</f>
        <v>0</v>
      </c>
      <c r="H33" s="796">
        <f>보험료!I157</f>
        <v>0</v>
      </c>
      <c r="I33" s="798"/>
    </row>
    <row r="34" spans="1:9" ht="30" customHeight="1">
      <c r="A34" s="962"/>
      <c r="B34" s="793"/>
      <c r="C34" s="794" t="s">
        <v>80</v>
      </c>
      <c r="D34" s="795"/>
      <c r="E34" s="796">
        <f>보험료!I95</f>
        <v>0</v>
      </c>
      <c r="F34" s="796">
        <f>보험료!I116</f>
        <v>0</v>
      </c>
      <c r="G34" s="796">
        <f>보험료!I137</f>
        <v>0</v>
      </c>
      <c r="H34" s="796">
        <f>보험료!I158</f>
        <v>0</v>
      </c>
      <c r="I34" s="798"/>
    </row>
    <row r="35" spans="1:9" ht="30" customHeight="1">
      <c r="A35" s="962"/>
      <c r="B35" s="793"/>
      <c r="C35" s="794" t="s">
        <v>237</v>
      </c>
      <c r="D35" s="795"/>
      <c r="E35" s="796">
        <f>보험료!I96</f>
        <v>0</v>
      </c>
      <c r="F35" s="796">
        <f>보험료!I117</f>
        <v>0</v>
      </c>
      <c r="G35" s="796">
        <f>보험료!I138</f>
        <v>0</v>
      </c>
      <c r="H35" s="796">
        <f>보험료!I159</f>
        <v>0</v>
      </c>
      <c r="I35" s="798"/>
    </row>
    <row r="36" spans="1:9" ht="30" customHeight="1">
      <c r="A36" s="962"/>
      <c r="B36" s="793"/>
      <c r="C36" s="794" t="s">
        <v>81</v>
      </c>
      <c r="D36" s="795"/>
      <c r="E36" s="796">
        <f>보험료!I97</f>
        <v>0</v>
      </c>
      <c r="F36" s="796">
        <f>보험료!I118</f>
        <v>0</v>
      </c>
      <c r="G36" s="796">
        <f>보험료!I139</f>
        <v>0</v>
      </c>
      <c r="H36" s="796">
        <f>보험료!I160</f>
        <v>0</v>
      </c>
      <c r="I36" s="799"/>
    </row>
    <row r="37" spans="1:9" ht="30" customHeight="1">
      <c r="A37" s="963"/>
      <c r="B37" s="793"/>
      <c r="C37" s="800" t="s">
        <v>2</v>
      </c>
      <c r="D37" s="795"/>
      <c r="E37" s="796">
        <f>SUM(E31:E36)</f>
        <v>0</v>
      </c>
      <c r="F37" s="796">
        <f>SUM(F31:F36)</f>
        <v>0</v>
      </c>
      <c r="G37" s="796">
        <f>SUM(G31:G36)</f>
        <v>0</v>
      </c>
      <c r="H37" s="796">
        <f>SUM(H31:H36)</f>
        <v>0</v>
      </c>
      <c r="I37" s="798"/>
    </row>
    <row r="38" spans="1:9" ht="30" customHeight="1">
      <c r="A38" s="961" t="s">
        <v>68</v>
      </c>
      <c r="B38" s="801"/>
      <c r="C38" s="794" t="s">
        <v>69</v>
      </c>
      <c r="D38" s="795"/>
      <c r="E38" s="796">
        <f>복리후생비!G11</f>
        <v>0</v>
      </c>
      <c r="F38" s="796">
        <f>복리후생비!G12</f>
        <v>0</v>
      </c>
      <c r="G38" s="796">
        <f>복리후생비!G13</f>
        <v>0</v>
      </c>
      <c r="H38" s="796">
        <f>복리후생비!G14</f>
        <v>0</v>
      </c>
      <c r="I38" s="797" t="s">
        <v>70</v>
      </c>
    </row>
    <row r="39" spans="1:9" ht="30" customHeight="1">
      <c r="A39" s="962"/>
      <c r="B39" s="801"/>
      <c r="C39" s="794" t="s">
        <v>463</v>
      </c>
      <c r="D39" s="795"/>
      <c r="E39" s="796">
        <f>복리후생비!J11</f>
        <v>0</v>
      </c>
      <c r="F39" s="796">
        <f>복리후생비!J12</f>
        <v>0</v>
      </c>
      <c r="G39" s="796">
        <f>복리후생비!J13</f>
        <v>0</v>
      </c>
      <c r="H39" s="796">
        <f>복리후생비!J14</f>
        <v>0</v>
      </c>
      <c r="I39" s="803"/>
    </row>
    <row r="40" spans="1:9" ht="30" customHeight="1">
      <c r="A40" s="962"/>
      <c r="B40" s="801"/>
      <c r="C40" s="794" t="s">
        <v>459</v>
      </c>
      <c r="D40" s="795"/>
      <c r="E40" s="796">
        <f>복리후생비!K11</f>
        <v>0</v>
      </c>
      <c r="F40" s="796">
        <f>복리후생비!K12</f>
        <v>0</v>
      </c>
      <c r="G40" s="796">
        <f>복리후생비!K13</f>
        <v>0</v>
      </c>
      <c r="H40" s="796">
        <f>복리후생비!K14</f>
        <v>0</v>
      </c>
      <c r="I40" s="798"/>
    </row>
    <row r="41" spans="1:9" ht="30" customHeight="1">
      <c r="A41" s="963"/>
      <c r="B41" s="801"/>
      <c r="C41" s="800" t="s">
        <v>2</v>
      </c>
      <c r="D41" s="795"/>
      <c r="E41" s="796">
        <f>SUM(E38:E40)</f>
        <v>0</v>
      </c>
      <c r="F41" s="796">
        <f>SUM(F38:F40)</f>
        <v>0</v>
      </c>
      <c r="G41" s="796">
        <f>SUM(G38:G40)</f>
        <v>0</v>
      </c>
      <c r="H41" s="796">
        <f>SUM(H38:H40)</f>
        <v>0</v>
      </c>
      <c r="I41" s="799"/>
    </row>
    <row r="42" spans="1:9" ht="30" customHeight="1">
      <c r="A42" s="964" t="s">
        <v>238</v>
      </c>
      <c r="B42" s="965"/>
      <c r="C42" s="965"/>
      <c r="D42" s="966"/>
      <c r="E42" s="796">
        <f>사업소세!J12</f>
        <v>0</v>
      </c>
      <c r="F42" s="796">
        <f>사업소세!J13</f>
        <v>0</v>
      </c>
      <c r="G42" s="796">
        <f>사업소세!J14</f>
        <v>0</v>
      </c>
      <c r="H42" s="796">
        <f>사업소세!J15</f>
        <v>0</v>
      </c>
      <c r="I42" s="799" t="s">
        <v>215</v>
      </c>
    </row>
    <row r="43" spans="1:9" ht="30" customHeight="1">
      <c r="A43" s="964" t="s">
        <v>259</v>
      </c>
      <c r="B43" s="967"/>
      <c r="C43" s="967"/>
      <c r="D43" s="968"/>
      <c r="E43" s="796">
        <f>교육비!J11</f>
        <v>0</v>
      </c>
      <c r="F43" s="796">
        <f>교육비!J12</f>
        <v>0</v>
      </c>
      <c r="G43" s="796">
        <f>교육비!J13</f>
        <v>0</v>
      </c>
      <c r="H43" s="796">
        <f>교육비!J14</f>
        <v>0</v>
      </c>
      <c r="I43" s="799" t="s">
        <v>12</v>
      </c>
    </row>
    <row r="44" spans="1:9" ht="39.950000000000003" customHeight="1">
      <c r="A44" s="804" t="s">
        <v>178</v>
      </c>
      <c r="B44" s="793"/>
      <c r="C44" s="801"/>
      <c r="D44" s="795"/>
      <c r="E44" s="796">
        <f>SUM(E37,E41,E42,E43)</f>
        <v>0</v>
      </c>
      <c r="F44" s="796">
        <f>SUM(F37,F41,F42,F43)</f>
        <v>0</v>
      </c>
      <c r="G44" s="796">
        <f>SUM(G37,G41,G42,G43)</f>
        <v>0</v>
      </c>
      <c r="H44" s="796">
        <f>SUM(H37,H41,H42,H43)</f>
        <v>0</v>
      </c>
      <c r="I44" s="805"/>
    </row>
    <row r="45" spans="1:9" ht="24.95" customHeight="1">
      <c r="A45" s="806" t="str">
        <f>"주 1) 보험료 : "&amp;보험료!$A$1&amp;보험료!$A$2&amp;" 참조"</f>
        <v>주 1) 보험료 : &lt; 표 : 12 &gt; 보험료산출표 참조</v>
      </c>
    </row>
    <row r="46" spans="1:9" ht="24.95" customHeight="1">
      <c r="A46" s="806" t="str">
        <f>"   2) 복리후생비 : "&amp;복리후생비!$A$1&amp;복리후생비!$A$2&amp;" 참조"</f>
        <v xml:space="preserve">   2) 복리후생비 : &lt; 표 : 15 &gt; 복리후생비집계표 참조</v>
      </c>
    </row>
    <row r="47" spans="1:9" ht="24.95" customHeight="1">
      <c r="A47" s="806" t="str">
        <f>"   3) 사업소세 : "&amp;사업소세!$A$1&amp;사업소세!$A$2&amp;" 참조"</f>
        <v xml:space="preserve">   3) 사업소세 : &lt; 표 : 19 &gt; 사업소세산출표 참조</v>
      </c>
    </row>
    <row r="48" spans="1:9" ht="24.95" customHeight="1">
      <c r="A48" s="806" t="str">
        <f>"   4) 교육비 : "&amp;교육비!$A$1&amp;교육비!$A$2&amp;" 참조"</f>
        <v xml:space="preserve">   4) 교육비 : &lt; 표 : 20 &gt; 교육비산출표 참조</v>
      </c>
    </row>
    <row r="49" spans="1:9" ht="20.100000000000001" customHeight="1">
      <c r="A49" s="782"/>
    </row>
    <row r="50" spans="1:9" s="786" customFormat="1" ht="39.950000000000003" customHeight="1">
      <c r="A50" s="784" t="s">
        <v>64</v>
      </c>
      <c r="B50" s="784"/>
      <c r="C50" s="784"/>
      <c r="D50" s="784"/>
      <c r="E50" s="785"/>
      <c r="F50" s="785"/>
      <c r="G50" s="785"/>
      <c r="H50" s="785"/>
      <c r="I50" s="785"/>
    </row>
    <row r="51" spans="1:9" ht="20.100000000000001" customHeight="1">
      <c r="A51" s="787"/>
      <c r="B51" s="788"/>
      <c r="C51" s="788"/>
      <c r="D51" s="788"/>
      <c r="E51" s="787"/>
      <c r="F51" s="787"/>
      <c r="G51" s="787"/>
      <c r="H51" s="787"/>
      <c r="I51" s="787"/>
    </row>
    <row r="52" spans="1:9" ht="20.100000000000001" customHeight="1">
      <c r="A52" s="787"/>
      <c r="C52" s="788"/>
      <c r="D52" s="789"/>
      <c r="E52" s="787"/>
      <c r="F52" s="787"/>
      <c r="G52" s="787"/>
      <c r="H52" s="787"/>
      <c r="I52" s="790" t="s">
        <v>33</v>
      </c>
    </row>
    <row r="53" spans="1:9" ht="24.95" customHeight="1">
      <c r="A53" s="969" t="s">
        <v>65</v>
      </c>
      <c r="B53" s="970"/>
      <c r="C53" s="970"/>
      <c r="D53" s="971"/>
      <c r="E53" s="791" t="str">
        <f>인집!B14</f>
        <v>다산홀운영</v>
      </c>
      <c r="F53" s="791" t="str">
        <f>인집!B15</f>
        <v>운 전 원</v>
      </c>
      <c r="G53" s="791" t="str">
        <f>인집!B16</f>
        <v>사무보조원</v>
      </c>
      <c r="H53" s="791"/>
      <c r="I53" s="975" t="s">
        <v>247</v>
      </c>
    </row>
    <row r="54" spans="1:9" ht="24.95" customHeight="1">
      <c r="A54" s="972"/>
      <c r="B54" s="973"/>
      <c r="C54" s="973"/>
      <c r="D54" s="974"/>
      <c r="E54" s="792" t="str">
        <f>"("&amp;인집!E14&amp;")"</f>
        <v>(전기기능사)</v>
      </c>
      <c r="F54" s="792" t="str">
        <f>"("&amp;인집!E15&amp;")"</f>
        <v>(단순노무종사원)</v>
      </c>
      <c r="G54" s="792" t="str">
        <f>"("&amp;인집!E16&amp;")"</f>
        <v>(단순노무종사원)</v>
      </c>
      <c r="H54" s="792"/>
      <c r="I54" s="976"/>
    </row>
    <row r="55" spans="1:9" ht="30" customHeight="1">
      <c r="A55" s="961" t="s">
        <v>66</v>
      </c>
      <c r="B55" s="793"/>
      <c r="C55" s="794" t="s">
        <v>27</v>
      </c>
      <c r="D55" s="795"/>
      <c r="E55" s="796">
        <f>보험료!I176</f>
        <v>48825</v>
      </c>
      <c r="F55" s="796">
        <f>보험료!I197</f>
        <v>44613</v>
      </c>
      <c r="G55" s="796">
        <f>보험료!I218</f>
        <v>36147</v>
      </c>
      <c r="H55" s="796"/>
      <c r="I55" s="797" t="s">
        <v>67</v>
      </c>
    </row>
    <row r="56" spans="1:9" ht="30" customHeight="1">
      <c r="A56" s="962"/>
      <c r="B56" s="793"/>
      <c r="C56" s="794" t="s">
        <v>78</v>
      </c>
      <c r="D56" s="795"/>
      <c r="E56" s="796">
        <f>보험료!I177</f>
        <v>129243</v>
      </c>
      <c r="F56" s="796">
        <f>보험료!I198</f>
        <v>118094</v>
      </c>
      <c r="G56" s="796">
        <f>보험료!I219</f>
        <v>95683</v>
      </c>
      <c r="H56" s="796"/>
      <c r="I56" s="798"/>
    </row>
    <row r="57" spans="1:9" ht="30" customHeight="1">
      <c r="A57" s="962"/>
      <c r="B57" s="793"/>
      <c r="C57" s="794" t="s">
        <v>201</v>
      </c>
      <c r="D57" s="795"/>
      <c r="E57" s="796">
        <f>보험료!I178</f>
        <v>25848</v>
      </c>
      <c r="F57" s="796">
        <f>보험료!I199</f>
        <v>23618</v>
      </c>
      <c r="G57" s="796">
        <f>보험료!I220</f>
        <v>19136</v>
      </c>
      <c r="H57" s="796"/>
      <c r="I57" s="798"/>
    </row>
    <row r="58" spans="1:9" ht="30" customHeight="1">
      <c r="A58" s="962"/>
      <c r="B58" s="793"/>
      <c r="C58" s="794" t="s">
        <v>80</v>
      </c>
      <c r="D58" s="795"/>
      <c r="E58" s="796">
        <f>보험료!I179</f>
        <v>87167</v>
      </c>
      <c r="F58" s="796">
        <f>보험료!I200</f>
        <v>79648</v>
      </c>
      <c r="G58" s="796">
        <f>보험료!I221</f>
        <v>64533</v>
      </c>
      <c r="H58" s="796"/>
      <c r="I58" s="798"/>
    </row>
    <row r="59" spans="1:9" ht="30" customHeight="1">
      <c r="A59" s="962"/>
      <c r="B59" s="793"/>
      <c r="C59" s="794" t="s">
        <v>237</v>
      </c>
      <c r="D59" s="795"/>
      <c r="E59" s="796">
        <f>보험료!I180</f>
        <v>5709</v>
      </c>
      <c r="F59" s="796">
        <f>보험료!I201</f>
        <v>5216</v>
      </c>
      <c r="G59" s="796">
        <f>보험료!I222</f>
        <v>4226</v>
      </c>
      <c r="H59" s="796"/>
      <c r="I59" s="798"/>
    </row>
    <row r="60" spans="1:9" ht="30" customHeight="1">
      <c r="A60" s="962"/>
      <c r="B60" s="793"/>
      <c r="C60" s="794" t="s">
        <v>81</v>
      </c>
      <c r="D60" s="795"/>
      <c r="E60" s="796">
        <f>보험료!I181</f>
        <v>2297</v>
      </c>
      <c r="F60" s="796">
        <f>보험료!I202</f>
        <v>2099</v>
      </c>
      <c r="G60" s="796">
        <f>보험료!I223</f>
        <v>1701</v>
      </c>
      <c r="H60" s="796"/>
      <c r="I60" s="799"/>
    </row>
    <row r="61" spans="1:9" ht="30" customHeight="1">
      <c r="A61" s="963"/>
      <c r="B61" s="793"/>
      <c r="C61" s="800" t="s">
        <v>2</v>
      </c>
      <c r="D61" s="795"/>
      <c r="E61" s="796">
        <f>SUM(E55:E60)</f>
        <v>299089</v>
      </c>
      <c r="F61" s="796">
        <f>SUM(F55:F60)</f>
        <v>273288</v>
      </c>
      <c r="G61" s="796">
        <f>SUM(G55:G60)</f>
        <v>221426</v>
      </c>
      <c r="H61" s="796"/>
      <c r="I61" s="798"/>
    </row>
    <row r="62" spans="1:9" ht="30" customHeight="1">
      <c r="A62" s="961" t="s">
        <v>68</v>
      </c>
      <c r="B62" s="801"/>
      <c r="C62" s="794" t="s">
        <v>69</v>
      </c>
      <c r="D62" s="795"/>
      <c r="E62" s="796">
        <f>복리후생비!I15</f>
        <v>0</v>
      </c>
      <c r="F62" s="796">
        <f>복리후생비!I16</f>
        <v>0</v>
      </c>
      <c r="G62" s="796">
        <f>복리후생비!I17</f>
        <v>0</v>
      </c>
      <c r="H62" s="796"/>
      <c r="I62" s="797" t="s">
        <v>70</v>
      </c>
    </row>
    <row r="63" spans="1:9" ht="30" customHeight="1">
      <c r="A63" s="962"/>
      <c r="B63" s="801"/>
      <c r="C63" s="794" t="s">
        <v>463</v>
      </c>
      <c r="D63" s="795"/>
      <c r="E63" s="796">
        <f>복리후생비!J15</f>
        <v>0</v>
      </c>
      <c r="F63" s="796">
        <f>복리후생비!J16</f>
        <v>0</v>
      </c>
      <c r="G63" s="796">
        <f>복리후생비!J17</f>
        <v>0</v>
      </c>
      <c r="H63" s="796">
        <f>복리후생비!J40</f>
        <v>0</v>
      </c>
      <c r="I63" s="803"/>
    </row>
    <row r="64" spans="1:9" ht="30" customHeight="1">
      <c r="A64" s="962"/>
      <c r="B64" s="801"/>
      <c r="C64" s="794" t="s">
        <v>459</v>
      </c>
      <c r="D64" s="795"/>
      <c r="E64" s="796">
        <f>복리후생비!K15</f>
        <v>0</v>
      </c>
      <c r="F64" s="796">
        <f>복리후생비!K16</f>
        <v>0</v>
      </c>
      <c r="G64" s="796">
        <f>복리후생비!K17</f>
        <v>0</v>
      </c>
      <c r="H64" s="796"/>
      <c r="I64" s="798"/>
    </row>
    <row r="65" spans="1:9" ht="30" customHeight="1">
      <c r="A65" s="963"/>
      <c r="B65" s="801"/>
      <c r="C65" s="800" t="s">
        <v>2</v>
      </c>
      <c r="D65" s="795"/>
      <c r="E65" s="796">
        <f>SUM(E62:E64)</f>
        <v>0</v>
      </c>
      <c r="F65" s="796">
        <f>SUM(F62:F64)</f>
        <v>0</v>
      </c>
      <c r="G65" s="796">
        <f>SUM(G62:G64)</f>
        <v>0</v>
      </c>
      <c r="H65" s="796"/>
      <c r="I65" s="799"/>
    </row>
    <row r="66" spans="1:9" ht="30" customHeight="1">
      <c r="A66" s="964" t="s">
        <v>238</v>
      </c>
      <c r="B66" s="965"/>
      <c r="C66" s="965"/>
      <c r="D66" s="966"/>
      <c r="E66" s="796">
        <f>사업소세!J16</f>
        <v>14360</v>
      </c>
      <c r="F66" s="796">
        <f>사업소세!J17</f>
        <v>13121</v>
      </c>
      <c r="G66" s="796">
        <f>사업소세!J18</f>
        <v>10631</v>
      </c>
      <c r="H66" s="796"/>
      <c r="I66" s="799" t="s">
        <v>215</v>
      </c>
    </row>
    <row r="67" spans="1:9" ht="30" customHeight="1">
      <c r="A67" s="964" t="s">
        <v>259</v>
      </c>
      <c r="B67" s="967"/>
      <c r="C67" s="967"/>
      <c r="D67" s="968"/>
      <c r="E67" s="796">
        <f>교육비!J15</f>
        <v>0</v>
      </c>
      <c r="F67" s="796">
        <f>교육비!J16</f>
        <v>0</v>
      </c>
      <c r="G67" s="796">
        <f>교육비!J17</f>
        <v>0</v>
      </c>
      <c r="H67" s="796"/>
      <c r="I67" s="799" t="s">
        <v>12</v>
      </c>
    </row>
    <row r="68" spans="1:9" ht="39.950000000000003" customHeight="1">
      <c r="A68" s="804" t="s">
        <v>178</v>
      </c>
      <c r="B68" s="793"/>
      <c r="C68" s="801"/>
      <c r="D68" s="795"/>
      <c r="E68" s="796">
        <f>SUM(E61,E65,E66,E67)</f>
        <v>313449</v>
      </c>
      <c r="F68" s="796">
        <f>SUM(F61,F65,F66,F67)</f>
        <v>286409</v>
      </c>
      <c r="G68" s="796">
        <f>SUM(G61,G65,G66,G67)</f>
        <v>232057</v>
      </c>
      <c r="H68" s="796"/>
      <c r="I68" s="805"/>
    </row>
    <row r="69" spans="1:9" ht="24.95" customHeight="1">
      <c r="A69" s="806" t="str">
        <f>"주 1) 보험료 : "&amp;보험료!$A$1&amp;보험료!$A$2&amp;" 참조"</f>
        <v>주 1) 보험료 : &lt; 표 : 12 &gt; 보험료산출표 참조</v>
      </c>
    </row>
    <row r="70" spans="1:9" ht="24.95" customHeight="1">
      <c r="A70" s="806" t="str">
        <f>"   2) 복리후생비 : "&amp;복리후생비!$A$1&amp;복리후생비!$A$2&amp;" 참조"</f>
        <v xml:space="preserve">   2) 복리후생비 : &lt; 표 : 15 &gt; 복리후생비집계표 참조</v>
      </c>
    </row>
    <row r="71" spans="1:9" ht="24.95" customHeight="1">
      <c r="A71" s="806" t="str">
        <f>"   3) 사업소세 : "&amp;사업소세!$A$1&amp;사업소세!$A$2&amp;" 참조"</f>
        <v xml:space="preserve">   3) 사업소세 : &lt; 표 : 19 &gt; 사업소세산출표 참조</v>
      </c>
    </row>
    <row r="72" spans="1:9" ht="24.95" customHeight="1">
      <c r="A72" s="806" t="str">
        <f>"   4) 교육비 : "&amp;교육비!$A$1&amp;교육비!$A$2&amp;" 참조"</f>
        <v xml:space="preserve">   4) 교육비 : &lt; 표 : 20 &gt; 교육비산출표 참조</v>
      </c>
    </row>
  </sheetData>
  <mergeCells count="18">
    <mergeCell ref="A5:D6"/>
    <mergeCell ref="A19:D19"/>
    <mergeCell ref="I53:I54"/>
    <mergeCell ref="A43:D43"/>
    <mergeCell ref="A55:A61"/>
    <mergeCell ref="I5:I6"/>
    <mergeCell ref="A29:D30"/>
    <mergeCell ref="I29:I30"/>
    <mergeCell ref="A31:A37"/>
    <mergeCell ref="A14:A17"/>
    <mergeCell ref="A7:A13"/>
    <mergeCell ref="A18:D18"/>
    <mergeCell ref="A62:A65"/>
    <mergeCell ref="A66:D66"/>
    <mergeCell ref="A67:D67"/>
    <mergeCell ref="A38:A41"/>
    <mergeCell ref="A42:D42"/>
    <mergeCell ref="A53:D5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3" orientation="portrait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J233"/>
  <sheetViews>
    <sheetView showGridLines="0" showZeros="0" view="pageBreakPreview" topLeftCell="A171" zoomScaleNormal="100" zoomScaleSheetLayoutView="100" workbookViewId="0">
      <selection activeCell="H222" sqref="H222"/>
    </sheetView>
  </sheetViews>
  <sheetFormatPr defaultRowHeight="12"/>
  <cols>
    <col min="1" max="1" width="1.7109375" style="695" customWidth="1"/>
    <col min="2" max="2" width="19.7109375" style="695" customWidth="1"/>
    <col min="3" max="3" width="1.7109375" style="695" customWidth="1"/>
    <col min="4" max="4" width="11.7109375" style="740" customWidth="1"/>
    <col min="5" max="5" width="11.7109375" style="690" customWidth="1"/>
    <col min="6" max="6" width="9.7109375" style="690" customWidth="1"/>
    <col min="7" max="7" width="11.7109375" style="690" customWidth="1"/>
    <col min="8" max="8" width="7.7109375" style="690" customWidth="1"/>
    <col min="9" max="9" width="10.7109375" style="690" customWidth="1"/>
    <col min="10" max="10" width="9" style="614" customWidth="1"/>
    <col min="11" max="16384" width="9.140625" style="616"/>
  </cols>
  <sheetData>
    <row r="1" spans="1:10" ht="20.100000000000001" hidden="1" customHeight="1">
      <c r="A1" s="615" t="s">
        <v>487</v>
      </c>
      <c r="B1" s="741"/>
      <c r="C1" s="741"/>
      <c r="D1" s="615"/>
    </row>
    <row r="2" spans="1:10" s="619" customFormat="1" ht="39.950000000000003" hidden="1" customHeight="1">
      <c r="A2" s="617" t="s">
        <v>211</v>
      </c>
      <c r="B2" s="742"/>
      <c r="C2" s="742"/>
      <c r="D2" s="743"/>
      <c r="E2" s="744"/>
      <c r="F2" s="745"/>
      <c r="G2" s="744"/>
      <c r="H2" s="744"/>
      <c r="I2" s="744"/>
      <c r="J2" s="618"/>
    </row>
    <row r="3" spans="1:10" s="619" customFormat="1" ht="20.100000000000001" hidden="1" customHeight="1">
      <c r="A3" s="742"/>
      <c r="B3" s="742"/>
      <c r="C3" s="742"/>
      <c r="D3" s="743"/>
      <c r="E3" s="744"/>
      <c r="F3" s="745"/>
      <c r="G3" s="744"/>
      <c r="H3" s="744"/>
      <c r="I3" s="744"/>
      <c r="J3" s="618"/>
    </row>
    <row r="4" spans="1:10" ht="20.100000000000001" hidden="1" customHeight="1">
      <c r="A4" s="656" t="str">
        <f>원가!A4</f>
        <v xml:space="preserve">구 분 :                        직종명 : </v>
      </c>
      <c r="C4" s="612"/>
      <c r="D4" s="656"/>
      <c r="I4" s="661"/>
      <c r="J4" s="661" t="s">
        <v>36</v>
      </c>
    </row>
    <row r="5" spans="1:10" ht="24.95" hidden="1" customHeight="1">
      <c r="A5" s="979" t="s">
        <v>71</v>
      </c>
      <c r="B5" s="980"/>
      <c r="C5" s="981"/>
      <c r="D5" s="931" t="s">
        <v>72</v>
      </c>
      <c r="E5" s="985"/>
      <c r="F5" s="985"/>
      <c r="G5" s="932"/>
      <c r="H5" s="986" t="s">
        <v>206</v>
      </c>
      <c r="I5" s="988" t="s">
        <v>73</v>
      </c>
      <c r="J5" s="977" t="s">
        <v>74</v>
      </c>
    </row>
    <row r="6" spans="1:10" ht="24.95" hidden="1" customHeight="1">
      <c r="A6" s="982"/>
      <c r="B6" s="983"/>
      <c r="C6" s="984"/>
      <c r="D6" s="707" t="s">
        <v>75</v>
      </c>
      <c r="E6" s="708" t="s">
        <v>76</v>
      </c>
      <c r="F6" s="708" t="s">
        <v>77</v>
      </c>
      <c r="G6" s="708" t="s">
        <v>55</v>
      </c>
      <c r="H6" s="987"/>
      <c r="I6" s="989"/>
      <c r="J6" s="978"/>
    </row>
    <row r="7" spans="1:10" ht="20.100000000000001" hidden="1" customHeight="1">
      <c r="A7" s="630"/>
      <c r="B7" s="703"/>
      <c r="C7" s="704"/>
      <c r="D7" s="706"/>
      <c r="E7" s="705"/>
      <c r="F7" s="705"/>
      <c r="G7" s="629"/>
      <c r="H7" s="709"/>
      <c r="I7" s="705"/>
      <c r="J7" s="706"/>
    </row>
    <row r="8" spans="1:10" ht="39.950000000000003" hidden="1" customHeight="1">
      <c r="A8" s="610"/>
      <c r="B8" s="614"/>
      <c r="C8" s="710"/>
      <c r="D8" s="711"/>
      <c r="E8" s="712"/>
      <c r="F8" s="712"/>
      <c r="G8" s="609"/>
      <c r="H8" s="713" t="s">
        <v>1</v>
      </c>
      <c r="I8" s="712"/>
      <c r="J8" s="711"/>
    </row>
    <row r="9" spans="1:10" ht="39.950000000000003" hidden="1" customHeight="1">
      <c r="A9" s="714"/>
      <c r="B9" s="715" t="s">
        <v>27</v>
      </c>
      <c r="C9" s="716"/>
      <c r="D9" s="717">
        <f>인집!G6</f>
        <v>0</v>
      </c>
      <c r="E9" s="717">
        <f>인집!H6</f>
        <v>0</v>
      </c>
      <c r="F9" s="717">
        <f>인집!I6</f>
        <v>0</v>
      </c>
      <c r="G9" s="718">
        <f>SUM(D9:F9)</f>
        <v>0</v>
      </c>
      <c r="H9" s="833">
        <f>보험료산출기준!I6</f>
        <v>1.8</v>
      </c>
      <c r="I9" s="719">
        <f>TRUNC(G9*H9%,0)</f>
        <v>0</v>
      </c>
      <c r="J9" s="712"/>
    </row>
    <row r="10" spans="1:10" ht="39.950000000000003" hidden="1" customHeight="1">
      <c r="A10" s="610"/>
      <c r="B10" s="715" t="s">
        <v>78</v>
      </c>
      <c r="C10" s="710"/>
      <c r="D10" s="717">
        <f t="shared" ref="D10:F12" si="0">D9</f>
        <v>0</v>
      </c>
      <c r="E10" s="717">
        <f t="shared" si="0"/>
        <v>0</v>
      </c>
      <c r="F10" s="717">
        <f t="shared" si="0"/>
        <v>0</v>
      </c>
      <c r="G10" s="718">
        <f>SUM(D10:F10)</f>
        <v>0</v>
      </c>
      <c r="H10" s="833">
        <f>보험료산출기준!I7</f>
        <v>4.5</v>
      </c>
      <c r="I10" s="719">
        <f>TRUNC(G10*H10%,0)</f>
        <v>0</v>
      </c>
      <c r="J10" s="712"/>
    </row>
    <row r="11" spans="1:10" ht="39.950000000000003" hidden="1" customHeight="1">
      <c r="A11" s="610"/>
      <c r="B11" s="715" t="s">
        <v>79</v>
      </c>
      <c r="C11" s="710"/>
      <c r="D11" s="717">
        <f t="shared" si="0"/>
        <v>0</v>
      </c>
      <c r="E11" s="717">
        <f t="shared" si="0"/>
        <v>0</v>
      </c>
      <c r="F11" s="717">
        <f t="shared" si="0"/>
        <v>0</v>
      </c>
      <c r="G11" s="718">
        <f>SUM(D11:F11)</f>
        <v>0</v>
      </c>
      <c r="H11" s="833">
        <f>보험료산출기준!I8</f>
        <v>0.9</v>
      </c>
      <c r="I11" s="719">
        <f>TRUNC(G11*H11%,0)</f>
        <v>0</v>
      </c>
      <c r="J11" s="712"/>
    </row>
    <row r="12" spans="1:10" ht="39.950000000000003" hidden="1" customHeight="1">
      <c r="A12" s="610"/>
      <c r="B12" s="715" t="s">
        <v>80</v>
      </c>
      <c r="C12" s="710"/>
      <c r="D12" s="717">
        <f t="shared" si="0"/>
        <v>0</v>
      </c>
      <c r="E12" s="717">
        <f t="shared" si="0"/>
        <v>0</v>
      </c>
      <c r="F12" s="717">
        <f t="shared" si="0"/>
        <v>0</v>
      </c>
      <c r="G12" s="718">
        <f>SUM(D12:F12)</f>
        <v>0</v>
      </c>
      <c r="H12" s="833">
        <f>보험료산출기준!I9</f>
        <v>3.0350000000000001</v>
      </c>
      <c r="I12" s="719">
        <f>TRUNC(G12*H12%,0)</f>
        <v>0</v>
      </c>
      <c r="J12" s="712"/>
    </row>
    <row r="13" spans="1:10" ht="39.950000000000003" hidden="1" customHeight="1">
      <c r="A13" s="610"/>
      <c r="B13" s="715" t="s">
        <v>237</v>
      </c>
      <c r="C13" s="710"/>
      <c r="D13" s="717"/>
      <c r="E13" s="717"/>
      <c r="F13" s="717"/>
      <c r="G13" s="718"/>
      <c r="H13" s="833">
        <f>보험료산출기준!I10</f>
        <v>6.55</v>
      </c>
      <c r="I13" s="719">
        <f>TRUNC(I12*H13%,0)</f>
        <v>0</v>
      </c>
      <c r="J13" s="712" t="s">
        <v>215</v>
      </c>
    </row>
    <row r="14" spans="1:10" ht="39.950000000000003" hidden="1" customHeight="1">
      <c r="A14" s="720"/>
      <c r="B14" s="721" t="s">
        <v>81</v>
      </c>
      <c r="C14" s="722"/>
      <c r="D14" s="717">
        <f>D12</f>
        <v>0</v>
      </c>
      <c r="E14" s="717">
        <f>E12</f>
        <v>0</v>
      </c>
      <c r="F14" s="717">
        <f>F12</f>
        <v>0</v>
      </c>
      <c r="G14" s="718">
        <f>SUM(D14:F14)</f>
        <v>0</v>
      </c>
      <c r="H14" s="833">
        <f>보험료산출기준!I11</f>
        <v>0.08</v>
      </c>
      <c r="I14" s="719">
        <f>TRUNC(G14*H14%,0)</f>
        <v>0</v>
      </c>
      <c r="J14" s="712"/>
    </row>
    <row r="15" spans="1:10" ht="20.100000000000001" hidden="1" customHeight="1">
      <c r="A15" s="723"/>
      <c r="B15" s="724"/>
      <c r="C15" s="725"/>
      <c r="D15" s="726"/>
      <c r="E15" s="726"/>
      <c r="F15" s="726"/>
      <c r="G15" s="727"/>
      <c r="H15" s="746"/>
      <c r="I15" s="729"/>
      <c r="J15" s="708"/>
    </row>
    <row r="16" spans="1:10" ht="45" hidden="1" customHeight="1">
      <c r="A16" s="730"/>
      <c r="B16" s="731" t="s">
        <v>178</v>
      </c>
      <c r="C16" s="732"/>
      <c r="D16" s="733"/>
      <c r="E16" s="734"/>
      <c r="F16" s="734"/>
      <c r="G16" s="735"/>
      <c r="H16" s="735"/>
      <c r="I16" s="734">
        <f>SUM(I9:I15)</f>
        <v>0</v>
      </c>
      <c r="J16" s="736"/>
    </row>
    <row r="17" spans="1:10" s="683" customFormat="1" ht="24.95" hidden="1" customHeight="1">
      <c r="A17" s="681" t="str">
        <f>"주 1) 적용대상액 : "&amp;인집!$A$1&amp;인집!$A$2&amp;" 참조"</f>
        <v>주 1) 적용대상액 : &lt; 표 : 3 &gt; 단위당인건비집계표 참조</v>
      </c>
      <c r="C17" s="681"/>
      <c r="D17" s="681"/>
      <c r="E17" s="682"/>
      <c r="F17" s="682"/>
      <c r="G17" s="606"/>
      <c r="H17" s="606"/>
      <c r="I17" s="606"/>
      <c r="J17" s="737"/>
    </row>
    <row r="18" spans="1:10" s="683" customFormat="1" ht="24.95" hidden="1" customHeight="1">
      <c r="A18" s="681" t="str">
        <f>"   2) 비율(%) : "&amp;보험료산출기준!$A$1&amp;보험료산출기준!$A$2&amp;" 참조"</f>
        <v xml:space="preserve">   2) 비율(%) : &lt; 표 : 13 &gt; 경비산정기준표 참조</v>
      </c>
      <c r="C18" s="681"/>
      <c r="D18" s="681"/>
      <c r="E18" s="682"/>
      <c r="F18" s="682"/>
      <c r="G18" s="606"/>
      <c r="H18" s="606"/>
      <c r="I18" s="606"/>
      <c r="J18" s="737"/>
    </row>
    <row r="19" spans="1:10" s="683" customFormat="1" ht="24.95" hidden="1" customHeight="1">
      <c r="A19" s="685" t="s">
        <v>427</v>
      </c>
      <c r="C19" s="681"/>
      <c r="D19" s="684"/>
      <c r="E19" s="738"/>
      <c r="F19" s="738"/>
      <c r="G19" s="739"/>
      <c r="H19" s="739"/>
      <c r="I19" s="739"/>
    </row>
    <row r="20" spans="1:10" s="683" customFormat="1" ht="24.95" hidden="1" customHeight="1">
      <c r="A20" s="685"/>
      <c r="C20" s="681"/>
      <c r="D20" s="684"/>
      <c r="E20" s="738"/>
      <c r="F20" s="738"/>
      <c r="G20" s="739"/>
      <c r="H20" s="739"/>
      <c r="I20" s="739"/>
    </row>
    <row r="21" spans="1:10" s="683" customFormat="1" ht="24.95" hidden="1" customHeight="1">
      <c r="A21" s="685"/>
      <c r="C21" s="681"/>
      <c r="D21" s="684"/>
      <c r="E21" s="738"/>
      <c r="F21" s="738"/>
      <c r="G21" s="739"/>
      <c r="H21" s="739"/>
      <c r="I21" s="739"/>
    </row>
    <row r="22" spans="1:10" s="683" customFormat="1" ht="24.95" hidden="1" customHeight="1">
      <c r="A22" s="685"/>
      <c r="C22" s="681"/>
      <c r="D22" s="684"/>
      <c r="E22" s="738"/>
      <c r="F22" s="738"/>
      <c r="G22" s="739"/>
      <c r="H22" s="739"/>
      <c r="I22" s="739"/>
    </row>
    <row r="23" spans="1:10" ht="20.100000000000001" hidden="1" customHeight="1">
      <c r="A23" s="741"/>
      <c r="B23" s="741"/>
      <c r="C23" s="741"/>
      <c r="D23" s="615"/>
    </row>
    <row r="24" spans="1:10" ht="20.100000000000001" hidden="1" customHeight="1">
      <c r="A24" s="656" t="str">
        <f>원가!A39</f>
        <v xml:space="preserve">구 분 :                        직종명 : </v>
      </c>
      <c r="B24" s="612"/>
      <c r="C24" s="612"/>
      <c r="D24" s="656"/>
      <c r="I24" s="661"/>
      <c r="J24" s="661" t="s">
        <v>36</v>
      </c>
    </row>
    <row r="25" spans="1:10" ht="24.95" hidden="1" customHeight="1">
      <c r="A25" s="979" t="s">
        <v>71</v>
      </c>
      <c r="B25" s="980"/>
      <c r="C25" s="981"/>
      <c r="D25" s="931" t="s">
        <v>72</v>
      </c>
      <c r="E25" s="985"/>
      <c r="F25" s="985"/>
      <c r="G25" s="932"/>
      <c r="H25" s="986" t="s">
        <v>206</v>
      </c>
      <c r="I25" s="988" t="s">
        <v>73</v>
      </c>
      <c r="J25" s="977" t="s">
        <v>74</v>
      </c>
    </row>
    <row r="26" spans="1:10" ht="24.95" hidden="1" customHeight="1">
      <c r="A26" s="982"/>
      <c r="B26" s="983"/>
      <c r="C26" s="984"/>
      <c r="D26" s="707" t="s">
        <v>75</v>
      </c>
      <c r="E26" s="708" t="s">
        <v>76</v>
      </c>
      <c r="F26" s="708" t="s">
        <v>77</v>
      </c>
      <c r="G26" s="708" t="s">
        <v>55</v>
      </c>
      <c r="H26" s="987"/>
      <c r="I26" s="989"/>
      <c r="J26" s="978"/>
    </row>
    <row r="27" spans="1:10" ht="20.100000000000001" hidden="1" customHeight="1">
      <c r="A27" s="630"/>
      <c r="B27" s="703"/>
      <c r="C27" s="704"/>
      <c r="D27" s="706"/>
      <c r="E27" s="705"/>
      <c r="F27" s="705"/>
      <c r="G27" s="629"/>
      <c r="H27" s="709"/>
      <c r="I27" s="705"/>
      <c r="J27" s="706"/>
    </row>
    <row r="28" spans="1:10" ht="39.950000000000003" hidden="1" customHeight="1">
      <c r="A28" s="610"/>
      <c r="B28" s="614"/>
      <c r="C28" s="710"/>
      <c r="D28" s="711"/>
      <c r="E28" s="712"/>
      <c r="F28" s="712"/>
      <c r="G28" s="609"/>
      <c r="H28" s="713" t="s">
        <v>1</v>
      </c>
      <c r="I28" s="712"/>
      <c r="J28" s="711"/>
    </row>
    <row r="29" spans="1:10" ht="39.950000000000003" hidden="1" customHeight="1">
      <c r="A29" s="714"/>
      <c r="B29" s="715" t="s">
        <v>27</v>
      </c>
      <c r="C29" s="716"/>
      <c r="D29" s="717">
        <f>인집!G7</f>
        <v>0</v>
      </c>
      <c r="E29" s="717">
        <f>인집!H7</f>
        <v>0</v>
      </c>
      <c r="F29" s="717">
        <f>인집!I7</f>
        <v>0</v>
      </c>
      <c r="G29" s="718">
        <f>SUM(D29:F29)</f>
        <v>0</v>
      </c>
      <c r="H29" s="833">
        <f>$H$9</f>
        <v>1.8</v>
      </c>
      <c r="I29" s="719">
        <f>TRUNC(G29*H29%,0)</f>
        <v>0</v>
      </c>
      <c r="J29" s="712"/>
    </row>
    <row r="30" spans="1:10" ht="39.950000000000003" hidden="1" customHeight="1">
      <c r="A30" s="610"/>
      <c r="B30" s="715" t="s">
        <v>78</v>
      </c>
      <c r="C30" s="710"/>
      <c r="D30" s="717">
        <f t="shared" ref="D30:F32" si="1">D29</f>
        <v>0</v>
      </c>
      <c r="E30" s="717">
        <f t="shared" si="1"/>
        <v>0</v>
      </c>
      <c r="F30" s="717">
        <f t="shared" si="1"/>
        <v>0</v>
      </c>
      <c r="G30" s="718">
        <f>SUM(D30:F30)</f>
        <v>0</v>
      </c>
      <c r="H30" s="833">
        <f>$H$10</f>
        <v>4.5</v>
      </c>
      <c r="I30" s="719">
        <f>TRUNC(G30*H30%,0)</f>
        <v>0</v>
      </c>
      <c r="J30" s="712"/>
    </row>
    <row r="31" spans="1:10" ht="39.950000000000003" hidden="1" customHeight="1">
      <c r="A31" s="610"/>
      <c r="B31" s="715" t="s">
        <v>79</v>
      </c>
      <c r="C31" s="710"/>
      <c r="D31" s="717">
        <f t="shared" si="1"/>
        <v>0</v>
      </c>
      <c r="E31" s="717">
        <f t="shared" si="1"/>
        <v>0</v>
      </c>
      <c r="F31" s="717">
        <f t="shared" si="1"/>
        <v>0</v>
      </c>
      <c r="G31" s="718">
        <f>SUM(D31:F31)</f>
        <v>0</v>
      </c>
      <c r="H31" s="833">
        <f>$H$11</f>
        <v>0.9</v>
      </c>
      <c r="I31" s="719">
        <f>TRUNC(G31*H31%,0)</f>
        <v>0</v>
      </c>
      <c r="J31" s="712"/>
    </row>
    <row r="32" spans="1:10" ht="39.950000000000003" hidden="1" customHeight="1">
      <c r="A32" s="610"/>
      <c r="B32" s="715" t="s">
        <v>80</v>
      </c>
      <c r="C32" s="710"/>
      <c r="D32" s="717">
        <f t="shared" si="1"/>
        <v>0</v>
      </c>
      <c r="E32" s="717">
        <f t="shared" si="1"/>
        <v>0</v>
      </c>
      <c r="F32" s="717">
        <f t="shared" si="1"/>
        <v>0</v>
      </c>
      <c r="G32" s="718">
        <f>SUM(D32:F32)</f>
        <v>0</v>
      </c>
      <c r="H32" s="833">
        <f>$H$12</f>
        <v>3.0350000000000001</v>
      </c>
      <c r="I32" s="719">
        <f>TRUNC(G32*H32%,0)</f>
        <v>0</v>
      </c>
      <c r="J32" s="712"/>
    </row>
    <row r="33" spans="1:10" ht="39.950000000000003" hidden="1" customHeight="1">
      <c r="A33" s="610"/>
      <c r="B33" s="715" t="s">
        <v>237</v>
      </c>
      <c r="C33" s="710"/>
      <c r="D33" s="717"/>
      <c r="E33" s="717"/>
      <c r="F33" s="717"/>
      <c r="G33" s="717"/>
      <c r="H33" s="833">
        <f>$H$13</f>
        <v>6.55</v>
      </c>
      <c r="I33" s="719">
        <f>TRUNC(I32*H33%,0)</f>
        <v>0</v>
      </c>
      <c r="J33" s="712" t="s">
        <v>215</v>
      </c>
    </row>
    <row r="34" spans="1:10" ht="39.950000000000003" hidden="1" customHeight="1">
      <c r="A34" s="720"/>
      <c r="B34" s="721" t="s">
        <v>81</v>
      </c>
      <c r="C34" s="722"/>
      <c r="D34" s="717">
        <f>D32</f>
        <v>0</v>
      </c>
      <c r="E34" s="717">
        <f>E32</f>
        <v>0</v>
      </c>
      <c r="F34" s="717">
        <f>F32</f>
        <v>0</v>
      </c>
      <c r="G34" s="718">
        <f>SUM(D34:F34)</f>
        <v>0</v>
      </c>
      <c r="H34" s="833">
        <f>$H$14</f>
        <v>0.08</v>
      </c>
      <c r="I34" s="719">
        <f>TRUNC(G34*H34%,0)</f>
        <v>0</v>
      </c>
      <c r="J34" s="712"/>
    </row>
    <row r="35" spans="1:10" ht="20.100000000000001" hidden="1" customHeight="1">
      <c r="A35" s="723"/>
      <c r="B35" s="724"/>
      <c r="C35" s="725"/>
      <c r="D35" s="726"/>
      <c r="E35" s="726"/>
      <c r="F35" s="726"/>
      <c r="G35" s="727"/>
      <c r="H35" s="728"/>
      <c r="I35" s="729"/>
      <c r="J35" s="708"/>
    </row>
    <row r="36" spans="1:10" ht="45" hidden="1" customHeight="1">
      <c r="A36" s="730"/>
      <c r="B36" s="731" t="s">
        <v>178</v>
      </c>
      <c r="C36" s="732"/>
      <c r="D36" s="733"/>
      <c r="E36" s="734"/>
      <c r="F36" s="734"/>
      <c r="G36" s="735"/>
      <c r="H36" s="735"/>
      <c r="I36" s="734">
        <f>SUM(I29:I35)</f>
        <v>0</v>
      </c>
      <c r="J36" s="736"/>
    </row>
    <row r="37" spans="1:10" s="683" customFormat="1" ht="24.95" hidden="1" customHeight="1">
      <c r="A37" s="681" t="str">
        <f>"주 1) 적용대상액 : "&amp;인집!$A$1&amp;인집!$A$2&amp;" 참조"</f>
        <v>주 1) 적용대상액 : &lt; 표 : 3 &gt; 단위당인건비집계표 참조</v>
      </c>
      <c r="C37" s="681"/>
      <c r="D37" s="681"/>
      <c r="E37" s="682"/>
      <c r="F37" s="682"/>
      <c r="G37" s="606"/>
      <c r="H37" s="606"/>
      <c r="I37" s="606"/>
      <c r="J37" s="737"/>
    </row>
    <row r="38" spans="1:10" s="683" customFormat="1" ht="24.95" hidden="1" customHeight="1">
      <c r="A38" s="681" t="str">
        <f>"   2) 비율(%) : "&amp;보험료산출기준!$A$1&amp;보험료산출기준!$A$2&amp;" 참조"</f>
        <v xml:space="preserve">   2) 비율(%) : &lt; 표 : 13 &gt; 경비산정기준표 참조</v>
      </c>
      <c r="C38" s="681"/>
      <c r="D38" s="681"/>
      <c r="E38" s="682"/>
      <c r="F38" s="682"/>
      <c r="G38" s="606"/>
      <c r="H38" s="606"/>
      <c r="I38" s="606"/>
      <c r="J38" s="737"/>
    </row>
    <row r="39" spans="1:10" s="683" customFormat="1" ht="24.95" hidden="1" customHeight="1">
      <c r="A39" s="685" t="s">
        <v>427</v>
      </c>
      <c r="C39" s="681"/>
      <c r="D39" s="684"/>
      <c r="E39" s="738"/>
      <c r="F39" s="738"/>
      <c r="G39" s="739"/>
      <c r="H39" s="739"/>
      <c r="I39" s="739"/>
    </row>
    <row r="40" spans="1:10" s="683" customFormat="1" ht="24.95" hidden="1" customHeight="1">
      <c r="A40" s="685"/>
      <c r="C40" s="681"/>
      <c r="D40" s="684"/>
      <c r="E40" s="738"/>
      <c r="F40" s="738"/>
      <c r="G40" s="739"/>
      <c r="H40" s="739"/>
      <c r="I40" s="739"/>
    </row>
    <row r="41" spans="1:10" s="683" customFormat="1" ht="24.95" hidden="1" customHeight="1">
      <c r="A41" s="685"/>
      <c r="C41" s="681"/>
      <c r="D41" s="684"/>
      <c r="E41" s="738"/>
      <c r="F41" s="738"/>
      <c r="G41" s="739"/>
      <c r="H41" s="739"/>
      <c r="I41" s="739"/>
    </row>
    <row r="42" spans="1:10" s="683" customFormat="1" ht="24.95" hidden="1" customHeight="1">
      <c r="A42" s="685"/>
      <c r="C42" s="681"/>
      <c r="D42" s="684"/>
      <c r="E42" s="738"/>
      <c r="F42" s="738"/>
      <c r="G42" s="739"/>
      <c r="H42" s="739"/>
      <c r="I42" s="739"/>
    </row>
    <row r="43" spans="1:10" s="683" customFormat="1" ht="24.95" hidden="1" customHeight="1">
      <c r="A43" s="685"/>
      <c r="C43" s="681"/>
      <c r="D43" s="684"/>
      <c r="E43" s="738"/>
      <c r="F43" s="738"/>
      <c r="G43" s="739"/>
      <c r="H43" s="739"/>
      <c r="I43" s="739"/>
    </row>
    <row r="44" spans="1:10" s="683" customFormat="1" ht="20.100000000000001" hidden="1" customHeight="1">
      <c r="A44" s="685"/>
      <c r="C44" s="681"/>
      <c r="D44" s="684"/>
      <c r="E44" s="738"/>
      <c r="F44" s="738"/>
      <c r="G44" s="739"/>
      <c r="H44" s="739"/>
      <c r="I44" s="739"/>
    </row>
    <row r="45" spans="1:10" ht="20.100000000000001" hidden="1" customHeight="1">
      <c r="A45" s="656" t="str">
        <f>원가!A74</f>
        <v xml:space="preserve">구 분 :                        직종명 : </v>
      </c>
      <c r="B45" s="612"/>
      <c r="C45" s="612"/>
      <c r="D45" s="656"/>
      <c r="I45" s="661"/>
      <c r="J45" s="661" t="s">
        <v>36</v>
      </c>
    </row>
    <row r="46" spans="1:10" ht="24.95" hidden="1" customHeight="1">
      <c r="A46" s="979" t="s">
        <v>71</v>
      </c>
      <c r="B46" s="980"/>
      <c r="C46" s="981"/>
      <c r="D46" s="931" t="s">
        <v>72</v>
      </c>
      <c r="E46" s="985"/>
      <c r="F46" s="985"/>
      <c r="G46" s="932"/>
      <c r="H46" s="986" t="s">
        <v>206</v>
      </c>
      <c r="I46" s="988" t="s">
        <v>73</v>
      </c>
      <c r="J46" s="977" t="s">
        <v>74</v>
      </c>
    </row>
    <row r="47" spans="1:10" ht="24.95" hidden="1" customHeight="1">
      <c r="A47" s="982"/>
      <c r="B47" s="983"/>
      <c r="C47" s="984"/>
      <c r="D47" s="707" t="s">
        <v>75</v>
      </c>
      <c r="E47" s="708" t="s">
        <v>76</v>
      </c>
      <c r="F47" s="708" t="s">
        <v>77</v>
      </c>
      <c r="G47" s="708" t="s">
        <v>55</v>
      </c>
      <c r="H47" s="987"/>
      <c r="I47" s="989"/>
      <c r="J47" s="978"/>
    </row>
    <row r="48" spans="1:10" ht="20.100000000000001" hidden="1" customHeight="1">
      <c r="A48" s="630"/>
      <c r="B48" s="703"/>
      <c r="C48" s="704"/>
      <c r="D48" s="706"/>
      <c r="E48" s="705"/>
      <c r="F48" s="705"/>
      <c r="G48" s="629"/>
      <c r="H48" s="709"/>
      <c r="I48" s="705"/>
      <c r="J48" s="706"/>
    </row>
    <row r="49" spans="1:10" ht="39.950000000000003" hidden="1" customHeight="1">
      <c r="A49" s="610"/>
      <c r="B49" s="614"/>
      <c r="C49" s="710"/>
      <c r="D49" s="711"/>
      <c r="E49" s="712"/>
      <c r="F49" s="712"/>
      <c r="G49" s="609"/>
      <c r="H49" s="713" t="s">
        <v>1</v>
      </c>
      <c r="I49" s="712"/>
      <c r="J49" s="711"/>
    </row>
    <row r="50" spans="1:10" ht="39.950000000000003" hidden="1" customHeight="1">
      <c r="A50" s="714"/>
      <c r="B50" s="715" t="s">
        <v>27</v>
      </c>
      <c r="C50" s="716"/>
      <c r="D50" s="717">
        <f>인집!G8</f>
        <v>0</v>
      </c>
      <c r="E50" s="717">
        <f>인집!H8</f>
        <v>0</v>
      </c>
      <c r="F50" s="717">
        <f>인집!I8</f>
        <v>0</v>
      </c>
      <c r="G50" s="718">
        <f>SUM(D50:F50)</f>
        <v>0</v>
      </c>
      <c r="H50" s="833">
        <f>$H$9</f>
        <v>1.8</v>
      </c>
      <c r="I50" s="719">
        <f>TRUNC(G50*H50%,0)</f>
        <v>0</v>
      </c>
      <c r="J50" s="712"/>
    </row>
    <row r="51" spans="1:10" ht="39.950000000000003" hidden="1" customHeight="1">
      <c r="A51" s="610"/>
      <c r="B51" s="715" t="s">
        <v>78</v>
      </c>
      <c r="C51" s="710"/>
      <c r="D51" s="717">
        <f t="shared" ref="D51:F53" si="2">D50</f>
        <v>0</v>
      </c>
      <c r="E51" s="717">
        <f t="shared" si="2"/>
        <v>0</v>
      </c>
      <c r="F51" s="717">
        <f t="shared" si="2"/>
        <v>0</v>
      </c>
      <c r="G51" s="718">
        <f>SUM(D51:F51)</f>
        <v>0</v>
      </c>
      <c r="H51" s="833">
        <f>$H$10</f>
        <v>4.5</v>
      </c>
      <c r="I51" s="719">
        <f>TRUNC(G51*H51%,0)</f>
        <v>0</v>
      </c>
      <c r="J51" s="712"/>
    </row>
    <row r="52" spans="1:10" ht="39.950000000000003" hidden="1" customHeight="1">
      <c r="A52" s="610"/>
      <c r="B52" s="715" t="s">
        <v>79</v>
      </c>
      <c r="C52" s="710"/>
      <c r="D52" s="717">
        <f t="shared" si="2"/>
        <v>0</v>
      </c>
      <c r="E52" s="717">
        <f t="shared" si="2"/>
        <v>0</v>
      </c>
      <c r="F52" s="717">
        <f t="shared" si="2"/>
        <v>0</v>
      </c>
      <c r="G52" s="718">
        <f>SUM(D52:F52)</f>
        <v>0</v>
      </c>
      <c r="H52" s="833">
        <f>$H$11</f>
        <v>0.9</v>
      </c>
      <c r="I52" s="719">
        <f>TRUNC(G52*H52%,0)</f>
        <v>0</v>
      </c>
      <c r="J52" s="712"/>
    </row>
    <row r="53" spans="1:10" ht="39.950000000000003" hidden="1" customHeight="1">
      <c r="A53" s="610"/>
      <c r="B53" s="715" t="s">
        <v>80</v>
      </c>
      <c r="C53" s="710"/>
      <c r="D53" s="717">
        <f t="shared" si="2"/>
        <v>0</v>
      </c>
      <c r="E53" s="717">
        <f t="shared" si="2"/>
        <v>0</v>
      </c>
      <c r="F53" s="717">
        <f t="shared" si="2"/>
        <v>0</v>
      </c>
      <c r="G53" s="718">
        <f>SUM(D53:F53)</f>
        <v>0</v>
      </c>
      <c r="H53" s="833">
        <f>$H$12</f>
        <v>3.0350000000000001</v>
      </c>
      <c r="I53" s="719">
        <f>TRUNC(G53*H53%,0)</f>
        <v>0</v>
      </c>
      <c r="J53" s="712"/>
    </row>
    <row r="54" spans="1:10" ht="39.950000000000003" hidden="1" customHeight="1">
      <c r="A54" s="610"/>
      <c r="B54" s="715" t="s">
        <v>237</v>
      </c>
      <c r="C54" s="710"/>
      <c r="D54" s="717"/>
      <c r="E54" s="717"/>
      <c r="F54" s="717"/>
      <c r="G54" s="717"/>
      <c r="H54" s="833">
        <f>$H$13</f>
        <v>6.55</v>
      </c>
      <c r="I54" s="719">
        <f>TRUNC(I53*H54%,0)</f>
        <v>0</v>
      </c>
      <c r="J54" s="712" t="s">
        <v>215</v>
      </c>
    </row>
    <row r="55" spans="1:10" ht="39.950000000000003" hidden="1" customHeight="1">
      <c r="A55" s="720"/>
      <c r="B55" s="721" t="s">
        <v>81</v>
      </c>
      <c r="C55" s="722"/>
      <c r="D55" s="717">
        <f>D53</f>
        <v>0</v>
      </c>
      <c r="E55" s="717">
        <f>E53</f>
        <v>0</v>
      </c>
      <c r="F55" s="717">
        <f>F53</f>
        <v>0</v>
      </c>
      <c r="G55" s="718">
        <f>SUM(D55:F55)</f>
        <v>0</v>
      </c>
      <c r="H55" s="833">
        <f>$H$14</f>
        <v>0.08</v>
      </c>
      <c r="I55" s="719">
        <f>TRUNC(G55*H55%,0)</f>
        <v>0</v>
      </c>
      <c r="J55" s="712"/>
    </row>
    <row r="56" spans="1:10" ht="20.100000000000001" hidden="1" customHeight="1">
      <c r="A56" s="723"/>
      <c r="B56" s="724"/>
      <c r="C56" s="725"/>
      <c r="D56" s="726"/>
      <c r="E56" s="726"/>
      <c r="F56" s="726"/>
      <c r="G56" s="727"/>
      <c r="H56" s="728"/>
      <c r="I56" s="729"/>
      <c r="J56" s="708"/>
    </row>
    <row r="57" spans="1:10" ht="45" hidden="1" customHeight="1">
      <c r="A57" s="730"/>
      <c r="B57" s="731" t="s">
        <v>178</v>
      </c>
      <c r="C57" s="732"/>
      <c r="D57" s="733"/>
      <c r="E57" s="734"/>
      <c r="F57" s="734"/>
      <c r="G57" s="735"/>
      <c r="H57" s="735"/>
      <c r="I57" s="734">
        <f>SUM(I50:I56)</f>
        <v>0</v>
      </c>
      <c r="J57" s="736"/>
    </row>
    <row r="58" spans="1:10" s="683" customFormat="1" ht="24.95" hidden="1" customHeight="1">
      <c r="A58" s="681" t="str">
        <f>"주 1) 적용대상액 : "&amp;인집!$A$1&amp;인집!$A$2&amp;" 참조"</f>
        <v>주 1) 적용대상액 : &lt; 표 : 3 &gt; 단위당인건비집계표 참조</v>
      </c>
      <c r="C58" s="681"/>
      <c r="D58" s="681"/>
      <c r="E58" s="682"/>
      <c r="F58" s="682"/>
      <c r="G58" s="606"/>
      <c r="H58" s="606"/>
      <c r="I58" s="606"/>
      <c r="J58" s="737"/>
    </row>
    <row r="59" spans="1:10" s="683" customFormat="1" ht="24.95" hidden="1" customHeight="1">
      <c r="A59" s="681" t="str">
        <f>"   2) 비율(%) : "&amp;보험료산출기준!$A$1&amp;보험료산출기준!$A$2&amp;" 참조"</f>
        <v xml:space="preserve">   2) 비율(%) : &lt; 표 : 13 &gt; 경비산정기준표 참조</v>
      </c>
      <c r="C59" s="681"/>
      <c r="D59" s="681"/>
      <c r="E59" s="682"/>
      <c r="F59" s="682"/>
      <c r="G59" s="606"/>
      <c r="H59" s="606"/>
      <c r="I59" s="606"/>
      <c r="J59" s="737"/>
    </row>
    <row r="60" spans="1:10" s="683" customFormat="1" ht="24.95" hidden="1" customHeight="1">
      <c r="A60" s="685" t="s">
        <v>427</v>
      </c>
      <c r="C60" s="681"/>
      <c r="D60" s="684"/>
      <c r="E60" s="738"/>
      <c r="F60" s="738"/>
      <c r="G60" s="739"/>
      <c r="H60" s="739"/>
      <c r="I60" s="739"/>
    </row>
    <row r="61" spans="1:10" s="683" customFormat="1" ht="24.95" hidden="1" customHeight="1">
      <c r="A61" s="685"/>
      <c r="C61" s="681"/>
      <c r="D61" s="684"/>
      <c r="E61" s="738"/>
      <c r="F61" s="738"/>
      <c r="G61" s="739"/>
      <c r="H61" s="739"/>
      <c r="I61" s="739"/>
    </row>
    <row r="62" spans="1:10" s="683" customFormat="1" ht="24.95" hidden="1" customHeight="1">
      <c r="A62" s="685"/>
      <c r="C62" s="681"/>
      <c r="D62" s="684"/>
      <c r="E62" s="738"/>
      <c r="F62" s="738"/>
      <c r="G62" s="739"/>
      <c r="H62" s="739"/>
      <c r="I62" s="739"/>
    </row>
    <row r="63" spans="1:10" s="683" customFormat="1" ht="24.95" hidden="1" customHeight="1">
      <c r="A63" s="685"/>
      <c r="C63" s="681"/>
      <c r="D63" s="684"/>
      <c r="E63" s="738"/>
      <c r="F63" s="738"/>
      <c r="G63" s="739"/>
      <c r="H63" s="739"/>
      <c r="I63" s="739"/>
    </row>
    <row r="64" spans="1:10" s="683" customFormat="1" ht="24.95" hidden="1" customHeight="1">
      <c r="A64" s="685"/>
      <c r="C64" s="681"/>
      <c r="D64" s="684"/>
      <c r="E64" s="738"/>
      <c r="F64" s="738"/>
      <c r="G64" s="739"/>
      <c r="H64" s="739"/>
      <c r="I64" s="739"/>
    </row>
    <row r="65" spans="1:10" s="683" customFormat="1" ht="20.100000000000001" hidden="1" customHeight="1">
      <c r="A65" s="685"/>
      <c r="C65" s="681"/>
      <c r="D65" s="684"/>
      <c r="E65" s="738"/>
      <c r="F65" s="738"/>
      <c r="G65" s="739"/>
      <c r="H65" s="739"/>
      <c r="I65" s="739"/>
    </row>
    <row r="66" spans="1:10" ht="20.100000000000001" hidden="1" customHeight="1">
      <c r="A66" s="656" t="str">
        <f>원가!A109</f>
        <v xml:space="preserve">구 분 :                        직종명 : </v>
      </c>
      <c r="B66" s="612"/>
      <c r="C66" s="612"/>
      <c r="D66" s="656"/>
      <c r="I66" s="661"/>
      <c r="J66" s="661" t="s">
        <v>36</v>
      </c>
    </row>
    <row r="67" spans="1:10" ht="24.95" hidden="1" customHeight="1">
      <c r="A67" s="979" t="s">
        <v>71</v>
      </c>
      <c r="B67" s="980"/>
      <c r="C67" s="981"/>
      <c r="D67" s="931" t="s">
        <v>72</v>
      </c>
      <c r="E67" s="985"/>
      <c r="F67" s="985"/>
      <c r="G67" s="932"/>
      <c r="H67" s="986" t="s">
        <v>206</v>
      </c>
      <c r="I67" s="988" t="s">
        <v>73</v>
      </c>
      <c r="J67" s="977" t="s">
        <v>74</v>
      </c>
    </row>
    <row r="68" spans="1:10" ht="24.95" hidden="1" customHeight="1">
      <c r="A68" s="982"/>
      <c r="B68" s="983"/>
      <c r="C68" s="984"/>
      <c r="D68" s="707" t="s">
        <v>75</v>
      </c>
      <c r="E68" s="708" t="s">
        <v>76</v>
      </c>
      <c r="F68" s="708" t="s">
        <v>77</v>
      </c>
      <c r="G68" s="708" t="s">
        <v>55</v>
      </c>
      <c r="H68" s="987"/>
      <c r="I68" s="989"/>
      <c r="J68" s="978"/>
    </row>
    <row r="69" spans="1:10" ht="20.100000000000001" hidden="1" customHeight="1">
      <c r="A69" s="630"/>
      <c r="B69" s="703"/>
      <c r="C69" s="704"/>
      <c r="D69" s="706"/>
      <c r="E69" s="705"/>
      <c r="F69" s="705"/>
      <c r="G69" s="629"/>
      <c r="H69" s="709"/>
      <c r="I69" s="705"/>
      <c r="J69" s="706"/>
    </row>
    <row r="70" spans="1:10" ht="39.950000000000003" hidden="1" customHeight="1">
      <c r="A70" s="610"/>
      <c r="B70" s="614"/>
      <c r="C70" s="710"/>
      <c r="D70" s="711"/>
      <c r="E70" s="712"/>
      <c r="F70" s="712"/>
      <c r="G70" s="609"/>
      <c r="H70" s="713" t="s">
        <v>1</v>
      </c>
      <c r="I70" s="712"/>
      <c r="J70" s="711"/>
    </row>
    <row r="71" spans="1:10" ht="39.950000000000003" hidden="1" customHeight="1">
      <c r="A71" s="714"/>
      <c r="B71" s="715" t="s">
        <v>27</v>
      </c>
      <c r="C71" s="716"/>
      <c r="D71" s="717">
        <f>인집!G9</f>
        <v>0</v>
      </c>
      <c r="E71" s="717">
        <f>인집!H9</f>
        <v>0</v>
      </c>
      <c r="F71" s="717">
        <f>인집!I9</f>
        <v>0</v>
      </c>
      <c r="G71" s="718">
        <f>SUM(D71:F71)</f>
        <v>0</v>
      </c>
      <c r="H71" s="833">
        <f>$H$9</f>
        <v>1.8</v>
      </c>
      <c r="I71" s="719">
        <f>TRUNC(G71*H71%,0)</f>
        <v>0</v>
      </c>
      <c r="J71" s="712"/>
    </row>
    <row r="72" spans="1:10" ht="39.950000000000003" hidden="1" customHeight="1">
      <c r="A72" s="610"/>
      <c r="B72" s="715" t="s">
        <v>78</v>
      </c>
      <c r="C72" s="710"/>
      <c r="D72" s="717">
        <f t="shared" ref="D72:F74" si="3">D71</f>
        <v>0</v>
      </c>
      <c r="E72" s="717">
        <f t="shared" si="3"/>
        <v>0</v>
      </c>
      <c r="F72" s="717">
        <f t="shared" si="3"/>
        <v>0</v>
      </c>
      <c r="G72" s="718">
        <f>SUM(D72:F72)</f>
        <v>0</v>
      </c>
      <c r="H72" s="833">
        <f>$H$10</f>
        <v>4.5</v>
      </c>
      <c r="I72" s="719">
        <f>TRUNC(G72*H72%,0)</f>
        <v>0</v>
      </c>
      <c r="J72" s="712"/>
    </row>
    <row r="73" spans="1:10" ht="39.950000000000003" hidden="1" customHeight="1">
      <c r="A73" s="610"/>
      <c r="B73" s="715" t="s">
        <v>79</v>
      </c>
      <c r="C73" s="710"/>
      <c r="D73" s="717">
        <f t="shared" si="3"/>
        <v>0</v>
      </c>
      <c r="E73" s="717">
        <f t="shared" si="3"/>
        <v>0</v>
      </c>
      <c r="F73" s="717">
        <f t="shared" si="3"/>
        <v>0</v>
      </c>
      <c r="G73" s="718">
        <f>SUM(D73:F73)</f>
        <v>0</v>
      </c>
      <c r="H73" s="833">
        <f>$H$11</f>
        <v>0.9</v>
      </c>
      <c r="I73" s="719">
        <f>TRUNC(G73*H73%,0)</f>
        <v>0</v>
      </c>
      <c r="J73" s="712"/>
    </row>
    <row r="74" spans="1:10" ht="39.950000000000003" hidden="1" customHeight="1">
      <c r="A74" s="610"/>
      <c r="B74" s="715" t="s">
        <v>80</v>
      </c>
      <c r="C74" s="710"/>
      <c r="D74" s="717">
        <f t="shared" si="3"/>
        <v>0</v>
      </c>
      <c r="E74" s="717">
        <f t="shared" si="3"/>
        <v>0</v>
      </c>
      <c r="F74" s="717">
        <f t="shared" si="3"/>
        <v>0</v>
      </c>
      <c r="G74" s="718">
        <f>SUM(D74:F74)</f>
        <v>0</v>
      </c>
      <c r="H74" s="833">
        <f>$H$12</f>
        <v>3.0350000000000001</v>
      </c>
      <c r="I74" s="719">
        <f>TRUNC(G74*H74%,0)</f>
        <v>0</v>
      </c>
      <c r="J74" s="712"/>
    </row>
    <row r="75" spans="1:10" ht="39.950000000000003" hidden="1" customHeight="1">
      <c r="A75" s="610"/>
      <c r="B75" s="715" t="s">
        <v>237</v>
      </c>
      <c r="C75" s="710"/>
      <c r="D75" s="717"/>
      <c r="E75" s="717"/>
      <c r="F75" s="717"/>
      <c r="G75" s="717"/>
      <c r="H75" s="833">
        <f>$H$13</f>
        <v>6.55</v>
      </c>
      <c r="I75" s="719">
        <f>TRUNC(I74*H75%,0)</f>
        <v>0</v>
      </c>
      <c r="J75" s="712" t="s">
        <v>215</v>
      </c>
    </row>
    <row r="76" spans="1:10" ht="39.950000000000003" hidden="1" customHeight="1">
      <c r="A76" s="720"/>
      <c r="B76" s="721" t="s">
        <v>81</v>
      </c>
      <c r="C76" s="722"/>
      <c r="D76" s="717">
        <f>D74</f>
        <v>0</v>
      </c>
      <c r="E76" s="717">
        <f>E74</f>
        <v>0</v>
      </c>
      <c r="F76" s="717">
        <f>F74</f>
        <v>0</v>
      </c>
      <c r="G76" s="718">
        <f>SUM(D76:F76)</f>
        <v>0</v>
      </c>
      <c r="H76" s="833">
        <f>$H$14</f>
        <v>0.08</v>
      </c>
      <c r="I76" s="719">
        <f>TRUNC(G76*H76%,0)</f>
        <v>0</v>
      </c>
      <c r="J76" s="712"/>
    </row>
    <row r="77" spans="1:10" ht="20.100000000000001" hidden="1" customHeight="1">
      <c r="A77" s="723"/>
      <c r="B77" s="724"/>
      <c r="C77" s="725"/>
      <c r="D77" s="726"/>
      <c r="E77" s="726"/>
      <c r="F77" s="726"/>
      <c r="G77" s="727"/>
      <c r="H77" s="728"/>
      <c r="I77" s="729"/>
      <c r="J77" s="708"/>
    </row>
    <row r="78" spans="1:10" ht="45" hidden="1" customHeight="1">
      <c r="A78" s="730"/>
      <c r="B78" s="731" t="s">
        <v>178</v>
      </c>
      <c r="C78" s="732"/>
      <c r="D78" s="733"/>
      <c r="E78" s="734"/>
      <c r="F78" s="734"/>
      <c r="G78" s="735"/>
      <c r="H78" s="735"/>
      <c r="I78" s="734">
        <f>SUM(I71:I77)</f>
        <v>0</v>
      </c>
      <c r="J78" s="736"/>
    </row>
    <row r="79" spans="1:10" s="683" customFormat="1" ht="24.95" hidden="1" customHeight="1">
      <c r="A79" s="681" t="str">
        <f>"주 1) 적용대상액 : "&amp;인집!$A$1&amp;인집!$A$2&amp;" 참조"</f>
        <v>주 1) 적용대상액 : &lt; 표 : 3 &gt; 단위당인건비집계표 참조</v>
      </c>
      <c r="C79" s="681"/>
      <c r="D79" s="681"/>
      <c r="E79" s="682"/>
      <c r="F79" s="682"/>
      <c r="G79" s="606"/>
      <c r="H79" s="606"/>
      <c r="I79" s="606"/>
      <c r="J79" s="737"/>
    </row>
    <row r="80" spans="1:10" s="683" customFormat="1" ht="24.95" hidden="1" customHeight="1">
      <c r="A80" s="681" t="str">
        <f>"   2) 비율(%) : "&amp;보험료산출기준!$A$1&amp;보험료산출기준!$A$2&amp;" 참조"</f>
        <v xml:space="preserve">   2) 비율(%) : &lt; 표 : 13 &gt; 경비산정기준표 참조</v>
      </c>
      <c r="C80" s="681"/>
      <c r="D80" s="681"/>
      <c r="E80" s="682"/>
      <c r="F80" s="682"/>
      <c r="G80" s="606"/>
      <c r="H80" s="606"/>
      <c r="I80" s="606"/>
      <c r="J80" s="737"/>
    </row>
    <row r="81" spans="1:10" s="683" customFormat="1" ht="24.95" hidden="1" customHeight="1">
      <c r="A81" s="685" t="s">
        <v>427</v>
      </c>
      <c r="C81" s="681"/>
      <c r="D81" s="684"/>
      <c r="E81" s="738"/>
      <c r="F81" s="738"/>
      <c r="G81" s="739"/>
      <c r="H81" s="739"/>
      <c r="I81" s="739"/>
    </row>
    <row r="82" spans="1:10" s="683" customFormat="1" ht="24.95" hidden="1" customHeight="1">
      <c r="A82" s="685"/>
      <c r="C82" s="681"/>
      <c r="D82" s="684"/>
      <c r="E82" s="738"/>
      <c r="F82" s="738"/>
      <c r="G82" s="739"/>
      <c r="H82" s="739"/>
      <c r="I82" s="739"/>
    </row>
    <row r="83" spans="1:10" s="683" customFormat="1" ht="24.95" hidden="1" customHeight="1">
      <c r="A83" s="685"/>
      <c r="C83" s="681"/>
      <c r="D83" s="684"/>
      <c r="E83" s="738"/>
      <c r="F83" s="738"/>
      <c r="G83" s="739"/>
      <c r="H83" s="739"/>
      <c r="I83" s="739"/>
    </row>
    <row r="84" spans="1:10" s="683" customFormat="1" ht="24.95" hidden="1" customHeight="1">
      <c r="A84" s="685"/>
      <c r="C84" s="681"/>
      <c r="D84" s="684"/>
      <c r="E84" s="738"/>
      <c r="F84" s="738"/>
      <c r="G84" s="739"/>
      <c r="H84" s="739"/>
      <c r="I84" s="739"/>
    </row>
    <row r="85" spans="1:10" s="683" customFormat="1" ht="24.95" hidden="1" customHeight="1">
      <c r="A85" s="685"/>
      <c r="C85" s="681"/>
      <c r="D85" s="684"/>
      <c r="E85" s="738"/>
      <c r="F85" s="738"/>
      <c r="G85" s="739"/>
      <c r="H85" s="739"/>
      <c r="I85" s="739"/>
    </row>
    <row r="86" spans="1:10" s="683" customFormat="1" ht="20.100000000000001" hidden="1" customHeight="1">
      <c r="A86" s="685"/>
      <c r="C86" s="681"/>
      <c r="D86" s="684"/>
      <c r="E86" s="738"/>
      <c r="F86" s="738"/>
      <c r="G86" s="739"/>
      <c r="H86" s="739"/>
      <c r="I86" s="739"/>
    </row>
    <row r="87" spans="1:10" ht="20.100000000000001" hidden="1" customHeight="1">
      <c r="A87" s="656" t="str">
        <f>원가!A144</f>
        <v xml:space="preserve">구 분 :                        직종명 : </v>
      </c>
      <c r="B87" s="612"/>
      <c r="C87" s="612"/>
      <c r="D87" s="656"/>
      <c r="I87" s="661"/>
      <c r="J87" s="661" t="s">
        <v>36</v>
      </c>
    </row>
    <row r="88" spans="1:10" ht="24.95" hidden="1" customHeight="1">
      <c r="A88" s="979" t="s">
        <v>71</v>
      </c>
      <c r="B88" s="980"/>
      <c r="C88" s="981"/>
      <c r="D88" s="931" t="s">
        <v>72</v>
      </c>
      <c r="E88" s="985"/>
      <c r="F88" s="985"/>
      <c r="G88" s="932"/>
      <c r="H88" s="986" t="s">
        <v>206</v>
      </c>
      <c r="I88" s="988" t="s">
        <v>73</v>
      </c>
      <c r="J88" s="977" t="s">
        <v>74</v>
      </c>
    </row>
    <row r="89" spans="1:10" ht="24.95" hidden="1" customHeight="1">
      <c r="A89" s="982"/>
      <c r="B89" s="983"/>
      <c r="C89" s="984"/>
      <c r="D89" s="707" t="s">
        <v>75</v>
      </c>
      <c r="E89" s="708" t="s">
        <v>76</v>
      </c>
      <c r="F89" s="708" t="s">
        <v>77</v>
      </c>
      <c r="G89" s="708" t="s">
        <v>55</v>
      </c>
      <c r="H89" s="987"/>
      <c r="I89" s="989"/>
      <c r="J89" s="978"/>
    </row>
    <row r="90" spans="1:10" ht="20.100000000000001" hidden="1" customHeight="1">
      <c r="A90" s="630"/>
      <c r="B90" s="703"/>
      <c r="C90" s="704"/>
      <c r="D90" s="706"/>
      <c r="E90" s="705"/>
      <c r="F90" s="705"/>
      <c r="G90" s="629"/>
      <c r="H90" s="709"/>
      <c r="I90" s="705"/>
      <c r="J90" s="706"/>
    </row>
    <row r="91" spans="1:10" ht="39.950000000000003" hidden="1" customHeight="1">
      <c r="A91" s="610"/>
      <c r="B91" s="614"/>
      <c r="C91" s="710"/>
      <c r="D91" s="711"/>
      <c r="E91" s="712"/>
      <c r="F91" s="712"/>
      <c r="G91" s="609"/>
      <c r="H91" s="713" t="s">
        <v>1</v>
      </c>
      <c r="I91" s="712"/>
      <c r="J91" s="711"/>
    </row>
    <row r="92" spans="1:10" ht="39.950000000000003" hidden="1" customHeight="1">
      <c r="A92" s="714"/>
      <c r="B92" s="715" t="s">
        <v>27</v>
      </c>
      <c r="C92" s="716"/>
      <c r="D92" s="717">
        <f>인집!G10</f>
        <v>0</v>
      </c>
      <c r="E92" s="717">
        <f>인집!H10</f>
        <v>0</v>
      </c>
      <c r="F92" s="717">
        <f>인집!I10</f>
        <v>0</v>
      </c>
      <c r="G92" s="718">
        <f>SUM(D92:F92)</f>
        <v>0</v>
      </c>
      <c r="H92" s="833">
        <f>$H$9</f>
        <v>1.8</v>
      </c>
      <c r="I92" s="719">
        <f>TRUNC(G92*H92%,0)</f>
        <v>0</v>
      </c>
      <c r="J92" s="712"/>
    </row>
    <row r="93" spans="1:10" ht="39.950000000000003" hidden="1" customHeight="1">
      <c r="A93" s="610"/>
      <c r="B93" s="715" t="s">
        <v>78</v>
      </c>
      <c r="C93" s="710"/>
      <c r="D93" s="717">
        <f t="shared" ref="D93:F95" si="4">D92</f>
        <v>0</v>
      </c>
      <c r="E93" s="717">
        <f t="shared" si="4"/>
        <v>0</v>
      </c>
      <c r="F93" s="717">
        <f t="shared" si="4"/>
        <v>0</v>
      </c>
      <c r="G93" s="718">
        <f>SUM(D93:F93)</f>
        <v>0</v>
      </c>
      <c r="H93" s="833">
        <f>$H$10</f>
        <v>4.5</v>
      </c>
      <c r="I93" s="719">
        <f>TRUNC(G93*H93%,0)</f>
        <v>0</v>
      </c>
      <c r="J93" s="712"/>
    </row>
    <row r="94" spans="1:10" ht="39.950000000000003" hidden="1" customHeight="1">
      <c r="A94" s="610"/>
      <c r="B94" s="715" t="s">
        <v>79</v>
      </c>
      <c r="C94" s="710"/>
      <c r="D94" s="717">
        <f t="shared" si="4"/>
        <v>0</v>
      </c>
      <c r="E94" s="717">
        <f t="shared" si="4"/>
        <v>0</v>
      </c>
      <c r="F94" s="717">
        <f t="shared" si="4"/>
        <v>0</v>
      </c>
      <c r="G94" s="718">
        <f>SUM(D94:F94)</f>
        <v>0</v>
      </c>
      <c r="H94" s="833">
        <f>$H$11</f>
        <v>0.9</v>
      </c>
      <c r="I94" s="719">
        <f>TRUNC(G94*H94%,0)</f>
        <v>0</v>
      </c>
      <c r="J94" s="712"/>
    </row>
    <row r="95" spans="1:10" ht="39.950000000000003" hidden="1" customHeight="1">
      <c r="A95" s="610"/>
      <c r="B95" s="715" t="s">
        <v>80</v>
      </c>
      <c r="C95" s="710"/>
      <c r="D95" s="717">
        <f t="shared" si="4"/>
        <v>0</v>
      </c>
      <c r="E95" s="717">
        <f t="shared" si="4"/>
        <v>0</v>
      </c>
      <c r="F95" s="717">
        <f t="shared" si="4"/>
        <v>0</v>
      </c>
      <c r="G95" s="718">
        <f>SUM(D95:F95)</f>
        <v>0</v>
      </c>
      <c r="H95" s="833">
        <f>$H$12</f>
        <v>3.0350000000000001</v>
      </c>
      <c r="I95" s="719">
        <f>TRUNC(G95*H95%,0)</f>
        <v>0</v>
      </c>
      <c r="J95" s="712"/>
    </row>
    <row r="96" spans="1:10" ht="39.950000000000003" hidden="1" customHeight="1">
      <c r="A96" s="610"/>
      <c r="B96" s="715" t="s">
        <v>237</v>
      </c>
      <c r="C96" s="710"/>
      <c r="D96" s="717"/>
      <c r="E96" s="717"/>
      <c r="F96" s="717"/>
      <c r="G96" s="717"/>
      <c r="H96" s="833">
        <f>$H$13</f>
        <v>6.55</v>
      </c>
      <c r="I96" s="719">
        <f>TRUNC(I95*H96%,0)</f>
        <v>0</v>
      </c>
      <c r="J96" s="712" t="s">
        <v>215</v>
      </c>
    </row>
    <row r="97" spans="1:10" ht="39.950000000000003" hidden="1" customHeight="1">
      <c r="A97" s="720"/>
      <c r="B97" s="721" t="s">
        <v>81</v>
      </c>
      <c r="C97" s="722"/>
      <c r="D97" s="717">
        <f>D95</f>
        <v>0</v>
      </c>
      <c r="E97" s="717">
        <f>E95</f>
        <v>0</v>
      </c>
      <c r="F97" s="717">
        <f>F95</f>
        <v>0</v>
      </c>
      <c r="G97" s="718">
        <f>SUM(D97:F97)</f>
        <v>0</v>
      </c>
      <c r="H97" s="833">
        <f>$H$14</f>
        <v>0.08</v>
      </c>
      <c r="I97" s="719">
        <f>TRUNC(G97*H97%,0)</f>
        <v>0</v>
      </c>
      <c r="J97" s="712"/>
    </row>
    <row r="98" spans="1:10" ht="20.100000000000001" hidden="1" customHeight="1">
      <c r="A98" s="723"/>
      <c r="B98" s="724"/>
      <c r="C98" s="725"/>
      <c r="D98" s="726"/>
      <c r="E98" s="726"/>
      <c r="F98" s="726"/>
      <c r="G98" s="727"/>
      <c r="H98" s="728"/>
      <c r="I98" s="729"/>
      <c r="J98" s="708"/>
    </row>
    <row r="99" spans="1:10" ht="45" hidden="1" customHeight="1">
      <c r="A99" s="730"/>
      <c r="B99" s="731" t="s">
        <v>178</v>
      </c>
      <c r="C99" s="732"/>
      <c r="D99" s="733"/>
      <c r="E99" s="734"/>
      <c r="F99" s="734"/>
      <c r="G99" s="735"/>
      <c r="H99" s="735"/>
      <c r="I99" s="734">
        <f>SUM(I92:I98)</f>
        <v>0</v>
      </c>
      <c r="J99" s="736"/>
    </row>
    <row r="100" spans="1:10" s="683" customFormat="1" ht="24.95" hidden="1" customHeight="1">
      <c r="A100" s="681" t="str">
        <f>"주 1) 적용대상액 : "&amp;인집!$A$1&amp;인집!$A$2&amp;" 참조"</f>
        <v>주 1) 적용대상액 : &lt; 표 : 3 &gt; 단위당인건비집계표 참조</v>
      </c>
      <c r="C100" s="681"/>
      <c r="D100" s="681"/>
      <c r="E100" s="682"/>
      <c r="F100" s="682"/>
      <c r="G100" s="606"/>
      <c r="H100" s="606"/>
      <c r="I100" s="606"/>
      <c r="J100" s="737"/>
    </row>
    <row r="101" spans="1:10" s="683" customFormat="1" ht="24.95" hidden="1" customHeight="1">
      <c r="A101" s="681" t="str">
        <f>"   2) 비율(%) : "&amp;보험료산출기준!$A$1&amp;보험료산출기준!$A$2&amp;" 참조"</f>
        <v xml:space="preserve">   2) 비율(%) : &lt; 표 : 13 &gt; 경비산정기준표 참조</v>
      </c>
      <c r="C101" s="681"/>
      <c r="D101" s="681"/>
      <c r="E101" s="682"/>
      <c r="F101" s="682"/>
      <c r="G101" s="606"/>
      <c r="H101" s="606"/>
      <c r="I101" s="606"/>
      <c r="J101" s="737"/>
    </row>
    <row r="102" spans="1:10" s="683" customFormat="1" ht="24.95" hidden="1" customHeight="1">
      <c r="A102" s="685" t="s">
        <v>427</v>
      </c>
      <c r="C102" s="681"/>
      <c r="D102" s="684"/>
      <c r="E102" s="738"/>
      <c r="F102" s="738"/>
      <c r="G102" s="739"/>
      <c r="H102" s="739"/>
      <c r="I102" s="739"/>
    </row>
    <row r="103" spans="1:10" s="683" customFormat="1" ht="24.95" hidden="1" customHeight="1">
      <c r="A103" s="685"/>
      <c r="C103" s="681"/>
      <c r="D103" s="684"/>
      <c r="E103" s="738"/>
      <c r="F103" s="738"/>
      <c r="G103" s="739"/>
      <c r="H103" s="739"/>
      <c r="I103" s="739"/>
    </row>
    <row r="104" spans="1:10" s="683" customFormat="1" ht="24.95" hidden="1" customHeight="1">
      <c r="A104" s="685"/>
      <c r="C104" s="681"/>
      <c r="D104" s="684"/>
      <c r="E104" s="738"/>
      <c r="F104" s="738"/>
      <c r="G104" s="739"/>
      <c r="H104" s="739"/>
      <c r="I104" s="739"/>
    </row>
    <row r="105" spans="1:10" s="683" customFormat="1" ht="24.95" hidden="1" customHeight="1">
      <c r="A105" s="685"/>
      <c r="C105" s="681"/>
      <c r="D105" s="684"/>
      <c r="E105" s="738"/>
      <c r="F105" s="738"/>
      <c r="G105" s="739"/>
      <c r="H105" s="739"/>
      <c r="I105" s="739"/>
    </row>
    <row r="106" spans="1:10" s="683" customFormat="1" ht="24.95" hidden="1" customHeight="1">
      <c r="A106" s="685"/>
      <c r="C106" s="681"/>
      <c r="D106" s="684"/>
      <c r="E106" s="738"/>
      <c r="F106" s="738"/>
      <c r="G106" s="739"/>
      <c r="H106" s="739"/>
      <c r="I106" s="739"/>
    </row>
    <row r="107" spans="1:10" s="683" customFormat="1" ht="20.100000000000001" hidden="1" customHeight="1">
      <c r="A107" s="685"/>
      <c r="C107" s="681"/>
      <c r="D107" s="684"/>
      <c r="E107" s="738"/>
      <c r="F107" s="738"/>
      <c r="G107" s="739"/>
      <c r="H107" s="739"/>
      <c r="I107" s="739"/>
    </row>
    <row r="108" spans="1:10" ht="20.100000000000001" hidden="1" customHeight="1">
      <c r="A108" s="656" t="str">
        <f>원가!A179</f>
        <v xml:space="preserve">구 분 :                        직종명 : </v>
      </c>
      <c r="B108" s="612"/>
      <c r="C108" s="612"/>
      <c r="D108" s="656"/>
      <c r="I108" s="661"/>
      <c r="J108" s="661" t="s">
        <v>36</v>
      </c>
    </row>
    <row r="109" spans="1:10" ht="24.95" hidden="1" customHeight="1">
      <c r="A109" s="979" t="s">
        <v>71</v>
      </c>
      <c r="B109" s="980"/>
      <c r="C109" s="981"/>
      <c r="D109" s="931" t="s">
        <v>72</v>
      </c>
      <c r="E109" s="985"/>
      <c r="F109" s="985"/>
      <c r="G109" s="932"/>
      <c r="H109" s="986" t="s">
        <v>206</v>
      </c>
      <c r="I109" s="988" t="s">
        <v>73</v>
      </c>
      <c r="J109" s="977" t="s">
        <v>74</v>
      </c>
    </row>
    <row r="110" spans="1:10" ht="24.95" hidden="1" customHeight="1">
      <c r="A110" s="982"/>
      <c r="B110" s="983"/>
      <c r="C110" s="984"/>
      <c r="D110" s="707" t="s">
        <v>75</v>
      </c>
      <c r="E110" s="708" t="s">
        <v>76</v>
      </c>
      <c r="F110" s="708" t="s">
        <v>77</v>
      </c>
      <c r="G110" s="708" t="s">
        <v>55</v>
      </c>
      <c r="H110" s="987"/>
      <c r="I110" s="989"/>
      <c r="J110" s="978"/>
    </row>
    <row r="111" spans="1:10" ht="20.100000000000001" hidden="1" customHeight="1">
      <c r="A111" s="630"/>
      <c r="B111" s="703"/>
      <c r="C111" s="704"/>
      <c r="D111" s="706"/>
      <c r="E111" s="705"/>
      <c r="F111" s="705"/>
      <c r="G111" s="629"/>
      <c r="H111" s="709"/>
      <c r="I111" s="705"/>
      <c r="J111" s="706"/>
    </row>
    <row r="112" spans="1:10" ht="39.950000000000003" hidden="1" customHeight="1">
      <c r="A112" s="610"/>
      <c r="B112" s="614"/>
      <c r="C112" s="710"/>
      <c r="D112" s="711"/>
      <c r="E112" s="712"/>
      <c r="F112" s="712"/>
      <c r="G112" s="609"/>
      <c r="H112" s="713" t="s">
        <v>1</v>
      </c>
      <c r="I112" s="712"/>
      <c r="J112" s="711"/>
    </row>
    <row r="113" spans="1:10" ht="39.950000000000003" hidden="1" customHeight="1">
      <c r="A113" s="714"/>
      <c r="B113" s="715" t="s">
        <v>27</v>
      </c>
      <c r="C113" s="716"/>
      <c r="D113" s="717">
        <f>인집!G11</f>
        <v>0</v>
      </c>
      <c r="E113" s="717">
        <f>인집!H11</f>
        <v>0</v>
      </c>
      <c r="F113" s="717">
        <f>인집!I11</f>
        <v>0</v>
      </c>
      <c r="G113" s="718">
        <f>SUM(D113:F113)</f>
        <v>0</v>
      </c>
      <c r="H113" s="833">
        <f>$H$9</f>
        <v>1.8</v>
      </c>
      <c r="I113" s="719">
        <f>TRUNC(G113*H113%,0)</f>
        <v>0</v>
      </c>
      <c r="J113" s="712"/>
    </row>
    <row r="114" spans="1:10" ht="39.950000000000003" hidden="1" customHeight="1">
      <c r="A114" s="610"/>
      <c r="B114" s="715" t="s">
        <v>78</v>
      </c>
      <c r="C114" s="710"/>
      <c r="D114" s="717">
        <f t="shared" ref="D114:F116" si="5">D113</f>
        <v>0</v>
      </c>
      <c r="E114" s="717">
        <f t="shared" si="5"/>
        <v>0</v>
      </c>
      <c r="F114" s="717">
        <f t="shared" si="5"/>
        <v>0</v>
      </c>
      <c r="G114" s="718">
        <f>SUM(D114:F114)</f>
        <v>0</v>
      </c>
      <c r="H114" s="833">
        <f>$H$10</f>
        <v>4.5</v>
      </c>
      <c r="I114" s="719">
        <f>TRUNC(G114*H114%,0)</f>
        <v>0</v>
      </c>
      <c r="J114" s="712"/>
    </row>
    <row r="115" spans="1:10" ht="39.950000000000003" hidden="1" customHeight="1">
      <c r="A115" s="610"/>
      <c r="B115" s="715" t="s">
        <v>79</v>
      </c>
      <c r="C115" s="710"/>
      <c r="D115" s="717">
        <f t="shared" si="5"/>
        <v>0</v>
      </c>
      <c r="E115" s="717">
        <f t="shared" si="5"/>
        <v>0</v>
      </c>
      <c r="F115" s="717">
        <f t="shared" si="5"/>
        <v>0</v>
      </c>
      <c r="G115" s="718">
        <f>SUM(D115:F115)</f>
        <v>0</v>
      </c>
      <c r="H115" s="833">
        <f>$H$11</f>
        <v>0.9</v>
      </c>
      <c r="I115" s="719">
        <f>TRUNC(G115*H115%,0)</f>
        <v>0</v>
      </c>
      <c r="J115" s="712"/>
    </row>
    <row r="116" spans="1:10" ht="39.950000000000003" hidden="1" customHeight="1">
      <c r="A116" s="610"/>
      <c r="B116" s="715" t="s">
        <v>80</v>
      </c>
      <c r="C116" s="710"/>
      <c r="D116" s="717">
        <f t="shared" si="5"/>
        <v>0</v>
      </c>
      <c r="E116" s="717">
        <f t="shared" si="5"/>
        <v>0</v>
      </c>
      <c r="F116" s="717">
        <f t="shared" si="5"/>
        <v>0</v>
      </c>
      <c r="G116" s="718">
        <f>SUM(D116:F116)</f>
        <v>0</v>
      </c>
      <c r="H116" s="833">
        <f>$H$12</f>
        <v>3.0350000000000001</v>
      </c>
      <c r="I116" s="719">
        <f>TRUNC(G116*H116%,0)</f>
        <v>0</v>
      </c>
      <c r="J116" s="712"/>
    </row>
    <row r="117" spans="1:10" ht="39.950000000000003" hidden="1" customHeight="1">
      <c r="A117" s="610"/>
      <c r="B117" s="715" t="s">
        <v>237</v>
      </c>
      <c r="C117" s="710"/>
      <c r="D117" s="717"/>
      <c r="E117" s="717"/>
      <c r="F117" s="717"/>
      <c r="G117" s="717"/>
      <c r="H117" s="833">
        <f>$H$13</f>
        <v>6.55</v>
      </c>
      <c r="I117" s="719">
        <f>TRUNC(I116*H117%,0)</f>
        <v>0</v>
      </c>
      <c r="J117" s="712" t="s">
        <v>215</v>
      </c>
    </row>
    <row r="118" spans="1:10" ht="39.950000000000003" hidden="1" customHeight="1">
      <c r="A118" s="720"/>
      <c r="B118" s="721" t="s">
        <v>81</v>
      </c>
      <c r="C118" s="722"/>
      <c r="D118" s="717">
        <f>D116</f>
        <v>0</v>
      </c>
      <c r="E118" s="717">
        <f>E116</f>
        <v>0</v>
      </c>
      <c r="F118" s="717">
        <f>F116</f>
        <v>0</v>
      </c>
      <c r="G118" s="718">
        <f>SUM(D118:F118)</f>
        <v>0</v>
      </c>
      <c r="H118" s="833">
        <f>$H$14</f>
        <v>0.08</v>
      </c>
      <c r="I118" s="719">
        <f>TRUNC(G118*H118%,0)</f>
        <v>0</v>
      </c>
      <c r="J118" s="712"/>
    </row>
    <row r="119" spans="1:10" ht="20.100000000000001" hidden="1" customHeight="1">
      <c r="A119" s="723"/>
      <c r="B119" s="724"/>
      <c r="C119" s="725"/>
      <c r="D119" s="726"/>
      <c r="E119" s="726"/>
      <c r="F119" s="726"/>
      <c r="G119" s="727"/>
      <c r="H119" s="728"/>
      <c r="I119" s="729"/>
      <c r="J119" s="708"/>
    </row>
    <row r="120" spans="1:10" ht="45" hidden="1" customHeight="1">
      <c r="A120" s="730"/>
      <c r="B120" s="731" t="s">
        <v>178</v>
      </c>
      <c r="C120" s="732"/>
      <c r="D120" s="733"/>
      <c r="E120" s="734"/>
      <c r="F120" s="734"/>
      <c r="G120" s="735"/>
      <c r="H120" s="735"/>
      <c r="I120" s="734">
        <f>SUM(I113:I119)</f>
        <v>0</v>
      </c>
      <c r="J120" s="736"/>
    </row>
    <row r="121" spans="1:10" s="683" customFormat="1" ht="24.95" hidden="1" customHeight="1">
      <c r="A121" s="681" t="str">
        <f>"주 1) 적용대상액 : "&amp;인집!$A$1&amp;인집!$A$2&amp;" 참조"</f>
        <v>주 1) 적용대상액 : &lt; 표 : 3 &gt; 단위당인건비집계표 참조</v>
      </c>
      <c r="C121" s="681"/>
      <c r="D121" s="681"/>
      <c r="E121" s="682"/>
      <c r="F121" s="682"/>
      <c r="G121" s="606"/>
      <c r="H121" s="606"/>
      <c r="I121" s="606"/>
      <c r="J121" s="737"/>
    </row>
    <row r="122" spans="1:10" s="683" customFormat="1" ht="24.95" hidden="1" customHeight="1">
      <c r="A122" s="681" t="str">
        <f>"   2) 비율(%) : "&amp;보험료산출기준!$A$1&amp;보험료산출기준!$A$2&amp;" 참조"</f>
        <v xml:space="preserve">   2) 비율(%) : &lt; 표 : 13 &gt; 경비산정기준표 참조</v>
      </c>
      <c r="C122" s="681"/>
      <c r="D122" s="681"/>
      <c r="E122" s="682"/>
      <c r="F122" s="682"/>
      <c r="G122" s="606"/>
      <c r="H122" s="606"/>
      <c r="I122" s="606"/>
      <c r="J122" s="737"/>
    </row>
    <row r="123" spans="1:10" s="683" customFormat="1" ht="24.95" hidden="1" customHeight="1">
      <c r="A123" s="685" t="s">
        <v>427</v>
      </c>
      <c r="C123" s="681"/>
      <c r="D123" s="684"/>
      <c r="E123" s="738"/>
      <c r="F123" s="738"/>
      <c r="G123" s="739"/>
      <c r="H123" s="739"/>
      <c r="I123" s="739"/>
    </row>
    <row r="124" spans="1:10" s="683" customFormat="1" ht="24.95" hidden="1" customHeight="1">
      <c r="A124" s="685"/>
      <c r="C124" s="681"/>
      <c r="D124" s="684"/>
      <c r="E124" s="738"/>
      <c r="F124" s="738"/>
      <c r="G124" s="739"/>
      <c r="H124" s="739"/>
      <c r="I124" s="739"/>
    </row>
    <row r="125" spans="1:10" s="683" customFormat="1" ht="24.95" hidden="1" customHeight="1">
      <c r="A125" s="685"/>
      <c r="C125" s="681"/>
      <c r="D125" s="684"/>
      <c r="E125" s="738"/>
      <c r="F125" s="738"/>
      <c r="G125" s="739"/>
      <c r="H125" s="739"/>
      <c r="I125" s="739"/>
    </row>
    <row r="126" spans="1:10" s="683" customFormat="1" ht="24.95" hidden="1" customHeight="1">
      <c r="A126" s="685"/>
      <c r="C126" s="681"/>
      <c r="D126" s="684"/>
      <c r="E126" s="738"/>
      <c r="F126" s="738"/>
      <c r="G126" s="739"/>
      <c r="H126" s="739"/>
      <c r="I126" s="739"/>
    </row>
    <row r="127" spans="1:10" s="683" customFormat="1" ht="24.95" hidden="1" customHeight="1">
      <c r="A127" s="685"/>
      <c r="C127" s="681"/>
      <c r="D127" s="684"/>
      <c r="E127" s="738"/>
      <c r="F127" s="738"/>
      <c r="G127" s="739"/>
      <c r="H127" s="739"/>
      <c r="I127" s="739"/>
    </row>
    <row r="128" spans="1:10" s="683" customFormat="1" ht="20.100000000000001" hidden="1" customHeight="1">
      <c r="A128" s="685"/>
      <c r="C128" s="681"/>
      <c r="D128" s="684"/>
      <c r="E128" s="738"/>
      <c r="F128" s="738"/>
      <c r="G128" s="739"/>
      <c r="H128" s="739"/>
      <c r="I128" s="739"/>
    </row>
    <row r="129" spans="1:10" ht="20.100000000000001" hidden="1" customHeight="1">
      <c r="A129" s="656" t="str">
        <f>원가!A214</f>
        <v xml:space="preserve">구 분 :                        직종명 : </v>
      </c>
      <c r="B129" s="612"/>
      <c r="C129" s="612"/>
      <c r="D129" s="656"/>
      <c r="I129" s="661"/>
      <c r="J129" s="661" t="s">
        <v>36</v>
      </c>
    </row>
    <row r="130" spans="1:10" ht="24.95" hidden="1" customHeight="1">
      <c r="A130" s="979" t="s">
        <v>71</v>
      </c>
      <c r="B130" s="980"/>
      <c r="C130" s="981"/>
      <c r="D130" s="931" t="s">
        <v>72</v>
      </c>
      <c r="E130" s="985"/>
      <c r="F130" s="985"/>
      <c r="G130" s="932"/>
      <c r="H130" s="986" t="s">
        <v>206</v>
      </c>
      <c r="I130" s="988" t="s">
        <v>73</v>
      </c>
      <c r="J130" s="977" t="s">
        <v>74</v>
      </c>
    </row>
    <row r="131" spans="1:10" ht="24.95" hidden="1" customHeight="1">
      <c r="A131" s="982"/>
      <c r="B131" s="983"/>
      <c r="C131" s="984"/>
      <c r="D131" s="707" t="s">
        <v>75</v>
      </c>
      <c r="E131" s="708" t="s">
        <v>76</v>
      </c>
      <c r="F131" s="708" t="s">
        <v>77</v>
      </c>
      <c r="G131" s="708" t="s">
        <v>55</v>
      </c>
      <c r="H131" s="987"/>
      <c r="I131" s="989"/>
      <c r="J131" s="978"/>
    </row>
    <row r="132" spans="1:10" ht="20.100000000000001" hidden="1" customHeight="1">
      <c r="A132" s="630"/>
      <c r="B132" s="703"/>
      <c r="C132" s="704"/>
      <c r="D132" s="706"/>
      <c r="E132" s="705"/>
      <c r="F132" s="705"/>
      <c r="G132" s="629"/>
      <c r="H132" s="709"/>
      <c r="I132" s="705"/>
      <c r="J132" s="706"/>
    </row>
    <row r="133" spans="1:10" ht="39.950000000000003" hidden="1" customHeight="1">
      <c r="A133" s="610"/>
      <c r="B133" s="614"/>
      <c r="C133" s="710"/>
      <c r="D133" s="711"/>
      <c r="E133" s="712"/>
      <c r="F133" s="712"/>
      <c r="G133" s="609"/>
      <c r="H133" s="713" t="s">
        <v>1</v>
      </c>
      <c r="I133" s="712"/>
      <c r="J133" s="711"/>
    </row>
    <row r="134" spans="1:10" ht="39.950000000000003" hidden="1" customHeight="1">
      <c r="A134" s="714"/>
      <c r="B134" s="715" t="s">
        <v>27</v>
      </c>
      <c r="C134" s="716"/>
      <c r="D134" s="717">
        <f>인집!G12</f>
        <v>0</v>
      </c>
      <c r="E134" s="717">
        <f>인집!H12</f>
        <v>0</v>
      </c>
      <c r="F134" s="717">
        <f>인집!I12</f>
        <v>0</v>
      </c>
      <c r="G134" s="718">
        <f>SUM(D134:F134)</f>
        <v>0</v>
      </c>
      <c r="H134" s="833">
        <f>$H$9</f>
        <v>1.8</v>
      </c>
      <c r="I134" s="719">
        <f>TRUNC(G134*H134%,0)</f>
        <v>0</v>
      </c>
      <c r="J134" s="712"/>
    </row>
    <row r="135" spans="1:10" ht="39.950000000000003" hidden="1" customHeight="1">
      <c r="A135" s="610"/>
      <c r="B135" s="715" t="s">
        <v>78</v>
      </c>
      <c r="C135" s="710"/>
      <c r="D135" s="717">
        <f t="shared" ref="D135:F137" si="6">D134</f>
        <v>0</v>
      </c>
      <c r="E135" s="717">
        <f t="shared" si="6"/>
        <v>0</v>
      </c>
      <c r="F135" s="717">
        <f t="shared" si="6"/>
        <v>0</v>
      </c>
      <c r="G135" s="718">
        <f>SUM(D135:F135)</f>
        <v>0</v>
      </c>
      <c r="H135" s="833">
        <f>$H$10</f>
        <v>4.5</v>
      </c>
      <c r="I135" s="719">
        <f>TRUNC(G135*H135%,0)</f>
        <v>0</v>
      </c>
      <c r="J135" s="712"/>
    </row>
    <row r="136" spans="1:10" ht="39.950000000000003" hidden="1" customHeight="1">
      <c r="A136" s="610"/>
      <c r="B136" s="715" t="s">
        <v>79</v>
      </c>
      <c r="C136" s="710"/>
      <c r="D136" s="717">
        <f t="shared" si="6"/>
        <v>0</v>
      </c>
      <c r="E136" s="717">
        <f t="shared" si="6"/>
        <v>0</v>
      </c>
      <c r="F136" s="717">
        <f t="shared" si="6"/>
        <v>0</v>
      </c>
      <c r="G136" s="718">
        <f>SUM(D136:F136)</f>
        <v>0</v>
      </c>
      <c r="H136" s="833">
        <f>$H$11</f>
        <v>0.9</v>
      </c>
      <c r="I136" s="719">
        <f>TRUNC(G136*H136%,0)</f>
        <v>0</v>
      </c>
      <c r="J136" s="712"/>
    </row>
    <row r="137" spans="1:10" ht="39.950000000000003" hidden="1" customHeight="1">
      <c r="A137" s="610"/>
      <c r="B137" s="715" t="s">
        <v>80</v>
      </c>
      <c r="C137" s="710"/>
      <c r="D137" s="717">
        <f t="shared" si="6"/>
        <v>0</v>
      </c>
      <c r="E137" s="717">
        <f t="shared" si="6"/>
        <v>0</v>
      </c>
      <c r="F137" s="717">
        <f t="shared" si="6"/>
        <v>0</v>
      </c>
      <c r="G137" s="718">
        <f>SUM(D137:F137)</f>
        <v>0</v>
      </c>
      <c r="H137" s="833">
        <f>$H$12</f>
        <v>3.0350000000000001</v>
      </c>
      <c r="I137" s="719">
        <f>TRUNC(G137*H137%,0)</f>
        <v>0</v>
      </c>
      <c r="J137" s="712"/>
    </row>
    <row r="138" spans="1:10" ht="39.950000000000003" hidden="1" customHeight="1">
      <c r="A138" s="610"/>
      <c r="B138" s="715" t="s">
        <v>237</v>
      </c>
      <c r="C138" s="710"/>
      <c r="D138" s="717"/>
      <c r="E138" s="717"/>
      <c r="F138" s="717"/>
      <c r="G138" s="717"/>
      <c r="H138" s="833">
        <f>$H$13</f>
        <v>6.55</v>
      </c>
      <c r="I138" s="719">
        <f>TRUNC(I137*H138%,0)</f>
        <v>0</v>
      </c>
      <c r="J138" s="712" t="s">
        <v>215</v>
      </c>
    </row>
    <row r="139" spans="1:10" ht="39.950000000000003" hidden="1" customHeight="1">
      <c r="A139" s="720"/>
      <c r="B139" s="721" t="s">
        <v>81</v>
      </c>
      <c r="C139" s="722"/>
      <c r="D139" s="717">
        <f>D137</f>
        <v>0</v>
      </c>
      <c r="E139" s="717">
        <f>E137</f>
        <v>0</v>
      </c>
      <c r="F139" s="717">
        <f>F137</f>
        <v>0</v>
      </c>
      <c r="G139" s="718">
        <f>SUM(D139:F139)</f>
        <v>0</v>
      </c>
      <c r="H139" s="833">
        <f>$H$14</f>
        <v>0.08</v>
      </c>
      <c r="I139" s="719">
        <f>TRUNC(G139*H139%,0)</f>
        <v>0</v>
      </c>
      <c r="J139" s="712"/>
    </row>
    <row r="140" spans="1:10" ht="20.100000000000001" hidden="1" customHeight="1">
      <c r="A140" s="723"/>
      <c r="B140" s="724"/>
      <c r="C140" s="725"/>
      <c r="D140" s="726"/>
      <c r="E140" s="726"/>
      <c r="F140" s="726"/>
      <c r="G140" s="727"/>
      <c r="H140" s="728"/>
      <c r="I140" s="729"/>
      <c r="J140" s="708"/>
    </row>
    <row r="141" spans="1:10" ht="45" hidden="1" customHeight="1">
      <c r="A141" s="730"/>
      <c r="B141" s="731" t="s">
        <v>178</v>
      </c>
      <c r="C141" s="732"/>
      <c r="D141" s="733"/>
      <c r="E141" s="734"/>
      <c r="F141" s="734"/>
      <c r="G141" s="735"/>
      <c r="H141" s="735"/>
      <c r="I141" s="734">
        <f>SUM(I134:I140)</f>
        <v>0</v>
      </c>
      <c r="J141" s="736"/>
    </row>
    <row r="142" spans="1:10" s="683" customFormat="1" ht="24.95" hidden="1" customHeight="1">
      <c r="A142" s="681" t="str">
        <f>"주 1) 적용대상액 : "&amp;인집!$A$1&amp;인집!$A$2&amp;" 참조"</f>
        <v>주 1) 적용대상액 : &lt; 표 : 3 &gt; 단위당인건비집계표 참조</v>
      </c>
      <c r="C142" s="681"/>
      <c r="D142" s="681"/>
      <c r="E142" s="682"/>
      <c r="F142" s="682"/>
      <c r="G142" s="606"/>
      <c r="H142" s="606"/>
      <c r="I142" s="606"/>
      <c r="J142" s="737"/>
    </row>
    <row r="143" spans="1:10" s="683" customFormat="1" ht="24.95" hidden="1" customHeight="1">
      <c r="A143" s="681" t="str">
        <f>"   2) 비율(%) : "&amp;보험료산출기준!$A$1&amp;보험료산출기준!$A$2&amp;" 참조"</f>
        <v xml:space="preserve">   2) 비율(%) : &lt; 표 : 13 &gt; 경비산정기준표 참조</v>
      </c>
      <c r="C143" s="681"/>
      <c r="D143" s="681"/>
      <c r="E143" s="682"/>
      <c r="F143" s="682"/>
      <c r="G143" s="606"/>
      <c r="H143" s="606"/>
      <c r="I143" s="606"/>
      <c r="J143" s="737"/>
    </row>
    <row r="144" spans="1:10" s="683" customFormat="1" ht="24.95" hidden="1" customHeight="1">
      <c r="A144" s="685" t="s">
        <v>427</v>
      </c>
      <c r="C144" s="681"/>
      <c r="D144" s="684"/>
      <c r="E144" s="738"/>
      <c r="F144" s="738"/>
      <c r="G144" s="739"/>
      <c r="H144" s="739"/>
      <c r="I144" s="739"/>
    </row>
    <row r="145" spans="1:10" s="683" customFormat="1" ht="24.95" hidden="1" customHeight="1">
      <c r="A145" s="685"/>
      <c r="C145" s="681"/>
      <c r="D145" s="684"/>
      <c r="E145" s="738"/>
      <c r="F145" s="738"/>
      <c r="G145" s="739"/>
      <c r="H145" s="739"/>
      <c r="I145" s="739"/>
    </row>
    <row r="146" spans="1:10" s="683" customFormat="1" ht="24.95" hidden="1" customHeight="1">
      <c r="A146" s="685"/>
      <c r="C146" s="681"/>
      <c r="D146" s="684"/>
      <c r="E146" s="738"/>
      <c r="F146" s="738"/>
      <c r="G146" s="739"/>
      <c r="H146" s="739"/>
      <c r="I146" s="739"/>
    </row>
    <row r="147" spans="1:10" s="683" customFormat="1" ht="24.95" hidden="1" customHeight="1">
      <c r="A147" s="685"/>
      <c r="C147" s="681"/>
      <c r="D147" s="684"/>
      <c r="E147" s="738"/>
      <c r="F147" s="738"/>
      <c r="G147" s="739"/>
      <c r="H147" s="739"/>
      <c r="I147" s="739"/>
    </row>
    <row r="148" spans="1:10" s="683" customFormat="1" ht="24.95" hidden="1" customHeight="1">
      <c r="A148" s="685"/>
      <c r="C148" s="681"/>
      <c r="D148" s="684"/>
      <c r="E148" s="738"/>
      <c r="F148" s="738"/>
      <c r="G148" s="739"/>
      <c r="H148" s="739"/>
      <c r="I148" s="739"/>
    </row>
    <row r="149" spans="1:10" s="683" customFormat="1" ht="20.100000000000001" hidden="1" customHeight="1">
      <c r="A149" s="685"/>
      <c r="C149" s="681"/>
      <c r="D149" s="684"/>
      <c r="E149" s="738"/>
      <c r="F149" s="738"/>
      <c r="G149" s="739"/>
      <c r="H149" s="739"/>
      <c r="I149" s="739"/>
    </row>
    <row r="150" spans="1:10" ht="20.100000000000001" hidden="1" customHeight="1">
      <c r="A150" s="656" t="str">
        <f>원가!A249</f>
        <v xml:space="preserve">구 분 :                        직종명 : </v>
      </c>
      <c r="B150" s="612"/>
      <c r="C150" s="612"/>
      <c r="D150" s="656"/>
      <c r="I150" s="661"/>
      <c r="J150" s="661" t="s">
        <v>36</v>
      </c>
    </row>
    <row r="151" spans="1:10" ht="24.95" hidden="1" customHeight="1">
      <c r="A151" s="979" t="s">
        <v>71</v>
      </c>
      <c r="B151" s="980"/>
      <c r="C151" s="981"/>
      <c r="D151" s="931" t="s">
        <v>72</v>
      </c>
      <c r="E151" s="985"/>
      <c r="F151" s="985"/>
      <c r="G151" s="932"/>
      <c r="H151" s="986" t="s">
        <v>206</v>
      </c>
      <c r="I151" s="988" t="s">
        <v>73</v>
      </c>
      <c r="J151" s="977" t="s">
        <v>74</v>
      </c>
    </row>
    <row r="152" spans="1:10" ht="24.95" hidden="1" customHeight="1">
      <c r="A152" s="982"/>
      <c r="B152" s="983"/>
      <c r="C152" s="984"/>
      <c r="D152" s="707" t="s">
        <v>75</v>
      </c>
      <c r="E152" s="708" t="s">
        <v>76</v>
      </c>
      <c r="F152" s="708" t="s">
        <v>77</v>
      </c>
      <c r="G152" s="708" t="s">
        <v>55</v>
      </c>
      <c r="H152" s="987"/>
      <c r="I152" s="989"/>
      <c r="J152" s="978"/>
    </row>
    <row r="153" spans="1:10" ht="20.100000000000001" hidden="1" customHeight="1">
      <c r="A153" s="630"/>
      <c r="B153" s="703"/>
      <c r="C153" s="704"/>
      <c r="D153" s="706"/>
      <c r="E153" s="705"/>
      <c r="F153" s="705"/>
      <c r="G153" s="629"/>
      <c r="H153" s="709"/>
      <c r="I153" s="705"/>
      <c r="J153" s="706"/>
    </row>
    <row r="154" spans="1:10" ht="39.950000000000003" hidden="1" customHeight="1">
      <c r="A154" s="610"/>
      <c r="B154" s="614"/>
      <c r="C154" s="710"/>
      <c r="D154" s="711"/>
      <c r="E154" s="712"/>
      <c r="F154" s="712"/>
      <c r="G154" s="609"/>
      <c r="H154" s="713" t="s">
        <v>1</v>
      </c>
      <c r="I154" s="712"/>
      <c r="J154" s="711"/>
    </row>
    <row r="155" spans="1:10" ht="39.950000000000003" hidden="1" customHeight="1">
      <c r="A155" s="714"/>
      <c r="B155" s="715" t="s">
        <v>27</v>
      </c>
      <c r="C155" s="716"/>
      <c r="D155" s="717">
        <f>인집!G13</f>
        <v>0</v>
      </c>
      <c r="E155" s="717">
        <f>인집!H13</f>
        <v>0</v>
      </c>
      <c r="F155" s="717">
        <f>인집!I13</f>
        <v>0</v>
      </c>
      <c r="G155" s="718">
        <f>SUM(D155:F155)</f>
        <v>0</v>
      </c>
      <c r="H155" s="833">
        <f>$H$9</f>
        <v>1.8</v>
      </c>
      <c r="I155" s="719">
        <f>TRUNC(G155*H155%,0)</f>
        <v>0</v>
      </c>
      <c r="J155" s="712"/>
    </row>
    <row r="156" spans="1:10" ht="39.950000000000003" hidden="1" customHeight="1">
      <c r="A156" s="610"/>
      <c r="B156" s="715" t="s">
        <v>78</v>
      </c>
      <c r="C156" s="710"/>
      <c r="D156" s="717">
        <f t="shared" ref="D156:F158" si="7">D155</f>
        <v>0</v>
      </c>
      <c r="E156" s="717">
        <f t="shared" si="7"/>
        <v>0</v>
      </c>
      <c r="F156" s="717">
        <f t="shared" si="7"/>
        <v>0</v>
      </c>
      <c r="G156" s="718">
        <f>SUM(D156:F156)</f>
        <v>0</v>
      </c>
      <c r="H156" s="833">
        <f>$H$10</f>
        <v>4.5</v>
      </c>
      <c r="I156" s="719">
        <f>TRUNC(G156*H156%,0)</f>
        <v>0</v>
      </c>
      <c r="J156" s="712"/>
    </row>
    <row r="157" spans="1:10" ht="39.950000000000003" hidden="1" customHeight="1">
      <c r="A157" s="610"/>
      <c r="B157" s="715" t="s">
        <v>79</v>
      </c>
      <c r="C157" s="710"/>
      <c r="D157" s="717">
        <f t="shared" si="7"/>
        <v>0</v>
      </c>
      <c r="E157" s="717">
        <f t="shared" si="7"/>
        <v>0</v>
      </c>
      <c r="F157" s="717">
        <f t="shared" si="7"/>
        <v>0</v>
      </c>
      <c r="G157" s="718">
        <f>SUM(D157:F157)</f>
        <v>0</v>
      </c>
      <c r="H157" s="833">
        <f>$H$11</f>
        <v>0.9</v>
      </c>
      <c r="I157" s="719">
        <f>TRUNC(G157*H157%,0)</f>
        <v>0</v>
      </c>
      <c r="J157" s="712"/>
    </row>
    <row r="158" spans="1:10" ht="39.950000000000003" hidden="1" customHeight="1">
      <c r="A158" s="610"/>
      <c r="B158" s="715" t="s">
        <v>80</v>
      </c>
      <c r="C158" s="710"/>
      <c r="D158" s="717">
        <f t="shared" si="7"/>
        <v>0</v>
      </c>
      <c r="E158" s="717">
        <f t="shared" si="7"/>
        <v>0</v>
      </c>
      <c r="F158" s="717">
        <f t="shared" si="7"/>
        <v>0</v>
      </c>
      <c r="G158" s="718">
        <f>SUM(D158:F158)</f>
        <v>0</v>
      </c>
      <c r="H158" s="833">
        <f>$H$12</f>
        <v>3.0350000000000001</v>
      </c>
      <c r="I158" s="719">
        <f>TRUNC(G158*H158%,0)</f>
        <v>0</v>
      </c>
      <c r="J158" s="712"/>
    </row>
    <row r="159" spans="1:10" ht="39.950000000000003" hidden="1" customHeight="1">
      <c r="A159" s="610"/>
      <c r="B159" s="715" t="s">
        <v>237</v>
      </c>
      <c r="C159" s="710"/>
      <c r="D159" s="717"/>
      <c r="E159" s="717"/>
      <c r="F159" s="717"/>
      <c r="G159" s="717"/>
      <c r="H159" s="833">
        <f>$H$13</f>
        <v>6.55</v>
      </c>
      <c r="I159" s="719">
        <f>TRUNC(I158*H159%,0)</f>
        <v>0</v>
      </c>
      <c r="J159" s="712" t="s">
        <v>215</v>
      </c>
    </row>
    <row r="160" spans="1:10" ht="39.950000000000003" hidden="1" customHeight="1">
      <c r="A160" s="720"/>
      <c r="B160" s="721" t="s">
        <v>81</v>
      </c>
      <c r="C160" s="722"/>
      <c r="D160" s="717">
        <f>D158</f>
        <v>0</v>
      </c>
      <c r="E160" s="717">
        <f>E158</f>
        <v>0</v>
      </c>
      <c r="F160" s="717">
        <f>F158</f>
        <v>0</v>
      </c>
      <c r="G160" s="718">
        <f>SUM(D160:F160)</f>
        <v>0</v>
      </c>
      <c r="H160" s="833">
        <f>$H$14</f>
        <v>0.08</v>
      </c>
      <c r="I160" s="719">
        <f>TRUNC(G160*H160%,0)</f>
        <v>0</v>
      </c>
      <c r="J160" s="712"/>
    </row>
    <row r="161" spans="1:10" ht="20.100000000000001" hidden="1" customHeight="1">
      <c r="A161" s="723"/>
      <c r="B161" s="724"/>
      <c r="C161" s="725"/>
      <c r="D161" s="726"/>
      <c r="E161" s="726"/>
      <c r="F161" s="726"/>
      <c r="G161" s="727"/>
      <c r="H161" s="728"/>
      <c r="I161" s="729"/>
      <c r="J161" s="708"/>
    </row>
    <row r="162" spans="1:10" ht="45" hidden="1" customHeight="1">
      <c r="A162" s="730"/>
      <c r="B162" s="731" t="s">
        <v>178</v>
      </c>
      <c r="C162" s="732"/>
      <c r="D162" s="733"/>
      <c r="E162" s="734"/>
      <c r="F162" s="734"/>
      <c r="G162" s="735"/>
      <c r="H162" s="735"/>
      <c r="I162" s="734">
        <f>SUM(I155:I161)</f>
        <v>0</v>
      </c>
      <c r="J162" s="736"/>
    </row>
    <row r="163" spans="1:10" s="683" customFormat="1" ht="24.95" hidden="1" customHeight="1">
      <c r="A163" s="681" t="str">
        <f>"주 1) 적용대상액 : "&amp;인집!$A$1&amp;인집!$A$2&amp;" 참조"</f>
        <v>주 1) 적용대상액 : &lt; 표 : 3 &gt; 단위당인건비집계표 참조</v>
      </c>
      <c r="C163" s="681"/>
      <c r="D163" s="681"/>
      <c r="E163" s="682"/>
      <c r="F163" s="682"/>
      <c r="G163" s="606"/>
      <c r="H163" s="606"/>
      <c r="I163" s="606"/>
      <c r="J163" s="737"/>
    </row>
    <row r="164" spans="1:10" s="683" customFormat="1" ht="24.95" hidden="1" customHeight="1">
      <c r="A164" s="681" t="str">
        <f>"   2) 비율(%) : "&amp;보험료산출기준!$A$1&amp;보험료산출기준!$A$2&amp;" 참조"</f>
        <v xml:space="preserve">   2) 비율(%) : &lt; 표 : 13 &gt; 경비산정기준표 참조</v>
      </c>
      <c r="C164" s="681"/>
      <c r="D164" s="681"/>
      <c r="E164" s="682"/>
      <c r="F164" s="682"/>
      <c r="G164" s="606"/>
      <c r="H164" s="606"/>
      <c r="I164" s="606"/>
      <c r="J164" s="737"/>
    </row>
    <row r="165" spans="1:10" s="683" customFormat="1" ht="24.95" hidden="1" customHeight="1">
      <c r="A165" s="685" t="s">
        <v>427</v>
      </c>
      <c r="C165" s="681"/>
      <c r="D165" s="684"/>
      <c r="E165" s="738"/>
      <c r="F165" s="738"/>
      <c r="G165" s="739"/>
      <c r="H165" s="739"/>
      <c r="I165" s="739"/>
    </row>
    <row r="166" spans="1:10" s="683" customFormat="1" ht="24.95" hidden="1" customHeight="1">
      <c r="A166" s="685"/>
      <c r="C166" s="681"/>
      <c r="D166" s="684"/>
      <c r="E166" s="738"/>
      <c r="F166" s="738"/>
      <c r="G166" s="739"/>
      <c r="H166" s="739"/>
      <c r="I166" s="739"/>
    </row>
    <row r="167" spans="1:10" s="683" customFormat="1" ht="24.95" hidden="1" customHeight="1">
      <c r="A167" s="685"/>
      <c r="C167" s="681"/>
      <c r="D167" s="684"/>
      <c r="E167" s="738"/>
      <c r="F167" s="738"/>
      <c r="G167" s="739"/>
      <c r="H167" s="739"/>
      <c r="I167" s="739"/>
    </row>
    <row r="168" spans="1:10" s="683" customFormat="1" ht="24.95" hidden="1" customHeight="1">
      <c r="A168" s="685"/>
      <c r="C168" s="681"/>
      <c r="D168" s="684"/>
      <c r="E168" s="738"/>
      <c r="F168" s="738"/>
      <c r="G168" s="739"/>
      <c r="H168" s="739"/>
      <c r="I168" s="739"/>
    </row>
    <row r="169" spans="1:10" s="683" customFormat="1" ht="24.95" hidden="1" customHeight="1">
      <c r="A169" s="685"/>
      <c r="C169" s="681"/>
      <c r="D169" s="684"/>
      <c r="E169" s="738"/>
      <c r="F169" s="738"/>
      <c r="G169" s="739"/>
      <c r="H169" s="739"/>
      <c r="I169" s="739"/>
    </row>
    <row r="170" spans="1:10" s="683" customFormat="1" ht="20.100000000000001" hidden="1" customHeight="1">
      <c r="A170" s="685"/>
      <c r="C170" s="681"/>
      <c r="D170" s="684"/>
      <c r="E170" s="738"/>
      <c r="F170" s="738"/>
      <c r="G170" s="739"/>
      <c r="H170" s="739"/>
      <c r="I170" s="739"/>
    </row>
    <row r="171" spans="1:10" ht="20.100000000000001" customHeight="1">
      <c r="A171" s="656" t="str">
        <f>원가!A284</f>
        <v>구 분 : 다산홀운영                       직종명 : 전기기능사</v>
      </c>
      <c r="B171" s="612"/>
      <c r="C171" s="612"/>
      <c r="D171" s="656"/>
      <c r="I171" s="661"/>
      <c r="J171" s="661" t="s">
        <v>36</v>
      </c>
    </row>
    <row r="172" spans="1:10" ht="24.95" customHeight="1">
      <c r="A172" s="979" t="s">
        <v>71</v>
      </c>
      <c r="B172" s="980"/>
      <c r="C172" s="981"/>
      <c r="D172" s="931" t="s">
        <v>72</v>
      </c>
      <c r="E172" s="985"/>
      <c r="F172" s="985"/>
      <c r="G172" s="932"/>
      <c r="H172" s="986" t="s">
        <v>206</v>
      </c>
      <c r="I172" s="988" t="s">
        <v>73</v>
      </c>
      <c r="J172" s="977" t="s">
        <v>74</v>
      </c>
    </row>
    <row r="173" spans="1:10" ht="24.95" customHeight="1">
      <c r="A173" s="982"/>
      <c r="B173" s="983"/>
      <c r="C173" s="984"/>
      <c r="D173" s="707" t="s">
        <v>75</v>
      </c>
      <c r="E173" s="708" t="s">
        <v>76</v>
      </c>
      <c r="F173" s="708" t="s">
        <v>77</v>
      </c>
      <c r="G173" s="708" t="s">
        <v>55</v>
      </c>
      <c r="H173" s="987"/>
      <c r="I173" s="989"/>
      <c r="J173" s="978"/>
    </row>
    <row r="174" spans="1:10" ht="20.100000000000001" customHeight="1">
      <c r="A174" s="630"/>
      <c r="B174" s="703"/>
      <c r="C174" s="704"/>
      <c r="D174" s="706"/>
      <c r="E174" s="705"/>
      <c r="F174" s="705"/>
      <c r="G174" s="629"/>
      <c r="H174" s="709"/>
      <c r="I174" s="705"/>
      <c r="J174" s="706"/>
    </row>
    <row r="175" spans="1:10" ht="39.950000000000003" customHeight="1">
      <c r="A175" s="610"/>
      <c r="B175" s="614"/>
      <c r="C175" s="710"/>
      <c r="D175" s="711"/>
      <c r="E175" s="712"/>
      <c r="F175" s="712"/>
      <c r="G175" s="609"/>
      <c r="H175" s="713" t="s">
        <v>1</v>
      </c>
      <c r="I175" s="712"/>
      <c r="J175" s="711"/>
    </row>
    <row r="176" spans="1:10" ht="39.950000000000003" customHeight="1">
      <c r="A176" s="714"/>
      <c r="B176" s="715" t="s">
        <v>27</v>
      </c>
      <c r="C176" s="716"/>
      <c r="D176" s="717">
        <f>인집!G14</f>
        <v>2231736</v>
      </c>
      <c r="E176" s="717">
        <f>인집!H14</f>
        <v>454355</v>
      </c>
      <c r="F176" s="717">
        <f>인집!I14</f>
        <v>185978</v>
      </c>
      <c r="G176" s="718">
        <f>SUM(D176:F176)</f>
        <v>2872069</v>
      </c>
      <c r="H176" s="833">
        <v>1.7</v>
      </c>
      <c r="I176" s="719">
        <f>TRUNC(G176*H176%,0)</f>
        <v>48825</v>
      </c>
      <c r="J176" s="712"/>
    </row>
    <row r="177" spans="1:10" ht="39.950000000000003" customHeight="1">
      <c r="A177" s="610"/>
      <c r="B177" s="715" t="s">
        <v>78</v>
      </c>
      <c r="C177" s="710"/>
      <c r="D177" s="717">
        <f t="shared" ref="D177:F179" si="8">D176</f>
        <v>2231736</v>
      </c>
      <c r="E177" s="717">
        <f t="shared" si="8"/>
        <v>454355</v>
      </c>
      <c r="F177" s="717">
        <f t="shared" si="8"/>
        <v>185978</v>
      </c>
      <c r="G177" s="718">
        <f>SUM(D177:F177)</f>
        <v>2872069</v>
      </c>
      <c r="H177" s="833">
        <f>$H$10</f>
        <v>4.5</v>
      </c>
      <c r="I177" s="719">
        <f>TRUNC(G177*H177%,0)</f>
        <v>129243</v>
      </c>
      <c r="J177" s="712"/>
    </row>
    <row r="178" spans="1:10" ht="39.950000000000003" customHeight="1">
      <c r="A178" s="610"/>
      <c r="B178" s="715" t="s">
        <v>79</v>
      </c>
      <c r="C178" s="710"/>
      <c r="D178" s="717">
        <f t="shared" si="8"/>
        <v>2231736</v>
      </c>
      <c r="E178" s="717">
        <f t="shared" si="8"/>
        <v>454355</v>
      </c>
      <c r="F178" s="717">
        <f t="shared" si="8"/>
        <v>185978</v>
      </c>
      <c r="G178" s="718">
        <f>SUM(D178:F178)</f>
        <v>2872069</v>
      </c>
      <c r="H178" s="833">
        <f>$H$11</f>
        <v>0.9</v>
      </c>
      <c r="I178" s="719">
        <f>TRUNC(G178*H178%,0)</f>
        <v>25848</v>
      </c>
      <c r="J178" s="712"/>
    </row>
    <row r="179" spans="1:10" ht="39.950000000000003" customHeight="1">
      <c r="A179" s="610"/>
      <c r="B179" s="715" t="s">
        <v>80</v>
      </c>
      <c r="C179" s="710"/>
      <c r="D179" s="717">
        <f t="shared" si="8"/>
        <v>2231736</v>
      </c>
      <c r="E179" s="717">
        <f t="shared" si="8"/>
        <v>454355</v>
      </c>
      <c r="F179" s="717">
        <f t="shared" si="8"/>
        <v>185978</v>
      </c>
      <c r="G179" s="718">
        <f>SUM(D179:F179)</f>
        <v>2872069</v>
      </c>
      <c r="H179" s="833">
        <v>3.0350000000000001</v>
      </c>
      <c r="I179" s="719">
        <f>TRUNC(G179*H179%,0)</f>
        <v>87167</v>
      </c>
      <c r="J179" s="712"/>
    </row>
    <row r="180" spans="1:10" ht="39.950000000000003" customHeight="1">
      <c r="A180" s="610"/>
      <c r="B180" s="715" t="s">
        <v>237</v>
      </c>
      <c r="C180" s="710"/>
      <c r="D180" s="717"/>
      <c r="E180" s="717"/>
      <c r="F180" s="717"/>
      <c r="G180" s="717"/>
      <c r="H180" s="833">
        <f>$H$13</f>
        <v>6.55</v>
      </c>
      <c r="I180" s="719">
        <f>TRUNC(I179*H180%,0)</f>
        <v>5709</v>
      </c>
      <c r="J180" s="712" t="s">
        <v>215</v>
      </c>
    </row>
    <row r="181" spans="1:10" ht="39.950000000000003" customHeight="1">
      <c r="A181" s="720"/>
      <c r="B181" s="721" t="s">
        <v>81</v>
      </c>
      <c r="C181" s="722"/>
      <c r="D181" s="717">
        <f>D179</f>
        <v>2231736</v>
      </c>
      <c r="E181" s="717">
        <f>E179</f>
        <v>454355</v>
      </c>
      <c r="F181" s="717">
        <f>F179</f>
        <v>185978</v>
      </c>
      <c r="G181" s="718">
        <f>SUM(D181:F181)</f>
        <v>2872069</v>
      </c>
      <c r="H181" s="833">
        <f>$H$14</f>
        <v>0.08</v>
      </c>
      <c r="I181" s="719">
        <f>TRUNC(G181*H181%,0)</f>
        <v>2297</v>
      </c>
      <c r="J181" s="712"/>
    </row>
    <row r="182" spans="1:10" ht="20.100000000000001" customHeight="1">
      <c r="A182" s="723"/>
      <c r="B182" s="724"/>
      <c r="C182" s="725"/>
      <c r="D182" s="726"/>
      <c r="E182" s="726"/>
      <c r="F182" s="726"/>
      <c r="G182" s="727"/>
      <c r="H182" s="728"/>
      <c r="I182" s="729"/>
      <c r="J182" s="708"/>
    </row>
    <row r="183" spans="1:10" ht="45" customHeight="1">
      <c r="A183" s="730"/>
      <c r="B183" s="731" t="s">
        <v>178</v>
      </c>
      <c r="C183" s="732"/>
      <c r="D183" s="733"/>
      <c r="E183" s="734"/>
      <c r="F183" s="734"/>
      <c r="G183" s="735"/>
      <c r="H183" s="735"/>
      <c r="I183" s="734">
        <f>SUM(I176:I182)</f>
        <v>299089</v>
      </c>
      <c r="J183" s="736"/>
    </row>
    <row r="184" spans="1:10" s="683" customFormat="1" ht="24.95" customHeight="1">
      <c r="A184" s="681" t="str">
        <f>"주 1) 적용대상액 : "&amp;인집!$A$1&amp;인집!$A$2&amp;" 참조"</f>
        <v>주 1) 적용대상액 : &lt; 표 : 3 &gt; 단위당인건비집계표 참조</v>
      </c>
      <c r="C184" s="681"/>
      <c r="D184" s="681"/>
      <c r="E184" s="682"/>
      <c r="F184" s="682"/>
      <c r="G184" s="606"/>
      <c r="H184" s="606"/>
      <c r="I184" s="606"/>
      <c r="J184" s="737"/>
    </row>
    <row r="185" spans="1:10" s="683" customFormat="1" ht="24.95" customHeight="1">
      <c r="A185" s="681" t="str">
        <f>"   2) 비율(%) : "&amp;보험료산출기준!$A$1&amp;보험료산출기준!$A$2&amp;" 참조"</f>
        <v xml:space="preserve">   2) 비율(%) : &lt; 표 : 13 &gt; 경비산정기준표 참조</v>
      </c>
      <c r="C185" s="681"/>
      <c r="D185" s="681"/>
      <c r="E185" s="682"/>
      <c r="F185" s="682"/>
      <c r="G185" s="606"/>
      <c r="H185" s="606"/>
      <c r="I185" s="606"/>
      <c r="J185" s="737"/>
    </row>
    <row r="186" spans="1:10" s="683" customFormat="1" ht="24.95" customHeight="1">
      <c r="A186" s="685" t="s">
        <v>427</v>
      </c>
      <c r="C186" s="681"/>
      <c r="D186" s="684"/>
      <c r="E186" s="738"/>
      <c r="F186" s="738"/>
      <c r="G186" s="739"/>
      <c r="H186" s="739"/>
      <c r="I186" s="739"/>
    </row>
    <row r="187" spans="1:10" s="683" customFormat="1" ht="24.95" customHeight="1">
      <c r="A187" s="685"/>
      <c r="C187" s="681"/>
      <c r="D187" s="684"/>
      <c r="E187" s="738"/>
      <c r="F187" s="738"/>
      <c r="G187" s="739"/>
      <c r="H187" s="739"/>
      <c r="I187" s="739"/>
    </row>
    <row r="188" spans="1:10" s="683" customFormat="1" ht="24.95" customHeight="1">
      <c r="A188" s="685"/>
      <c r="C188" s="681"/>
      <c r="D188" s="684"/>
      <c r="E188" s="738"/>
      <c r="F188" s="738"/>
      <c r="G188" s="739"/>
      <c r="H188" s="739"/>
      <c r="I188" s="739"/>
    </row>
    <row r="189" spans="1:10" s="683" customFormat="1" ht="24.95" customHeight="1">
      <c r="A189" s="685"/>
      <c r="C189" s="681"/>
      <c r="D189" s="684"/>
      <c r="E189" s="738"/>
      <c r="F189" s="738"/>
      <c r="G189" s="739"/>
      <c r="H189" s="739"/>
      <c r="I189" s="739"/>
    </row>
    <row r="190" spans="1:10" s="683" customFormat="1" ht="24.95" customHeight="1">
      <c r="A190" s="685"/>
      <c r="C190" s="681"/>
      <c r="D190" s="684"/>
      <c r="E190" s="738"/>
      <c r="F190" s="738"/>
      <c r="G190" s="739"/>
      <c r="H190" s="739"/>
      <c r="I190" s="739"/>
    </row>
    <row r="191" spans="1:10" s="683" customFormat="1" ht="20.100000000000001" customHeight="1">
      <c r="A191" s="685"/>
      <c r="C191" s="681"/>
      <c r="D191" s="684"/>
      <c r="E191" s="738"/>
      <c r="F191" s="738"/>
      <c r="G191" s="739"/>
      <c r="H191" s="739"/>
      <c r="I191" s="739"/>
    </row>
    <row r="192" spans="1:10" ht="20.100000000000001" customHeight="1">
      <c r="A192" s="656" t="str">
        <f>원가!A319</f>
        <v>구 분 : 운 전 원                       직종명 : 단순노무종사원</v>
      </c>
      <c r="B192" s="612"/>
      <c r="C192" s="612"/>
      <c r="D192" s="656"/>
      <c r="I192" s="661"/>
      <c r="J192" s="661" t="s">
        <v>36</v>
      </c>
    </row>
    <row r="193" spans="1:10" ht="24.95" customHeight="1">
      <c r="A193" s="979" t="s">
        <v>71</v>
      </c>
      <c r="B193" s="980"/>
      <c r="C193" s="981"/>
      <c r="D193" s="931" t="s">
        <v>72</v>
      </c>
      <c r="E193" s="985"/>
      <c r="F193" s="985"/>
      <c r="G193" s="932"/>
      <c r="H193" s="986" t="s">
        <v>206</v>
      </c>
      <c r="I193" s="988" t="s">
        <v>73</v>
      </c>
      <c r="J193" s="977" t="s">
        <v>74</v>
      </c>
    </row>
    <row r="194" spans="1:10" ht="24.95" customHeight="1">
      <c r="A194" s="982"/>
      <c r="B194" s="983"/>
      <c r="C194" s="984"/>
      <c r="D194" s="707" t="s">
        <v>75</v>
      </c>
      <c r="E194" s="708" t="s">
        <v>76</v>
      </c>
      <c r="F194" s="708" t="s">
        <v>77</v>
      </c>
      <c r="G194" s="708" t="s">
        <v>55</v>
      </c>
      <c r="H194" s="987"/>
      <c r="I194" s="989"/>
      <c r="J194" s="978"/>
    </row>
    <row r="195" spans="1:10" ht="20.100000000000001" customHeight="1">
      <c r="A195" s="630"/>
      <c r="B195" s="703"/>
      <c r="C195" s="704"/>
      <c r="D195" s="706"/>
      <c r="E195" s="705"/>
      <c r="F195" s="705"/>
      <c r="G195" s="629"/>
      <c r="H195" s="709"/>
      <c r="I195" s="705"/>
      <c r="J195" s="706"/>
    </row>
    <row r="196" spans="1:10" ht="39.950000000000003" customHeight="1">
      <c r="A196" s="610"/>
      <c r="B196" s="614"/>
      <c r="C196" s="710"/>
      <c r="D196" s="711"/>
      <c r="E196" s="712"/>
      <c r="F196" s="712"/>
      <c r="G196" s="609"/>
      <c r="H196" s="713" t="s">
        <v>1</v>
      </c>
      <c r="I196" s="712"/>
      <c r="J196" s="711"/>
    </row>
    <row r="197" spans="1:10" ht="39.950000000000003" customHeight="1">
      <c r="A197" s="714"/>
      <c r="B197" s="715" t="s">
        <v>27</v>
      </c>
      <c r="C197" s="716"/>
      <c r="D197" s="717">
        <f>인집!G15</f>
        <v>1707524</v>
      </c>
      <c r="E197" s="717">
        <f>인집!H15</f>
        <v>347631</v>
      </c>
      <c r="F197" s="717">
        <f>인집!I15</f>
        <v>569174</v>
      </c>
      <c r="G197" s="718">
        <f>SUM(D197:F197)</f>
        <v>2624329</v>
      </c>
      <c r="H197" s="833">
        <v>1.7</v>
      </c>
      <c r="I197" s="719">
        <f>TRUNC(G197*H197%,0)</f>
        <v>44613</v>
      </c>
      <c r="J197" s="712"/>
    </row>
    <row r="198" spans="1:10" ht="39.950000000000003" customHeight="1">
      <c r="A198" s="610"/>
      <c r="B198" s="715" t="s">
        <v>78</v>
      </c>
      <c r="C198" s="710"/>
      <c r="D198" s="717">
        <f t="shared" ref="D198:F200" si="9">D197</f>
        <v>1707524</v>
      </c>
      <c r="E198" s="717">
        <f t="shared" si="9"/>
        <v>347631</v>
      </c>
      <c r="F198" s="717">
        <f t="shared" si="9"/>
        <v>569174</v>
      </c>
      <c r="G198" s="718">
        <f>SUM(D198:F198)</f>
        <v>2624329</v>
      </c>
      <c r="H198" s="833">
        <f>$H$10</f>
        <v>4.5</v>
      </c>
      <c r="I198" s="719">
        <f>TRUNC(G198*H198%,0)</f>
        <v>118094</v>
      </c>
      <c r="J198" s="712"/>
    </row>
    <row r="199" spans="1:10" ht="39.950000000000003" customHeight="1">
      <c r="A199" s="610"/>
      <c r="B199" s="715" t="s">
        <v>79</v>
      </c>
      <c r="C199" s="710"/>
      <c r="D199" s="717">
        <f t="shared" si="9"/>
        <v>1707524</v>
      </c>
      <c r="E199" s="717">
        <f t="shared" si="9"/>
        <v>347631</v>
      </c>
      <c r="F199" s="717">
        <f t="shared" si="9"/>
        <v>569174</v>
      </c>
      <c r="G199" s="718">
        <f>SUM(D199:F199)</f>
        <v>2624329</v>
      </c>
      <c r="H199" s="833">
        <f>$H$11</f>
        <v>0.9</v>
      </c>
      <c r="I199" s="719">
        <f>TRUNC(G199*H199%,0)</f>
        <v>23618</v>
      </c>
      <c r="J199" s="712"/>
    </row>
    <row r="200" spans="1:10" ht="39.950000000000003" customHeight="1">
      <c r="A200" s="610"/>
      <c r="B200" s="715" t="s">
        <v>80</v>
      </c>
      <c r="C200" s="710"/>
      <c r="D200" s="717">
        <f t="shared" si="9"/>
        <v>1707524</v>
      </c>
      <c r="E200" s="717">
        <f t="shared" si="9"/>
        <v>347631</v>
      </c>
      <c r="F200" s="717">
        <f t="shared" si="9"/>
        <v>569174</v>
      </c>
      <c r="G200" s="718">
        <f>SUM(D200:F200)</f>
        <v>2624329</v>
      </c>
      <c r="H200" s="833">
        <v>3.0350000000000001</v>
      </c>
      <c r="I200" s="719">
        <f>TRUNC(G200*H200%,0)</f>
        <v>79648</v>
      </c>
      <c r="J200" s="712"/>
    </row>
    <row r="201" spans="1:10" ht="39.950000000000003" customHeight="1">
      <c r="A201" s="610"/>
      <c r="B201" s="715" t="s">
        <v>237</v>
      </c>
      <c r="C201" s="710"/>
      <c r="D201" s="717"/>
      <c r="E201" s="717"/>
      <c r="F201" s="717"/>
      <c r="G201" s="717"/>
      <c r="H201" s="833">
        <f>$H$13</f>
        <v>6.55</v>
      </c>
      <c r="I201" s="719">
        <f>TRUNC(I200*H201%,0)</f>
        <v>5216</v>
      </c>
      <c r="J201" s="712" t="s">
        <v>215</v>
      </c>
    </row>
    <row r="202" spans="1:10" ht="39.950000000000003" customHeight="1">
      <c r="A202" s="720"/>
      <c r="B202" s="721" t="s">
        <v>81</v>
      </c>
      <c r="C202" s="722"/>
      <c r="D202" s="717">
        <f>D200</f>
        <v>1707524</v>
      </c>
      <c r="E202" s="717">
        <f>E200</f>
        <v>347631</v>
      </c>
      <c r="F202" s="717">
        <f>F200</f>
        <v>569174</v>
      </c>
      <c r="G202" s="718">
        <f>SUM(D202:F202)</f>
        <v>2624329</v>
      </c>
      <c r="H202" s="833">
        <f>$H$14</f>
        <v>0.08</v>
      </c>
      <c r="I202" s="719">
        <f>TRUNC(G202*H202%,0)</f>
        <v>2099</v>
      </c>
      <c r="J202" s="712"/>
    </row>
    <row r="203" spans="1:10" ht="20.100000000000001" customHeight="1">
      <c r="A203" s="723"/>
      <c r="B203" s="724"/>
      <c r="C203" s="725"/>
      <c r="D203" s="726"/>
      <c r="E203" s="726"/>
      <c r="F203" s="726"/>
      <c r="G203" s="727"/>
      <c r="H203" s="728"/>
      <c r="I203" s="729"/>
      <c r="J203" s="708"/>
    </row>
    <row r="204" spans="1:10" ht="45" customHeight="1">
      <c r="A204" s="730"/>
      <c r="B204" s="731" t="s">
        <v>178</v>
      </c>
      <c r="C204" s="732"/>
      <c r="D204" s="733"/>
      <c r="E204" s="734"/>
      <c r="F204" s="734"/>
      <c r="G204" s="735"/>
      <c r="H204" s="735"/>
      <c r="I204" s="734">
        <f>SUM(I197:I203)</f>
        <v>273288</v>
      </c>
      <c r="J204" s="736"/>
    </row>
    <row r="205" spans="1:10" s="683" customFormat="1" ht="24.95" customHeight="1">
      <c r="A205" s="681" t="str">
        <f>"주 1) 적용대상액 : "&amp;인집!$A$1&amp;인집!$A$2&amp;" 참조"</f>
        <v>주 1) 적용대상액 : &lt; 표 : 3 &gt; 단위당인건비집계표 참조</v>
      </c>
      <c r="C205" s="681"/>
      <c r="D205" s="681"/>
      <c r="E205" s="682"/>
      <c r="F205" s="682"/>
      <c r="G205" s="606"/>
      <c r="H205" s="606"/>
      <c r="I205" s="606"/>
      <c r="J205" s="737"/>
    </row>
    <row r="206" spans="1:10" s="683" customFormat="1" ht="24.95" customHeight="1">
      <c r="A206" s="681" t="str">
        <f>"   2) 비율(%) : "&amp;보험료산출기준!$A$1&amp;보험료산출기준!$A$2&amp;" 참조"</f>
        <v xml:space="preserve">   2) 비율(%) : &lt; 표 : 13 &gt; 경비산정기준표 참조</v>
      </c>
      <c r="C206" s="681"/>
      <c r="D206" s="681"/>
      <c r="E206" s="682"/>
      <c r="F206" s="682"/>
      <c r="G206" s="606"/>
      <c r="H206" s="606"/>
      <c r="I206" s="606"/>
      <c r="J206" s="737"/>
    </row>
    <row r="207" spans="1:10" s="683" customFormat="1" ht="24.95" customHeight="1">
      <c r="A207" s="685" t="s">
        <v>427</v>
      </c>
      <c r="C207" s="681"/>
      <c r="D207" s="684"/>
      <c r="E207" s="738"/>
      <c r="F207" s="738"/>
      <c r="G207" s="739"/>
      <c r="H207" s="739"/>
      <c r="I207" s="739"/>
    </row>
    <row r="208" spans="1:10" s="683" customFormat="1" ht="24.95" customHeight="1">
      <c r="A208" s="685"/>
      <c r="C208" s="681"/>
      <c r="D208" s="684"/>
      <c r="E208" s="738"/>
      <c r="F208" s="738"/>
      <c r="G208" s="739"/>
      <c r="H208" s="739"/>
      <c r="I208" s="739"/>
    </row>
    <row r="209" spans="1:10" s="683" customFormat="1" ht="24.95" customHeight="1">
      <c r="A209" s="685"/>
      <c r="C209" s="681"/>
      <c r="D209" s="684"/>
      <c r="E209" s="738"/>
      <c r="F209" s="738"/>
      <c r="G209" s="739"/>
      <c r="H209" s="739"/>
      <c r="I209" s="739"/>
    </row>
    <row r="210" spans="1:10" s="683" customFormat="1" ht="24.95" customHeight="1">
      <c r="A210" s="685"/>
      <c r="C210" s="681"/>
      <c r="D210" s="684"/>
      <c r="E210" s="738"/>
      <c r="F210" s="738"/>
      <c r="G210" s="739"/>
      <c r="H210" s="739"/>
      <c r="I210" s="739"/>
    </row>
    <row r="211" spans="1:10" s="683" customFormat="1" ht="24.95" customHeight="1">
      <c r="A211" s="685"/>
      <c r="C211" s="681"/>
      <c r="D211" s="684"/>
      <c r="E211" s="738"/>
      <c r="F211" s="738"/>
      <c r="G211" s="739"/>
      <c r="H211" s="739"/>
      <c r="I211" s="739"/>
    </row>
    <row r="212" spans="1:10" s="683" customFormat="1" ht="20.100000000000001" customHeight="1">
      <c r="A212" s="685"/>
      <c r="C212" s="681"/>
      <c r="D212" s="684"/>
      <c r="E212" s="738"/>
      <c r="F212" s="738"/>
      <c r="G212" s="739"/>
      <c r="H212" s="739"/>
      <c r="I212" s="739"/>
    </row>
    <row r="213" spans="1:10" ht="20.100000000000001" customHeight="1">
      <c r="A213" s="656" t="str">
        <f>원가!A354</f>
        <v>구 분 : 사무보조원                       직종명 : 단순노무종사원</v>
      </c>
      <c r="B213" s="612"/>
      <c r="C213" s="612"/>
      <c r="D213" s="656"/>
      <c r="I213" s="661"/>
      <c r="J213" s="661" t="s">
        <v>36</v>
      </c>
    </row>
    <row r="214" spans="1:10" ht="24.95" customHeight="1">
      <c r="A214" s="979" t="s">
        <v>71</v>
      </c>
      <c r="B214" s="980"/>
      <c r="C214" s="981"/>
      <c r="D214" s="931" t="s">
        <v>72</v>
      </c>
      <c r="E214" s="985"/>
      <c r="F214" s="985"/>
      <c r="G214" s="932"/>
      <c r="H214" s="986" t="s">
        <v>206</v>
      </c>
      <c r="I214" s="988" t="s">
        <v>73</v>
      </c>
      <c r="J214" s="977" t="s">
        <v>74</v>
      </c>
    </row>
    <row r="215" spans="1:10" ht="24.95" customHeight="1">
      <c r="A215" s="982"/>
      <c r="B215" s="983"/>
      <c r="C215" s="984"/>
      <c r="D215" s="707" t="s">
        <v>75</v>
      </c>
      <c r="E215" s="708" t="s">
        <v>76</v>
      </c>
      <c r="F215" s="708" t="s">
        <v>77</v>
      </c>
      <c r="G215" s="708" t="s">
        <v>55</v>
      </c>
      <c r="H215" s="987"/>
      <c r="I215" s="989"/>
      <c r="J215" s="978"/>
    </row>
    <row r="216" spans="1:10" ht="20.100000000000001" customHeight="1">
      <c r="A216" s="630"/>
      <c r="B216" s="703"/>
      <c r="C216" s="704"/>
      <c r="D216" s="706"/>
      <c r="E216" s="705"/>
      <c r="F216" s="705"/>
      <c r="G216" s="629"/>
      <c r="H216" s="709"/>
      <c r="I216" s="705"/>
      <c r="J216" s="706"/>
    </row>
    <row r="217" spans="1:10" ht="39.950000000000003" customHeight="1">
      <c r="A217" s="610"/>
      <c r="B217" s="614"/>
      <c r="C217" s="710"/>
      <c r="D217" s="711"/>
      <c r="E217" s="712"/>
      <c r="F217" s="712"/>
      <c r="G217" s="609"/>
      <c r="H217" s="713" t="s">
        <v>1</v>
      </c>
      <c r="I217" s="712"/>
      <c r="J217" s="711"/>
    </row>
    <row r="218" spans="1:10" ht="39.950000000000003" customHeight="1">
      <c r="A218" s="714"/>
      <c r="B218" s="715" t="s">
        <v>27</v>
      </c>
      <c r="C218" s="716"/>
      <c r="D218" s="717">
        <f>인집!G16</f>
        <v>1707524</v>
      </c>
      <c r="E218" s="717">
        <f>인집!H16</f>
        <v>347631</v>
      </c>
      <c r="F218" s="717">
        <f>인집!I16</f>
        <v>71146</v>
      </c>
      <c r="G218" s="718">
        <f>SUM(D218:F218)</f>
        <v>2126301</v>
      </c>
      <c r="H218" s="833">
        <v>1.7</v>
      </c>
      <c r="I218" s="719">
        <f>TRUNC(G218*H218%,0)</f>
        <v>36147</v>
      </c>
      <c r="J218" s="712"/>
    </row>
    <row r="219" spans="1:10" ht="39.950000000000003" customHeight="1">
      <c r="A219" s="610"/>
      <c r="B219" s="715" t="s">
        <v>78</v>
      </c>
      <c r="C219" s="710"/>
      <c r="D219" s="717">
        <f t="shared" ref="D219:F221" si="10">D218</f>
        <v>1707524</v>
      </c>
      <c r="E219" s="717">
        <f t="shared" si="10"/>
        <v>347631</v>
      </c>
      <c r="F219" s="717">
        <f t="shared" si="10"/>
        <v>71146</v>
      </c>
      <c r="G219" s="718">
        <f>SUM(D219:F219)</f>
        <v>2126301</v>
      </c>
      <c r="H219" s="833">
        <f>$H$10</f>
        <v>4.5</v>
      </c>
      <c r="I219" s="719">
        <f>TRUNC(G219*H219%,0)</f>
        <v>95683</v>
      </c>
      <c r="J219" s="712"/>
    </row>
    <row r="220" spans="1:10" ht="39.950000000000003" customHeight="1">
      <c r="A220" s="610"/>
      <c r="B220" s="715" t="s">
        <v>79</v>
      </c>
      <c r="C220" s="710"/>
      <c r="D220" s="717">
        <f t="shared" si="10"/>
        <v>1707524</v>
      </c>
      <c r="E220" s="717">
        <f t="shared" si="10"/>
        <v>347631</v>
      </c>
      <c r="F220" s="717">
        <f t="shared" si="10"/>
        <v>71146</v>
      </c>
      <c r="G220" s="718">
        <f>SUM(D220:F220)</f>
        <v>2126301</v>
      </c>
      <c r="H220" s="833">
        <f>$H$11</f>
        <v>0.9</v>
      </c>
      <c r="I220" s="719">
        <f>TRUNC(G220*H220%,0)</f>
        <v>19136</v>
      </c>
      <c r="J220" s="712"/>
    </row>
    <row r="221" spans="1:10" ht="39.950000000000003" customHeight="1">
      <c r="A221" s="610"/>
      <c r="B221" s="715" t="s">
        <v>80</v>
      </c>
      <c r="C221" s="710"/>
      <c r="D221" s="717">
        <f t="shared" si="10"/>
        <v>1707524</v>
      </c>
      <c r="E221" s="717">
        <f t="shared" si="10"/>
        <v>347631</v>
      </c>
      <c r="F221" s="717">
        <f t="shared" si="10"/>
        <v>71146</v>
      </c>
      <c r="G221" s="718">
        <f>SUM(D221:F221)</f>
        <v>2126301</v>
      </c>
      <c r="H221" s="833">
        <v>3.0350000000000001</v>
      </c>
      <c r="I221" s="719">
        <f>TRUNC(G221*H221%,0)</f>
        <v>64533</v>
      </c>
      <c r="J221" s="712"/>
    </row>
    <row r="222" spans="1:10" ht="39.950000000000003" customHeight="1">
      <c r="A222" s="610"/>
      <c r="B222" s="715" t="s">
        <v>237</v>
      </c>
      <c r="C222" s="710"/>
      <c r="D222" s="717"/>
      <c r="E222" s="717"/>
      <c r="F222" s="717"/>
      <c r="G222" s="717"/>
      <c r="H222" s="833">
        <f>$H$13</f>
        <v>6.55</v>
      </c>
      <c r="I222" s="719">
        <f>TRUNC(I221*H222%,0)</f>
        <v>4226</v>
      </c>
      <c r="J222" s="712" t="s">
        <v>215</v>
      </c>
    </row>
    <row r="223" spans="1:10" ht="39.950000000000003" customHeight="1">
      <c r="A223" s="720"/>
      <c r="B223" s="721" t="s">
        <v>81</v>
      </c>
      <c r="C223" s="722"/>
      <c r="D223" s="717">
        <f>D221</f>
        <v>1707524</v>
      </c>
      <c r="E223" s="717">
        <f>E221</f>
        <v>347631</v>
      </c>
      <c r="F223" s="717">
        <f>F221</f>
        <v>71146</v>
      </c>
      <c r="G223" s="718">
        <f>SUM(D223:F223)</f>
        <v>2126301</v>
      </c>
      <c r="H223" s="833">
        <f>$H$14</f>
        <v>0.08</v>
      </c>
      <c r="I223" s="719">
        <f>TRUNC(G223*H223%,0)</f>
        <v>1701</v>
      </c>
      <c r="J223" s="712"/>
    </row>
    <row r="224" spans="1:10" ht="20.100000000000001" customHeight="1">
      <c r="A224" s="723"/>
      <c r="B224" s="724"/>
      <c r="C224" s="725"/>
      <c r="D224" s="726"/>
      <c r="E224" s="726"/>
      <c r="F224" s="726"/>
      <c r="G224" s="727"/>
      <c r="H224" s="728"/>
      <c r="I224" s="729"/>
      <c r="J224" s="708"/>
    </row>
    <row r="225" spans="1:10" ht="45" customHeight="1">
      <c r="A225" s="730"/>
      <c r="B225" s="731" t="s">
        <v>178</v>
      </c>
      <c r="C225" s="732"/>
      <c r="D225" s="733"/>
      <c r="E225" s="734"/>
      <c r="F225" s="734"/>
      <c r="G225" s="735"/>
      <c r="H225" s="735"/>
      <c r="I225" s="734">
        <f>SUM(I218:I224)</f>
        <v>221426</v>
      </c>
      <c r="J225" s="736"/>
    </row>
    <row r="226" spans="1:10" s="683" customFormat="1" ht="24.95" customHeight="1">
      <c r="A226" s="681" t="str">
        <f>"주 1) 적용대상액 : "&amp;인집!$A$1&amp;인집!$A$2&amp;" 참조"</f>
        <v>주 1) 적용대상액 : &lt; 표 : 3 &gt; 단위당인건비집계표 참조</v>
      </c>
      <c r="C226" s="681"/>
      <c r="D226" s="681"/>
      <c r="E226" s="682"/>
      <c r="F226" s="682"/>
      <c r="G226" s="606"/>
      <c r="H226" s="606"/>
      <c r="I226" s="606"/>
      <c r="J226" s="737"/>
    </row>
    <row r="227" spans="1:10" s="683" customFormat="1" ht="24.95" customHeight="1">
      <c r="A227" s="681" t="str">
        <f>"   2) 비율(%) : "&amp;보험료산출기준!$A$1&amp;보험료산출기준!$A$2&amp;" 참조"</f>
        <v xml:space="preserve">   2) 비율(%) : &lt; 표 : 13 &gt; 경비산정기준표 참조</v>
      </c>
      <c r="C227" s="681"/>
      <c r="D227" s="681"/>
      <c r="E227" s="682"/>
      <c r="F227" s="682"/>
      <c r="G227" s="606"/>
      <c r="H227" s="606"/>
      <c r="I227" s="606"/>
      <c r="J227" s="737"/>
    </row>
    <row r="228" spans="1:10" s="683" customFormat="1" ht="24.95" customHeight="1">
      <c r="A228" s="685" t="s">
        <v>427</v>
      </c>
      <c r="C228" s="681"/>
      <c r="D228" s="684"/>
      <c r="E228" s="738"/>
      <c r="F228" s="738"/>
      <c r="G228" s="739"/>
      <c r="H228" s="739"/>
      <c r="I228" s="739"/>
    </row>
    <row r="229" spans="1:10" s="683" customFormat="1" ht="24.95" customHeight="1">
      <c r="A229" s="685"/>
      <c r="C229" s="681"/>
      <c r="D229" s="684"/>
      <c r="E229" s="738"/>
      <c r="F229" s="738"/>
      <c r="G229" s="739"/>
      <c r="H229" s="739"/>
      <c r="I229" s="739"/>
    </row>
    <row r="230" spans="1:10" s="683" customFormat="1" ht="24.95" customHeight="1">
      <c r="A230" s="685"/>
      <c r="C230" s="681"/>
      <c r="D230" s="684"/>
      <c r="E230" s="738"/>
      <c r="F230" s="738"/>
      <c r="G230" s="739"/>
      <c r="H230" s="739"/>
      <c r="I230" s="739"/>
    </row>
    <row r="231" spans="1:10" s="683" customFormat="1" ht="24.95" customHeight="1">
      <c r="A231" s="685"/>
      <c r="C231" s="681"/>
      <c r="D231" s="684"/>
      <c r="E231" s="738"/>
      <c r="F231" s="738"/>
      <c r="G231" s="739"/>
      <c r="H231" s="739"/>
      <c r="I231" s="739"/>
    </row>
    <row r="232" spans="1:10" s="683" customFormat="1" ht="24.95" customHeight="1">
      <c r="A232" s="685"/>
      <c r="C232" s="681"/>
      <c r="D232" s="684"/>
      <c r="E232" s="738"/>
      <c r="F232" s="738"/>
      <c r="G232" s="739"/>
      <c r="H232" s="739"/>
      <c r="I232" s="739"/>
    </row>
    <row r="233" spans="1:10" s="683" customFormat="1" ht="20.100000000000001" customHeight="1">
      <c r="A233" s="685"/>
      <c r="C233" s="681"/>
      <c r="D233" s="684"/>
      <c r="E233" s="738"/>
      <c r="F233" s="738"/>
      <c r="G233" s="739"/>
      <c r="H233" s="739"/>
      <c r="I233" s="739"/>
    </row>
  </sheetData>
  <mergeCells count="55">
    <mergeCell ref="J5:J6"/>
    <mergeCell ref="A5:C6"/>
    <mergeCell ref="D5:G5"/>
    <mergeCell ref="H5:H6"/>
    <mergeCell ref="I5:I6"/>
    <mergeCell ref="J109:J110"/>
    <mergeCell ref="J46:J47"/>
    <mergeCell ref="A25:C26"/>
    <mergeCell ref="D25:G25"/>
    <mergeCell ref="H25:H26"/>
    <mergeCell ref="I25:I26"/>
    <mergeCell ref="J25:J26"/>
    <mergeCell ref="J88:J89"/>
    <mergeCell ref="A67:C68"/>
    <mergeCell ref="A46:C47"/>
    <mergeCell ref="D46:G46"/>
    <mergeCell ref="H46:H47"/>
    <mergeCell ref="A109:C110"/>
    <mergeCell ref="D109:G109"/>
    <mergeCell ref="I46:I47"/>
    <mergeCell ref="H109:H110"/>
    <mergeCell ref="I109:I110"/>
    <mergeCell ref="A193:C194"/>
    <mergeCell ref="D193:G193"/>
    <mergeCell ref="H193:H194"/>
    <mergeCell ref="I193:I194"/>
    <mergeCell ref="A151:C152"/>
    <mergeCell ref="D151:G151"/>
    <mergeCell ref="H151:H152"/>
    <mergeCell ref="I151:I152"/>
    <mergeCell ref="J130:J131"/>
    <mergeCell ref="A130:C131"/>
    <mergeCell ref="D130:G130"/>
    <mergeCell ref="H130:H131"/>
    <mergeCell ref="I130:I131"/>
    <mergeCell ref="J67:J68"/>
    <mergeCell ref="A88:C89"/>
    <mergeCell ref="D88:G88"/>
    <mergeCell ref="H88:H89"/>
    <mergeCell ref="I88:I89"/>
    <mergeCell ref="D67:G67"/>
    <mergeCell ref="H67:H68"/>
    <mergeCell ref="I67:I68"/>
    <mergeCell ref="J151:J152"/>
    <mergeCell ref="A214:C215"/>
    <mergeCell ref="D214:G214"/>
    <mergeCell ref="H214:H215"/>
    <mergeCell ref="I214:I215"/>
    <mergeCell ref="J214:J215"/>
    <mergeCell ref="J193:J194"/>
    <mergeCell ref="A172:C173"/>
    <mergeCell ref="D172:G172"/>
    <mergeCell ref="H172:H173"/>
    <mergeCell ref="I172:I173"/>
    <mergeCell ref="J172:J17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J15"/>
  <sheetViews>
    <sheetView view="pageBreakPreview" zoomScaleNormal="100" zoomScaleSheetLayoutView="100" workbookViewId="0">
      <selection activeCell="I9" sqref="I9"/>
    </sheetView>
  </sheetViews>
  <sheetFormatPr defaultRowHeight="12"/>
  <cols>
    <col min="1" max="1" width="8.42578125" style="467" customWidth="1"/>
    <col min="2" max="2" width="1.28515625" style="467" customWidth="1"/>
    <col min="3" max="3" width="21.28515625" style="467" bestFit="1" customWidth="1"/>
    <col min="4" max="4" width="1.28515625" style="467" customWidth="1"/>
    <col min="5" max="5" width="30" style="461" customWidth="1"/>
    <col min="6" max="6" width="96.7109375" style="461" customWidth="1"/>
    <col min="7" max="7" width="33.85546875" style="461" customWidth="1"/>
    <col min="8" max="8" width="13.28515625" style="461" bestFit="1" customWidth="1"/>
    <col min="9" max="9" width="9.140625" style="461" customWidth="1"/>
    <col min="10" max="10" width="9.140625" style="462"/>
    <col min="11" max="16384" width="9.140625" style="461"/>
  </cols>
  <sheetData>
    <row r="1" spans="1:10" ht="20.100000000000001" customHeight="1">
      <c r="A1" s="419" t="s">
        <v>488</v>
      </c>
      <c r="B1" s="460"/>
      <c r="C1" s="460"/>
      <c r="D1" s="460"/>
    </row>
    <row r="2" spans="1:10" s="465" customFormat="1" ht="42" customHeight="1">
      <c r="A2" s="463" t="s">
        <v>386</v>
      </c>
      <c r="B2" s="464"/>
      <c r="C2" s="464"/>
      <c r="D2" s="464"/>
      <c r="E2" s="463"/>
      <c r="F2" s="463"/>
      <c r="G2" s="463"/>
      <c r="H2" s="463"/>
      <c r="J2" s="466"/>
    </row>
    <row r="3" spans="1:10" ht="30" customHeight="1"/>
    <row r="4" spans="1:10" ht="24.95" customHeight="1">
      <c r="A4" s="947" t="s">
        <v>387</v>
      </c>
      <c r="B4" s="941"/>
      <c r="C4" s="941"/>
      <c r="D4" s="948"/>
      <c r="E4" s="951" t="s">
        <v>388</v>
      </c>
      <c r="F4" s="953" t="s">
        <v>389</v>
      </c>
      <c r="G4" s="951" t="s">
        <v>390</v>
      </c>
      <c r="H4" s="951" t="s">
        <v>391</v>
      </c>
    </row>
    <row r="5" spans="1:10" ht="24.95" customHeight="1">
      <c r="A5" s="949"/>
      <c r="B5" s="942"/>
      <c r="C5" s="942"/>
      <c r="D5" s="950"/>
      <c r="E5" s="952"/>
      <c r="F5" s="954"/>
      <c r="G5" s="952"/>
      <c r="H5" s="952"/>
    </row>
    <row r="6" spans="1:10" ht="65.25" customHeight="1">
      <c r="A6" s="990" t="s">
        <v>392</v>
      </c>
      <c r="B6" s="468"/>
      <c r="C6" s="469" t="s">
        <v>27</v>
      </c>
      <c r="D6" s="470"/>
      <c r="E6" s="471" t="s">
        <v>393</v>
      </c>
      <c r="F6" s="471" t="s">
        <v>559</v>
      </c>
      <c r="G6" s="832" t="s">
        <v>567</v>
      </c>
      <c r="H6" s="472" t="str">
        <f>산재비율!A1&amp;"
참조"</f>
        <v>&lt; 표 : 14 &gt; 
참조</v>
      </c>
      <c r="I6" s="831">
        <v>1.8</v>
      </c>
    </row>
    <row r="7" spans="1:10" ht="65.25" customHeight="1">
      <c r="A7" s="991"/>
      <c r="B7" s="468"/>
      <c r="C7" s="469" t="s">
        <v>78</v>
      </c>
      <c r="D7" s="470"/>
      <c r="E7" s="471" t="s">
        <v>560</v>
      </c>
      <c r="F7" s="471" t="s">
        <v>394</v>
      </c>
      <c r="G7" s="832" t="s">
        <v>395</v>
      </c>
      <c r="H7" s="473"/>
      <c r="I7" s="831">
        <v>4.5</v>
      </c>
    </row>
    <row r="8" spans="1:10" ht="152.25" customHeight="1">
      <c r="A8" s="991"/>
      <c r="B8" s="468"/>
      <c r="C8" s="469" t="s">
        <v>201</v>
      </c>
      <c r="D8" s="470"/>
      <c r="E8" s="471" t="s">
        <v>561</v>
      </c>
      <c r="F8" s="602" t="s">
        <v>562</v>
      </c>
      <c r="G8" s="832" t="s">
        <v>568</v>
      </c>
      <c r="H8" s="473"/>
      <c r="I8" s="831">
        <v>0.9</v>
      </c>
    </row>
    <row r="9" spans="1:10" ht="65.25" customHeight="1">
      <c r="A9" s="991"/>
      <c r="B9" s="468"/>
      <c r="C9" s="469" t="s">
        <v>80</v>
      </c>
      <c r="D9" s="470"/>
      <c r="E9" s="471" t="s">
        <v>563</v>
      </c>
      <c r="F9" s="850" t="s">
        <v>586</v>
      </c>
      <c r="G9" s="851" t="s">
        <v>587</v>
      </c>
      <c r="H9" s="473"/>
      <c r="I9" s="831">
        <v>3.0350000000000001</v>
      </c>
    </row>
    <row r="10" spans="1:10" ht="65.25" customHeight="1">
      <c r="A10" s="991"/>
      <c r="B10" s="468"/>
      <c r="C10" s="469" t="s">
        <v>396</v>
      </c>
      <c r="D10" s="470"/>
      <c r="E10" s="471" t="s">
        <v>564</v>
      </c>
      <c r="F10" s="471" t="s">
        <v>397</v>
      </c>
      <c r="G10" s="832" t="s">
        <v>398</v>
      </c>
      <c r="H10" s="473"/>
      <c r="I10" s="831">
        <v>6.55</v>
      </c>
    </row>
    <row r="11" spans="1:10" ht="65.25" customHeight="1">
      <c r="A11" s="992"/>
      <c r="B11" s="468"/>
      <c r="C11" s="469" t="s">
        <v>81</v>
      </c>
      <c r="D11" s="470"/>
      <c r="E11" s="471" t="s">
        <v>565</v>
      </c>
      <c r="F11" s="471" t="s">
        <v>566</v>
      </c>
      <c r="G11" s="832" t="s">
        <v>399</v>
      </c>
      <c r="H11" s="473"/>
      <c r="I11" s="831">
        <v>0.08</v>
      </c>
    </row>
    <row r="12" spans="1:10" ht="29.25" customHeight="1">
      <c r="A12" s="474"/>
      <c r="B12" s="475"/>
      <c r="C12" s="475"/>
      <c r="D12" s="475"/>
    </row>
    <row r="13" spans="1:10" ht="27.95" customHeight="1"/>
    <row r="14" spans="1:10" ht="27.95" customHeight="1"/>
    <row r="15" spans="1:10" ht="39.950000000000003" customHeight="1"/>
  </sheetData>
  <mergeCells count="6">
    <mergeCell ref="H4:H5"/>
    <mergeCell ref="A6:A11"/>
    <mergeCell ref="A4:D5"/>
    <mergeCell ref="E4:E5"/>
    <mergeCell ref="F4:F5"/>
    <mergeCell ref="G4:G5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>
    <oddFooter>&amp;C- &amp;P -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M2012"/>
  <sheetViews>
    <sheetView showGridLines="0" showZeros="0" view="pageBreakPreview" topLeftCell="A4" zoomScaleNormal="100" zoomScaleSheetLayoutView="100" workbookViewId="0">
      <selection activeCell="J35" sqref="J35"/>
    </sheetView>
  </sheetViews>
  <sheetFormatPr defaultRowHeight="24.95" customHeight="1"/>
  <cols>
    <col min="1" max="1" width="0.85546875" style="425" customWidth="1"/>
    <col min="2" max="2" width="35.7109375" style="420" customWidth="1"/>
    <col min="3" max="3" width="1" style="422" customWidth="1"/>
    <col min="4" max="4" width="11" style="422" customWidth="1"/>
    <col min="5" max="5" width="0.5703125" style="422" customWidth="1"/>
    <col min="6" max="6" width="39.5703125" style="438" customWidth="1"/>
    <col min="7" max="7" width="0.7109375" style="422" customWidth="1"/>
    <col min="8" max="8" width="10.85546875" style="422" customWidth="1"/>
    <col min="9" max="13" width="9.140625" style="424"/>
    <col min="14" max="16384" width="9.140625" style="425"/>
  </cols>
  <sheetData>
    <row r="1" spans="1:13" ht="19.5" customHeight="1">
      <c r="A1" s="419" t="s">
        <v>489</v>
      </c>
      <c r="C1" s="421"/>
      <c r="F1" s="423"/>
    </row>
    <row r="2" spans="1:13" s="432" customFormat="1" ht="30" customHeight="1">
      <c r="A2" s="426" t="s">
        <v>400</v>
      </c>
      <c r="B2" s="427"/>
      <c r="C2" s="428"/>
      <c r="D2" s="428"/>
      <c r="E2" s="428"/>
      <c r="F2" s="429"/>
      <c r="G2" s="428"/>
      <c r="H2" s="428"/>
      <c r="I2" s="430"/>
      <c r="J2" s="431"/>
      <c r="K2" s="431"/>
      <c r="L2" s="431"/>
      <c r="M2" s="431"/>
    </row>
    <row r="3" spans="1:13" ht="5.25" customHeight="1">
      <c r="A3" s="433"/>
      <c r="B3" s="434"/>
      <c r="C3" s="435"/>
      <c r="D3" s="435"/>
      <c r="E3" s="435"/>
      <c r="F3" s="436"/>
      <c r="G3" s="435"/>
      <c r="H3" s="435"/>
      <c r="I3" s="437"/>
      <c r="J3" s="437"/>
      <c r="K3" s="437"/>
      <c r="L3" s="437"/>
      <c r="M3" s="437"/>
    </row>
    <row r="4" spans="1:13" ht="18" customHeight="1">
      <c r="A4" s="420"/>
      <c r="H4" s="439" t="s">
        <v>401</v>
      </c>
    </row>
    <row r="5" spans="1:13" ht="33" customHeight="1">
      <c r="A5" s="440"/>
      <c r="B5" s="441" t="s">
        <v>402</v>
      </c>
      <c r="C5" s="442"/>
      <c r="D5" s="443" t="s">
        <v>403</v>
      </c>
      <c r="E5" s="440"/>
      <c r="F5" s="441" t="s">
        <v>402</v>
      </c>
      <c r="G5" s="442"/>
      <c r="H5" s="443" t="s">
        <v>403</v>
      </c>
    </row>
    <row r="6" spans="1:13" ht="17.100000000000001" customHeight="1">
      <c r="A6" s="444"/>
      <c r="B6" s="445" t="s">
        <v>404</v>
      </c>
      <c r="C6" s="446"/>
      <c r="D6" s="447"/>
      <c r="E6" s="447"/>
      <c r="F6" s="448"/>
      <c r="G6" s="449"/>
      <c r="H6" s="450"/>
    </row>
    <row r="7" spans="1:13" ht="17.100000000000001" customHeight="1">
      <c r="A7" s="444"/>
      <c r="B7" s="445" t="s">
        <v>82</v>
      </c>
      <c r="C7" s="451"/>
      <c r="D7" s="868">
        <v>354</v>
      </c>
      <c r="E7" s="444"/>
      <c r="F7" s="445" t="s">
        <v>518</v>
      </c>
      <c r="G7" s="451"/>
      <c r="H7" s="870">
        <v>11</v>
      </c>
    </row>
    <row r="8" spans="1:13" ht="17.100000000000001" customHeight="1">
      <c r="A8" s="444"/>
      <c r="B8" s="445" t="s">
        <v>83</v>
      </c>
      <c r="C8" s="451"/>
      <c r="D8" s="868">
        <v>201</v>
      </c>
      <c r="E8" s="444"/>
      <c r="F8" s="445" t="s">
        <v>86</v>
      </c>
      <c r="G8" s="451"/>
      <c r="H8" s="870" t="s">
        <v>589</v>
      </c>
    </row>
    <row r="9" spans="1:13" ht="17.100000000000001" customHeight="1">
      <c r="A9" s="444"/>
      <c r="B9" s="445" t="s">
        <v>405</v>
      </c>
      <c r="C9" s="451"/>
      <c r="D9" s="868" t="s">
        <v>590</v>
      </c>
      <c r="E9" s="444"/>
      <c r="F9" s="445" t="s">
        <v>87</v>
      </c>
      <c r="G9" s="451"/>
      <c r="H9" s="870">
        <v>33</v>
      </c>
    </row>
    <row r="10" spans="1:13" ht="17.100000000000001" customHeight="1">
      <c r="A10" s="444"/>
      <c r="B10" s="445" t="s">
        <v>85</v>
      </c>
      <c r="C10" s="451"/>
      <c r="D10" s="868" t="s">
        <v>591</v>
      </c>
      <c r="E10" s="444"/>
      <c r="F10" s="445" t="s">
        <v>173</v>
      </c>
      <c r="G10" s="451"/>
      <c r="H10" s="870">
        <v>10</v>
      </c>
    </row>
    <row r="11" spans="1:13" ht="17.100000000000001" customHeight="1">
      <c r="A11" s="444"/>
      <c r="B11" s="445" t="s">
        <v>406</v>
      </c>
      <c r="C11" s="451"/>
      <c r="D11" s="868" t="s">
        <v>592</v>
      </c>
      <c r="E11" s="444"/>
      <c r="F11" s="445" t="s">
        <v>407</v>
      </c>
      <c r="G11" s="451"/>
      <c r="H11" s="870" t="s">
        <v>593</v>
      </c>
    </row>
    <row r="12" spans="1:13" ht="17.100000000000001" customHeight="1">
      <c r="A12" s="444"/>
      <c r="B12" s="445" t="s">
        <v>88</v>
      </c>
      <c r="C12" s="451"/>
      <c r="D12" s="868"/>
      <c r="E12" s="444"/>
      <c r="F12" s="445" t="s">
        <v>91</v>
      </c>
      <c r="G12" s="451"/>
      <c r="H12" s="870"/>
    </row>
    <row r="13" spans="1:13" ht="17.100000000000001" customHeight="1">
      <c r="A13" s="444"/>
      <c r="B13" s="445" t="s">
        <v>89</v>
      </c>
      <c r="C13" s="451"/>
      <c r="D13" s="868">
        <v>22</v>
      </c>
      <c r="E13" s="444"/>
      <c r="F13" s="445" t="s">
        <v>93</v>
      </c>
      <c r="G13" s="451"/>
      <c r="H13" s="870">
        <v>9</v>
      </c>
    </row>
    <row r="14" spans="1:13" ht="17.100000000000001" customHeight="1">
      <c r="A14" s="444"/>
      <c r="B14" s="445" t="s">
        <v>90</v>
      </c>
      <c r="C14" s="451"/>
      <c r="D14" s="868">
        <v>9</v>
      </c>
      <c r="E14" s="444"/>
      <c r="F14" s="445" t="s">
        <v>519</v>
      </c>
      <c r="G14" s="451"/>
      <c r="H14" s="870" t="s">
        <v>594</v>
      </c>
    </row>
    <row r="15" spans="1:13" ht="17.100000000000001" customHeight="1">
      <c r="A15" s="444"/>
      <c r="B15" s="445" t="s">
        <v>92</v>
      </c>
      <c r="C15" s="451"/>
      <c r="D15" s="868">
        <v>14</v>
      </c>
      <c r="E15" s="444"/>
      <c r="F15" s="445" t="s">
        <v>520</v>
      </c>
      <c r="G15" s="451"/>
      <c r="H15" s="870" t="s">
        <v>594</v>
      </c>
    </row>
    <row r="16" spans="1:13" ht="17.100000000000001" customHeight="1">
      <c r="A16" s="444"/>
      <c r="B16" s="445" t="s">
        <v>94</v>
      </c>
      <c r="C16" s="451"/>
      <c r="D16" s="868">
        <v>25</v>
      </c>
      <c r="E16" s="444"/>
      <c r="F16" s="445" t="s">
        <v>96</v>
      </c>
      <c r="G16" s="451"/>
      <c r="H16" s="870">
        <v>73</v>
      </c>
    </row>
    <row r="17" spans="1:13" ht="17.100000000000001" customHeight="1">
      <c r="A17" s="444"/>
      <c r="B17" s="445" t="s">
        <v>95</v>
      </c>
      <c r="C17" s="451"/>
      <c r="D17" s="868" t="s">
        <v>595</v>
      </c>
      <c r="E17" s="444"/>
      <c r="F17" s="445" t="s">
        <v>408</v>
      </c>
      <c r="G17" s="451"/>
      <c r="H17" s="870" t="s">
        <v>596</v>
      </c>
    </row>
    <row r="18" spans="1:13" ht="17.100000000000001" customHeight="1">
      <c r="A18" s="444"/>
      <c r="B18" s="445" t="s">
        <v>97</v>
      </c>
      <c r="C18" s="451"/>
      <c r="D18" s="868" t="s">
        <v>597</v>
      </c>
      <c r="E18" s="444"/>
      <c r="F18" s="445" t="s">
        <v>410</v>
      </c>
      <c r="G18" s="451"/>
      <c r="H18" s="870"/>
    </row>
    <row r="19" spans="1:13" ht="17.100000000000001" customHeight="1">
      <c r="A19" s="444"/>
      <c r="B19" s="445" t="s">
        <v>409</v>
      </c>
      <c r="C19" s="451"/>
      <c r="D19" s="868">
        <v>26</v>
      </c>
      <c r="E19" s="444"/>
      <c r="F19" s="445" t="s">
        <v>98</v>
      </c>
      <c r="G19" s="451"/>
      <c r="H19" s="870">
        <v>7</v>
      </c>
    </row>
    <row r="20" spans="1:13" ht="17.100000000000001" customHeight="1">
      <c r="A20" s="444"/>
      <c r="B20" s="453" t="s">
        <v>411</v>
      </c>
      <c r="C20" s="451"/>
      <c r="D20" s="868"/>
      <c r="E20" s="444"/>
      <c r="F20" s="445" t="s">
        <v>99</v>
      </c>
      <c r="G20" s="451"/>
      <c r="H20" s="870">
        <v>9</v>
      </c>
    </row>
    <row r="21" spans="1:13" ht="17.100000000000001" customHeight="1">
      <c r="A21" s="444"/>
      <c r="B21" s="445" t="s">
        <v>412</v>
      </c>
      <c r="C21" s="451"/>
      <c r="D21" s="868">
        <v>10</v>
      </c>
      <c r="E21" s="444"/>
      <c r="F21" s="445" t="s">
        <v>414</v>
      </c>
      <c r="G21" s="451"/>
      <c r="H21" s="870" t="s">
        <v>598</v>
      </c>
    </row>
    <row r="22" spans="1:13" ht="17.100000000000001" customHeight="1">
      <c r="A22" s="444"/>
      <c r="B22" s="445" t="s">
        <v>413</v>
      </c>
      <c r="C22" s="451"/>
      <c r="D22" s="868">
        <v>16</v>
      </c>
      <c r="E22" s="444"/>
      <c r="F22" s="445" t="s">
        <v>415</v>
      </c>
      <c r="G22" s="451"/>
      <c r="H22" s="870" t="s">
        <v>599</v>
      </c>
    </row>
    <row r="23" spans="1:13" ht="17.100000000000001" customHeight="1">
      <c r="A23" s="444"/>
      <c r="B23" s="445" t="s">
        <v>100</v>
      </c>
      <c r="C23" s="451"/>
      <c r="D23" s="868">
        <v>18</v>
      </c>
      <c r="E23" s="444"/>
      <c r="F23" s="445" t="s">
        <v>416</v>
      </c>
      <c r="G23" s="451"/>
      <c r="H23" s="870" t="s">
        <v>592</v>
      </c>
    </row>
    <row r="24" spans="1:13" ht="17.100000000000001" customHeight="1">
      <c r="A24" s="444"/>
      <c r="B24" s="445" t="s">
        <v>101</v>
      </c>
      <c r="C24" s="451"/>
      <c r="D24" s="868">
        <v>9</v>
      </c>
      <c r="E24" s="444"/>
      <c r="F24" s="445" t="s">
        <v>417</v>
      </c>
      <c r="G24" s="451"/>
      <c r="H24" s="870"/>
    </row>
    <row r="25" spans="1:13" ht="17.100000000000001" customHeight="1">
      <c r="A25" s="444"/>
      <c r="B25" s="445" t="s">
        <v>102</v>
      </c>
      <c r="C25" s="451"/>
      <c r="D25" s="868" t="s">
        <v>600</v>
      </c>
      <c r="E25" s="444"/>
      <c r="F25" s="445" t="s">
        <v>174</v>
      </c>
      <c r="G25" s="451"/>
      <c r="H25" s="870" t="s">
        <v>601</v>
      </c>
    </row>
    <row r="26" spans="1:13" ht="17.100000000000001" customHeight="1">
      <c r="A26" s="444"/>
      <c r="B26" s="445" t="s">
        <v>418</v>
      </c>
      <c r="C26" s="451"/>
      <c r="D26" s="868" t="s">
        <v>602</v>
      </c>
      <c r="E26" s="444"/>
      <c r="F26" s="445" t="s">
        <v>419</v>
      </c>
      <c r="G26" s="451"/>
      <c r="H26" s="870" t="s">
        <v>603</v>
      </c>
    </row>
    <row r="27" spans="1:13" ht="17.100000000000001" customHeight="1">
      <c r="A27" s="444"/>
      <c r="B27" s="445" t="s">
        <v>103</v>
      </c>
      <c r="C27" s="451"/>
      <c r="D27" s="868" t="s">
        <v>604</v>
      </c>
      <c r="E27" s="444"/>
      <c r="F27" s="445" t="s">
        <v>420</v>
      </c>
      <c r="G27" s="451"/>
      <c r="H27" s="870" t="s">
        <v>605</v>
      </c>
    </row>
    <row r="28" spans="1:13" ht="17.100000000000001" customHeight="1">
      <c r="A28" s="444"/>
      <c r="B28" s="445" t="s">
        <v>104</v>
      </c>
      <c r="C28" s="451"/>
      <c r="D28" s="868" t="s">
        <v>594</v>
      </c>
      <c r="E28" s="444"/>
      <c r="F28" s="445" t="s">
        <v>105</v>
      </c>
      <c r="G28" s="451"/>
      <c r="H28" s="870"/>
    </row>
    <row r="29" spans="1:13" ht="17.100000000000001" customHeight="1">
      <c r="A29" s="444"/>
      <c r="B29" s="445" t="s">
        <v>521</v>
      </c>
      <c r="C29" s="451"/>
      <c r="D29" s="868">
        <v>32</v>
      </c>
      <c r="E29" s="440"/>
      <c r="F29" s="454" t="s">
        <v>107</v>
      </c>
      <c r="G29" s="442"/>
      <c r="H29" s="872" t="s">
        <v>606</v>
      </c>
    </row>
    <row r="30" spans="1:13" ht="17.100000000000001" customHeight="1">
      <c r="A30" s="444"/>
      <c r="B30" s="445" t="s">
        <v>106</v>
      </c>
      <c r="C30" s="451"/>
      <c r="D30" s="868" t="s">
        <v>607</v>
      </c>
      <c r="E30" s="444"/>
      <c r="F30" s="445" t="s">
        <v>109</v>
      </c>
      <c r="G30" s="451"/>
      <c r="H30" s="870" t="s">
        <v>596</v>
      </c>
    </row>
    <row r="31" spans="1:13" ht="24">
      <c r="A31" s="444"/>
      <c r="B31" s="453" t="s">
        <v>421</v>
      </c>
      <c r="C31" s="451"/>
      <c r="D31" s="868" t="s">
        <v>608</v>
      </c>
      <c r="E31" s="444"/>
      <c r="F31" s="445"/>
      <c r="G31" s="451"/>
      <c r="H31" s="870" t="s">
        <v>609</v>
      </c>
    </row>
    <row r="32" spans="1:13" ht="17.100000000000001" customHeight="1">
      <c r="A32" s="444"/>
      <c r="B32" s="445" t="s">
        <v>108</v>
      </c>
      <c r="C32" s="451"/>
      <c r="D32" s="868">
        <v>12</v>
      </c>
      <c r="E32" s="444"/>
      <c r="F32" s="445" t="s">
        <v>112</v>
      </c>
      <c r="G32" s="451"/>
      <c r="H32" s="870">
        <v>10</v>
      </c>
      <c r="I32" s="425"/>
      <c r="J32" s="425"/>
      <c r="K32" s="425"/>
      <c r="L32" s="425"/>
      <c r="M32" s="425"/>
    </row>
    <row r="33" spans="1:13" ht="17.100000000000001" customHeight="1">
      <c r="A33" s="444"/>
      <c r="B33" s="445" t="s">
        <v>110</v>
      </c>
      <c r="C33" s="451"/>
      <c r="D33" s="868">
        <v>37</v>
      </c>
      <c r="E33" s="444"/>
      <c r="F33" s="445" t="s">
        <v>423</v>
      </c>
      <c r="G33" s="451"/>
      <c r="H33" s="870" t="s">
        <v>610</v>
      </c>
      <c r="I33" s="425"/>
      <c r="J33" s="425"/>
      <c r="K33" s="425"/>
      <c r="L33" s="425"/>
      <c r="M33" s="425"/>
    </row>
    <row r="34" spans="1:13" ht="17.100000000000001" customHeight="1">
      <c r="A34" s="444"/>
      <c r="B34" s="445" t="s">
        <v>422</v>
      </c>
      <c r="C34" s="451"/>
      <c r="D34" s="868">
        <v>23</v>
      </c>
      <c r="E34" s="444"/>
      <c r="F34" s="445" t="s">
        <v>424</v>
      </c>
      <c r="G34" s="451"/>
      <c r="H34" s="870" t="s">
        <v>611</v>
      </c>
      <c r="I34" s="425"/>
      <c r="J34" s="425"/>
      <c r="K34" s="425"/>
      <c r="L34" s="425"/>
      <c r="M34" s="425"/>
    </row>
    <row r="35" spans="1:13" ht="17.100000000000001" customHeight="1">
      <c r="A35" s="444"/>
      <c r="B35" s="445" t="s">
        <v>111</v>
      </c>
      <c r="C35" s="451"/>
      <c r="D35" s="868" t="s">
        <v>604</v>
      </c>
      <c r="E35" s="444"/>
      <c r="F35" s="445" t="s">
        <v>228</v>
      </c>
      <c r="G35" s="451"/>
      <c r="H35" s="870">
        <v>6</v>
      </c>
      <c r="I35" s="425"/>
      <c r="J35" s="425"/>
      <c r="K35" s="425"/>
      <c r="L35" s="425"/>
      <c r="M35" s="425"/>
    </row>
    <row r="36" spans="1:13" ht="17.100000000000001" customHeight="1">
      <c r="A36" s="444"/>
      <c r="B36" s="445" t="s">
        <v>113</v>
      </c>
      <c r="C36" s="451"/>
      <c r="D36" s="868">
        <v>13</v>
      </c>
      <c r="E36" s="444"/>
      <c r="F36" s="445" t="s">
        <v>175</v>
      </c>
      <c r="G36" s="451"/>
      <c r="H36" s="870">
        <v>7</v>
      </c>
      <c r="I36" s="425"/>
      <c r="J36" s="425"/>
      <c r="K36" s="425"/>
      <c r="L36" s="425"/>
      <c r="M36" s="425"/>
    </row>
    <row r="37" spans="1:13" ht="17.100000000000001" customHeight="1">
      <c r="A37" s="444"/>
      <c r="B37" s="445" t="s">
        <v>177</v>
      </c>
      <c r="D37" s="869">
        <v>7</v>
      </c>
      <c r="E37" s="444"/>
      <c r="F37" s="445" t="s">
        <v>176</v>
      </c>
      <c r="G37" s="451"/>
      <c r="H37" s="870">
        <v>8</v>
      </c>
      <c r="I37" s="425"/>
      <c r="J37" s="425"/>
      <c r="K37" s="425"/>
      <c r="L37" s="425"/>
      <c r="M37" s="425"/>
    </row>
    <row r="38" spans="1:13" ht="17.100000000000001" customHeight="1">
      <c r="A38" s="444"/>
      <c r="B38" s="445" t="s">
        <v>84</v>
      </c>
      <c r="D38" s="869" t="s">
        <v>612</v>
      </c>
      <c r="E38" s="444"/>
      <c r="F38" s="445" t="s">
        <v>425</v>
      </c>
      <c r="G38" s="451"/>
      <c r="H38" s="870" t="s">
        <v>613</v>
      </c>
      <c r="I38" s="425"/>
      <c r="J38" s="425"/>
      <c r="K38" s="425"/>
      <c r="L38" s="425"/>
      <c r="M38" s="425"/>
    </row>
    <row r="39" spans="1:13" ht="17.100000000000001" customHeight="1">
      <c r="A39" s="444"/>
      <c r="B39" s="445" t="s">
        <v>522</v>
      </c>
      <c r="C39" s="451"/>
      <c r="D39" s="869" t="s">
        <v>594</v>
      </c>
      <c r="E39" s="444"/>
      <c r="F39" s="445" t="s">
        <v>426</v>
      </c>
      <c r="G39" s="451"/>
      <c r="H39" s="452"/>
      <c r="I39" s="425"/>
      <c r="J39" s="425"/>
      <c r="K39" s="425"/>
      <c r="L39" s="425"/>
      <c r="M39" s="425"/>
    </row>
    <row r="40" spans="1:13" ht="17.100000000000001" customHeight="1">
      <c r="A40" s="444"/>
      <c r="B40" s="445" t="s">
        <v>227</v>
      </c>
      <c r="C40" s="451"/>
      <c r="D40" s="869" t="s">
        <v>614</v>
      </c>
      <c r="E40" s="444"/>
      <c r="F40" s="445"/>
      <c r="G40" s="451"/>
      <c r="H40" s="452"/>
      <c r="I40" s="425"/>
      <c r="J40" s="425"/>
      <c r="K40" s="425"/>
      <c r="L40" s="425"/>
      <c r="M40" s="425"/>
    </row>
    <row r="41" spans="1:13" ht="1.5" customHeight="1">
      <c r="A41" s="455"/>
      <c r="B41" s="456"/>
      <c r="C41" s="457"/>
      <c r="D41" s="458"/>
      <c r="E41" s="455"/>
      <c r="F41" s="456"/>
      <c r="G41" s="459"/>
      <c r="H41" s="458"/>
      <c r="I41" s="425"/>
      <c r="J41" s="425"/>
      <c r="K41" s="425"/>
      <c r="L41" s="425"/>
      <c r="M41" s="425"/>
    </row>
    <row r="42" spans="1:13" ht="18" customHeight="1">
      <c r="B42" s="871" t="s">
        <v>615</v>
      </c>
      <c r="F42" s="423"/>
      <c r="I42" s="425"/>
      <c r="J42" s="425"/>
      <c r="K42" s="425"/>
      <c r="L42" s="425"/>
      <c r="M42" s="425"/>
    </row>
    <row r="43" spans="1:13" ht="15" customHeight="1">
      <c r="A43" s="424"/>
      <c r="B43" s="424"/>
      <c r="C43" s="424"/>
      <c r="D43" s="424"/>
      <c r="E43" s="424"/>
      <c r="F43" s="424"/>
      <c r="G43" s="424"/>
      <c r="H43" s="424"/>
      <c r="I43" s="425"/>
      <c r="J43" s="425"/>
      <c r="K43" s="425"/>
      <c r="L43" s="425"/>
      <c r="M43" s="425"/>
    </row>
    <row r="44" spans="1:13" ht="15" customHeight="1">
      <c r="A44" s="424"/>
      <c r="B44" s="424"/>
      <c r="C44" s="424"/>
      <c r="D44" s="424"/>
      <c r="E44" s="424"/>
      <c r="F44" s="424"/>
      <c r="G44" s="424"/>
      <c r="H44" s="424"/>
      <c r="I44" s="425"/>
      <c r="J44" s="425"/>
      <c r="K44" s="425"/>
      <c r="L44" s="425"/>
      <c r="M44" s="425"/>
    </row>
    <row r="45" spans="1:13" ht="15" customHeight="1">
      <c r="A45" s="424"/>
      <c r="B45" s="424"/>
      <c r="C45" s="424"/>
      <c r="D45" s="424"/>
      <c r="E45" s="424"/>
      <c r="F45" s="424"/>
      <c r="G45" s="424"/>
      <c r="H45" s="424"/>
      <c r="I45" s="425"/>
      <c r="J45" s="425"/>
      <c r="K45" s="425"/>
      <c r="L45" s="425"/>
      <c r="M45" s="425"/>
    </row>
    <row r="46" spans="1:13" ht="15" customHeight="1">
      <c r="A46" s="424"/>
      <c r="B46" s="424"/>
      <c r="C46" s="424"/>
      <c r="D46" s="424"/>
      <c r="E46" s="424"/>
      <c r="F46" s="424"/>
      <c r="G46" s="424"/>
      <c r="H46" s="424"/>
      <c r="I46" s="425"/>
      <c r="J46" s="425"/>
      <c r="K46" s="425"/>
      <c r="L46" s="425"/>
      <c r="M46" s="425"/>
    </row>
    <row r="47" spans="1:13" ht="15" customHeight="1">
      <c r="A47" s="424"/>
      <c r="B47" s="424"/>
      <c r="C47" s="424"/>
      <c r="D47" s="424"/>
      <c r="E47" s="424"/>
      <c r="F47" s="424"/>
      <c r="G47" s="424"/>
      <c r="H47" s="424"/>
      <c r="I47" s="425"/>
      <c r="J47" s="425"/>
      <c r="K47" s="425"/>
      <c r="L47" s="425"/>
      <c r="M47" s="425"/>
    </row>
    <row r="48" spans="1:13" ht="15" customHeight="1">
      <c r="A48" s="424"/>
      <c r="B48" s="424"/>
      <c r="C48" s="424"/>
      <c r="D48" s="424"/>
      <c r="E48" s="424"/>
      <c r="F48" s="424"/>
      <c r="G48" s="424"/>
      <c r="H48" s="424"/>
      <c r="I48" s="425"/>
      <c r="J48" s="425"/>
      <c r="K48" s="425"/>
      <c r="L48" s="425"/>
      <c r="M48" s="425"/>
    </row>
    <row r="49" spans="1:13" ht="15" customHeight="1">
      <c r="A49" s="424"/>
      <c r="B49" s="424"/>
      <c r="C49" s="424"/>
      <c r="D49" s="424"/>
      <c r="E49" s="424"/>
      <c r="F49" s="424"/>
      <c r="G49" s="424"/>
      <c r="H49" s="424"/>
      <c r="I49" s="425"/>
      <c r="J49" s="425"/>
      <c r="K49" s="425"/>
      <c r="L49" s="425"/>
      <c r="M49" s="425"/>
    </row>
    <row r="50" spans="1:13" ht="15" customHeight="1">
      <c r="A50" s="424"/>
      <c r="B50" s="424"/>
      <c r="C50" s="424"/>
      <c r="D50" s="424"/>
      <c r="E50" s="424"/>
      <c r="F50" s="424"/>
      <c r="G50" s="424"/>
      <c r="H50" s="424"/>
      <c r="I50" s="425"/>
      <c r="J50" s="425"/>
      <c r="K50" s="425"/>
      <c r="L50" s="425"/>
      <c r="M50" s="425"/>
    </row>
    <row r="51" spans="1:13" ht="15" customHeight="1">
      <c r="A51" s="424"/>
      <c r="B51" s="424"/>
      <c r="C51" s="424"/>
      <c r="D51" s="424"/>
      <c r="E51" s="424"/>
      <c r="F51" s="424"/>
      <c r="G51" s="424"/>
      <c r="H51" s="424"/>
      <c r="I51" s="425"/>
      <c r="J51" s="425"/>
      <c r="K51" s="425"/>
      <c r="L51" s="425"/>
      <c r="M51" s="425"/>
    </row>
    <row r="52" spans="1:13" ht="15" customHeight="1">
      <c r="A52" s="424"/>
      <c r="B52" s="424"/>
      <c r="C52" s="424"/>
      <c r="D52" s="424"/>
      <c r="E52" s="424"/>
      <c r="F52" s="424"/>
      <c r="G52" s="424"/>
      <c r="H52" s="424"/>
      <c r="I52" s="425"/>
      <c r="J52" s="425"/>
      <c r="K52" s="425"/>
      <c r="L52" s="425"/>
      <c r="M52" s="425"/>
    </row>
    <row r="53" spans="1:13" ht="15" customHeight="1">
      <c r="A53" s="424"/>
      <c r="B53" s="424"/>
      <c r="C53" s="424"/>
      <c r="D53" s="424"/>
      <c r="E53" s="424"/>
      <c r="F53" s="424"/>
      <c r="G53" s="424"/>
      <c r="H53" s="424"/>
      <c r="I53" s="425"/>
      <c r="J53" s="425"/>
      <c r="K53" s="425"/>
      <c r="L53" s="425"/>
      <c r="M53" s="425"/>
    </row>
    <row r="54" spans="1:13" ht="15" customHeight="1">
      <c r="A54" s="424"/>
      <c r="B54" s="424"/>
      <c r="C54" s="424"/>
      <c r="D54" s="424"/>
      <c r="E54" s="424"/>
      <c r="F54" s="424"/>
      <c r="G54" s="424"/>
      <c r="H54" s="424"/>
      <c r="I54" s="425"/>
      <c r="J54" s="425"/>
      <c r="K54" s="425"/>
      <c r="L54" s="425"/>
      <c r="M54" s="425"/>
    </row>
    <row r="55" spans="1:13" ht="15" customHeight="1">
      <c r="A55" s="424"/>
      <c r="B55" s="424"/>
      <c r="C55" s="424"/>
      <c r="D55" s="424"/>
      <c r="E55" s="424"/>
      <c r="F55" s="424"/>
      <c r="G55" s="424"/>
      <c r="H55" s="424"/>
      <c r="I55" s="425"/>
      <c r="J55" s="425"/>
      <c r="K55" s="425"/>
      <c r="L55" s="425"/>
      <c r="M55" s="425"/>
    </row>
    <row r="56" spans="1:13" ht="15" customHeight="1">
      <c r="A56" s="424"/>
      <c r="B56" s="424"/>
      <c r="C56" s="424"/>
      <c r="D56" s="424"/>
      <c r="E56" s="424"/>
      <c r="F56" s="424"/>
      <c r="G56" s="424"/>
      <c r="H56" s="424"/>
      <c r="I56" s="425"/>
      <c r="J56" s="425"/>
      <c r="K56" s="425"/>
      <c r="L56" s="425"/>
      <c r="M56" s="425"/>
    </row>
    <row r="57" spans="1:13" ht="15" customHeight="1">
      <c r="A57" s="424"/>
      <c r="B57" s="424"/>
      <c r="C57" s="424"/>
      <c r="D57" s="424"/>
      <c r="E57" s="424"/>
      <c r="F57" s="424"/>
      <c r="G57" s="424"/>
      <c r="H57" s="424"/>
      <c r="I57" s="425"/>
      <c r="J57" s="425"/>
      <c r="K57" s="425"/>
      <c r="L57" s="425"/>
      <c r="M57" s="425"/>
    </row>
    <row r="58" spans="1:13" ht="15" customHeight="1">
      <c r="A58" s="424"/>
      <c r="B58" s="424"/>
      <c r="C58" s="424"/>
      <c r="D58" s="424"/>
      <c r="E58" s="424"/>
      <c r="F58" s="424"/>
      <c r="G58" s="424"/>
      <c r="H58" s="424"/>
      <c r="I58" s="425"/>
      <c r="J58" s="425"/>
      <c r="K58" s="425"/>
      <c r="L58" s="425"/>
      <c r="M58" s="425"/>
    </row>
    <row r="59" spans="1:13" ht="15" customHeight="1">
      <c r="A59" s="424"/>
      <c r="B59" s="424"/>
      <c r="C59" s="424"/>
      <c r="D59" s="424"/>
      <c r="E59" s="424"/>
      <c r="F59" s="424"/>
      <c r="G59" s="424"/>
      <c r="H59" s="424"/>
      <c r="I59" s="425"/>
      <c r="J59" s="425"/>
      <c r="K59" s="425"/>
      <c r="L59" s="425"/>
      <c r="M59" s="425"/>
    </row>
    <row r="60" spans="1:13" ht="15" customHeight="1">
      <c r="A60" s="424"/>
      <c r="B60" s="424"/>
      <c r="C60" s="424"/>
      <c r="D60" s="424"/>
      <c r="E60" s="424"/>
      <c r="F60" s="424"/>
      <c r="G60" s="424"/>
      <c r="H60" s="424"/>
      <c r="I60" s="425"/>
      <c r="J60" s="425"/>
      <c r="K60" s="425"/>
      <c r="L60" s="425"/>
      <c r="M60" s="425"/>
    </row>
    <row r="61" spans="1:13" ht="25.15" customHeight="1">
      <c r="A61" s="424"/>
      <c r="B61" s="424"/>
      <c r="C61" s="424"/>
      <c r="D61" s="424"/>
      <c r="E61" s="424"/>
      <c r="F61" s="424"/>
      <c r="G61" s="424"/>
      <c r="H61" s="424"/>
      <c r="I61" s="425"/>
      <c r="J61" s="425"/>
      <c r="K61" s="425"/>
      <c r="L61" s="425"/>
      <c r="M61" s="425"/>
    </row>
    <row r="62" spans="1:13" ht="25.15" customHeight="1">
      <c r="A62" s="424"/>
      <c r="B62" s="424"/>
      <c r="C62" s="424"/>
      <c r="D62" s="424"/>
      <c r="E62" s="424"/>
      <c r="F62" s="424"/>
      <c r="G62" s="424"/>
      <c r="H62" s="424"/>
      <c r="I62" s="425"/>
      <c r="J62" s="425"/>
      <c r="K62" s="425"/>
      <c r="L62" s="425"/>
      <c r="M62" s="425"/>
    </row>
    <row r="63" spans="1:13" ht="25.15" customHeight="1">
      <c r="A63" s="424"/>
      <c r="B63" s="424"/>
      <c r="C63" s="424"/>
      <c r="D63" s="424"/>
      <c r="E63" s="424"/>
      <c r="F63" s="424"/>
      <c r="G63" s="424"/>
      <c r="H63" s="424"/>
      <c r="I63" s="425"/>
      <c r="J63" s="425"/>
      <c r="K63" s="425"/>
      <c r="L63" s="425"/>
      <c r="M63" s="425"/>
    </row>
    <row r="64" spans="1:13" ht="25.15" customHeight="1">
      <c r="A64" s="424"/>
      <c r="B64" s="424"/>
      <c r="C64" s="424"/>
      <c r="D64" s="424"/>
      <c r="E64" s="424"/>
      <c r="F64" s="424"/>
      <c r="G64" s="424"/>
      <c r="H64" s="424"/>
      <c r="I64" s="425"/>
      <c r="J64" s="425"/>
      <c r="K64" s="425"/>
      <c r="L64" s="425"/>
      <c r="M64" s="425"/>
    </row>
    <row r="65" spans="1:13" ht="25.15" customHeight="1">
      <c r="A65" s="424"/>
      <c r="B65" s="424"/>
      <c r="C65" s="424"/>
      <c r="D65" s="424"/>
      <c r="E65" s="424"/>
      <c r="F65" s="424"/>
      <c r="G65" s="424"/>
      <c r="H65" s="424"/>
      <c r="I65" s="425"/>
      <c r="J65" s="425"/>
      <c r="K65" s="425"/>
      <c r="L65" s="425"/>
      <c r="M65" s="425"/>
    </row>
    <row r="66" spans="1:13" s="424" customFormat="1" ht="25.15" customHeight="1"/>
    <row r="67" spans="1:13" s="424" customFormat="1" ht="25.15" customHeight="1"/>
    <row r="68" spans="1:13" s="424" customFormat="1" ht="25.15" customHeight="1"/>
    <row r="69" spans="1:13" s="424" customFormat="1" ht="25.15" customHeight="1"/>
    <row r="70" spans="1:13" s="424" customFormat="1" ht="25.15" customHeight="1"/>
    <row r="71" spans="1:13" s="424" customFormat="1" ht="25.15" customHeight="1"/>
    <row r="72" spans="1:13" s="424" customFormat="1" ht="25.15" customHeight="1"/>
    <row r="73" spans="1:13" s="424" customFormat="1" ht="25.15" customHeight="1"/>
    <row r="74" spans="1:13" s="424" customFormat="1" ht="25.15" customHeight="1"/>
    <row r="75" spans="1:13" s="424" customFormat="1" ht="25.15" customHeight="1"/>
    <row r="76" spans="1:13" s="424" customFormat="1" ht="25.15" customHeight="1"/>
    <row r="77" spans="1:13" s="424" customFormat="1" ht="25.15" customHeight="1"/>
    <row r="78" spans="1:13" s="424" customFormat="1" ht="25.15" customHeight="1"/>
    <row r="79" spans="1:13" s="424" customFormat="1" ht="25.15" customHeight="1"/>
    <row r="80" spans="1:13" s="424" customFormat="1" ht="25.15" customHeight="1"/>
    <row r="81" s="424" customFormat="1" ht="25.15" customHeight="1"/>
    <row r="82" s="424" customFormat="1" ht="25.15" customHeight="1"/>
    <row r="83" s="424" customFormat="1" ht="25.15" customHeight="1"/>
    <row r="84" s="424" customFormat="1" ht="25.15" customHeight="1"/>
    <row r="85" s="424" customFormat="1" ht="25.15" customHeight="1"/>
    <row r="86" s="424" customFormat="1" ht="25.15" customHeight="1"/>
    <row r="87" s="424" customFormat="1" ht="25.15" customHeight="1"/>
    <row r="88" s="424" customFormat="1" ht="25.15" customHeight="1"/>
    <row r="89" s="424" customFormat="1" ht="25.15" customHeight="1"/>
    <row r="90" s="424" customFormat="1" ht="25.15" customHeight="1"/>
    <row r="91" s="424" customFormat="1" ht="25.15" customHeight="1"/>
    <row r="92" s="424" customFormat="1" ht="25.15" customHeight="1"/>
    <row r="93" s="424" customFormat="1" ht="25.15" customHeight="1"/>
    <row r="94" s="424" customFormat="1" ht="25.15" customHeight="1"/>
    <row r="95" s="424" customFormat="1" ht="25.15" customHeight="1"/>
    <row r="96" s="424" customFormat="1" ht="25.15" customHeight="1"/>
    <row r="97" s="424" customFormat="1" ht="25.15" customHeight="1"/>
    <row r="98" s="424" customFormat="1" ht="25.15" customHeight="1"/>
    <row r="99" s="424" customFormat="1" ht="25.15" customHeight="1"/>
    <row r="100" s="424" customFormat="1" ht="25.15" customHeight="1"/>
    <row r="101" s="424" customFormat="1" ht="25.15" customHeight="1"/>
    <row r="102" s="424" customFormat="1" ht="25.15" customHeight="1"/>
    <row r="103" s="424" customFormat="1" ht="25.15" customHeight="1"/>
    <row r="104" s="424" customFormat="1" ht="25.15" customHeight="1"/>
    <row r="105" s="424" customFormat="1" ht="25.15" customHeight="1"/>
    <row r="106" s="424" customFormat="1" ht="25.15" customHeight="1"/>
    <row r="107" s="424" customFormat="1" ht="25.15" customHeight="1"/>
    <row r="108" s="424" customFormat="1" ht="25.15" customHeight="1"/>
    <row r="109" s="424" customFormat="1" ht="25.15" customHeight="1"/>
    <row r="110" s="424" customFormat="1" ht="25.15" customHeight="1"/>
    <row r="111" s="424" customFormat="1" ht="25.15" customHeight="1"/>
    <row r="112" s="424" customFormat="1" ht="25.15" customHeight="1"/>
    <row r="113" s="424" customFormat="1" ht="25.15" customHeight="1"/>
    <row r="114" s="424" customFormat="1" ht="25.15" customHeight="1"/>
    <row r="115" s="424" customFormat="1" ht="25.15" customHeight="1"/>
    <row r="116" s="424" customFormat="1" ht="25.15" customHeight="1"/>
    <row r="117" s="424" customFormat="1" ht="25.15" customHeight="1"/>
    <row r="118" s="424" customFormat="1" ht="25.15" customHeight="1"/>
    <row r="119" s="424" customFormat="1" ht="25.15" customHeight="1"/>
    <row r="120" s="424" customFormat="1" ht="25.15" customHeight="1"/>
    <row r="121" s="424" customFormat="1" ht="25.15" customHeight="1"/>
    <row r="122" s="424" customFormat="1" ht="25.15" customHeight="1"/>
    <row r="123" s="424" customFormat="1" ht="25.15" customHeight="1"/>
    <row r="124" s="424" customFormat="1" ht="25.15" customHeight="1"/>
    <row r="125" s="424" customFormat="1" ht="25.15" customHeight="1"/>
    <row r="126" s="424" customFormat="1" ht="25.15" customHeight="1"/>
    <row r="127" s="424" customFormat="1" ht="25.15" customHeight="1"/>
    <row r="128" s="424" customFormat="1" ht="25.15" customHeight="1"/>
    <row r="129" s="424" customFormat="1" ht="25.15" customHeight="1"/>
    <row r="130" s="424" customFormat="1" ht="25.15" customHeight="1"/>
    <row r="131" s="424" customFormat="1" ht="25.15" customHeight="1"/>
    <row r="132" s="424" customFormat="1" ht="25.15" customHeight="1"/>
    <row r="133" s="424" customFormat="1" ht="25.15" customHeight="1"/>
    <row r="134" s="424" customFormat="1" ht="25.15" customHeight="1"/>
    <row r="135" s="424" customFormat="1" ht="25.15" customHeight="1"/>
    <row r="136" s="424" customFormat="1" ht="25.15" customHeight="1"/>
    <row r="137" s="424" customFormat="1" ht="25.15" customHeight="1"/>
    <row r="138" s="424" customFormat="1" ht="25.15" customHeight="1"/>
    <row r="139" s="424" customFormat="1" ht="25.15" customHeight="1"/>
    <row r="140" s="424" customFormat="1" ht="25.15" customHeight="1"/>
    <row r="141" s="424" customFormat="1" ht="25.15" customHeight="1"/>
    <row r="142" s="424" customFormat="1" ht="25.15" customHeight="1"/>
    <row r="143" s="424" customFormat="1" ht="25.15" customHeight="1"/>
    <row r="144" s="424" customFormat="1" ht="25.15" customHeight="1"/>
    <row r="145" s="424" customFormat="1" ht="25.15" customHeight="1"/>
    <row r="146" s="424" customFormat="1" ht="25.15" customHeight="1"/>
    <row r="147" s="424" customFormat="1" ht="25.15" customHeight="1"/>
    <row r="148" s="424" customFormat="1" ht="25.15" customHeight="1"/>
    <row r="149" s="424" customFormat="1" ht="25.15" customHeight="1"/>
    <row r="150" s="424" customFormat="1" ht="25.15" customHeight="1"/>
    <row r="151" s="424" customFormat="1" ht="25.15" customHeight="1"/>
    <row r="152" s="424" customFormat="1" ht="25.15" customHeight="1"/>
    <row r="153" s="424" customFormat="1" ht="25.15" customHeight="1"/>
    <row r="154" s="424" customFormat="1" ht="25.15" customHeight="1"/>
    <row r="155" s="424" customFormat="1" ht="25.15" customHeight="1"/>
    <row r="156" s="424" customFormat="1" ht="25.15" customHeight="1"/>
    <row r="157" s="424" customFormat="1" ht="25.15" customHeight="1"/>
    <row r="158" s="424" customFormat="1" ht="25.15" customHeight="1"/>
    <row r="159" s="424" customFormat="1" ht="25.15" customHeight="1"/>
    <row r="160" s="424" customFormat="1" ht="25.15" customHeight="1"/>
    <row r="161" s="424" customFormat="1" ht="25.15" customHeight="1"/>
    <row r="162" s="424" customFormat="1" ht="25.15" customHeight="1"/>
    <row r="163" s="424" customFormat="1" ht="25.15" customHeight="1"/>
    <row r="164" s="424" customFormat="1" ht="25.15" customHeight="1"/>
    <row r="165" s="424" customFormat="1" ht="25.15" customHeight="1"/>
    <row r="166" s="424" customFormat="1" ht="25.15" customHeight="1"/>
    <row r="167" s="424" customFormat="1" ht="25.15" customHeight="1"/>
    <row r="168" s="424" customFormat="1" ht="25.15" customHeight="1"/>
    <row r="169" s="424" customFormat="1" ht="25.15" customHeight="1"/>
    <row r="170" s="424" customFormat="1" ht="25.15" customHeight="1"/>
    <row r="171" s="424" customFormat="1" ht="25.15" customHeight="1"/>
    <row r="172" s="424" customFormat="1" ht="25.15" customHeight="1"/>
    <row r="173" s="424" customFormat="1" ht="25.15" customHeight="1"/>
    <row r="174" s="424" customFormat="1" ht="25.15" customHeight="1"/>
    <row r="175" s="424" customFormat="1" ht="25.15" customHeight="1"/>
    <row r="176" s="424" customFormat="1" ht="25.15" customHeight="1"/>
    <row r="177" s="424" customFormat="1" ht="25.15" customHeight="1"/>
    <row r="178" s="424" customFormat="1" ht="25.15" customHeight="1"/>
    <row r="179" s="424" customFormat="1" ht="25.15" customHeight="1"/>
    <row r="180" s="424" customFormat="1" ht="25.15" customHeight="1"/>
    <row r="181" s="424" customFormat="1" ht="25.15" customHeight="1"/>
    <row r="182" s="424" customFormat="1" ht="25.15" customHeight="1"/>
    <row r="183" s="424" customFormat="1" ht="25.15" customHeight="1"/>
    <row r="184" s="424" customFormat="1" ht="25.15" customHeight="1"/>
    <row r="185" s="424" customFormat="1" ht="25.15" customHeight="1"/>
    <row r="186" s="424" customFormat="1" ht="25.15" customHeight="1"/>
    <row r="187" s="424" customFormat="1" ht="25.15" customHeight="1"/>
    <row r="188" s="424" customFormat="1" ht="25.15" customHeight="1"/>
    <row r="189" s="424" customFormat="1" ht="25.15" customHeight="1"/>
    <row r="190" s="424" customFormat="1" ht="25.15" customHeight="1"/>
    <row r="191" s="424" customFormat="1" ht="25.15" customHeight="1"/>
    <row r="192" s="424" customFormat="1" ht="25.15" customHeight="1"/>
    <row r="193" s="424" customFormat="1" ht="25.15" customHeight="1"/>
    <row r="194" s="424" customFormat="1" ht="25.15" customHeight="1"/>
    <row r="195" s="424" customFormat="1" ht="25.15" customHeight="1"/>
    <row r="196" s="424" customFormat="1" ht="25.15" customHeight="1"/>
    <row r="197" s="424" customFormat="1" ht="25.15" customHeight="1"/>
    <row r="198" s="424" customFormat="1" ht="25.15" customHeight="1"/>
    <row r="199" s="424" customFormat="1" ht="25.15" customHeight="1"/>
    <row r="200" s="424" customFormat="1" ht="25.15" customHeight="1"/>
    <row r="201" s="424" customFormat="1" ht="25.15" customHeight="1"/>
    <row r="202" s="424" customFormat="1" ht="25.15" customHeight="1"/>
    <row r="203" s="424" customFormat="1" ht="25.15" customHeight="1"/>
    <row r="204" s="424" customFormat="1" ht="25.15" customHeight="1"/>
    <row r="205" s="424" customFormat="1" ht="25.15" customHeight="1"/>
    <row r="206" s="424" customFormat="1" ht="25.15" customHeight="1"/>
    <row r="207" s="424" customFormat="1" ht="25.15" customHeight="1"/>
    <row r="208" s="424" customFormat="1" ht="25.15" customHeight="1"/>
    <row r="209" s="424" customFormat="1" ht="25.15" customHeight="1"/>
    <row r="210" s="424" customFormat="1" ht="25.15" customHeight="1"/>
    <row r="211" s="424" customFormat="1" ht="25.15" customHeight="1"/>
    <row r="212" s="424" customFormat="1" ht="25.15" customHeight="1"/>
    <row r="213" s="424" customFormat="1" ht="25.15" customHeight="1"/>
    <row r="214" s="424" customFormat="1" ht="25.15" customHeight="1"/>
    <row r="215" s="424" customFormat="1" ht="25.15" customHeight="1"/>
    <row r="216" s="424" customFormat="1" ht="25.15" customHeight="1"/>
    <row r="217" s="424" customFormat="1" ht="25.15" customHeight="1"/>
    <row r="218" s="424" customFormat="1" ht="25.15" customHeight="1"/>
    <row r="219" s="424" customFormat="1" ht="25.15" customHeight="1"/>
    <row r="220" s="424" customFormat="1" ht="25.15" customHeight="1"/>
    <row r="221" s="424" customFormat="1" ht="25.15" customHeight="1"/>
    <row r="222" s="424" customFormat="1" ht="25.15" customHeight="1"/>
    <row r="223" s="424" customFormat="1" ht="25.15" customHeight="1"/>
    <row r="224" s="424" customFormat="1" ht="25.15" customHeight="1"/>
    <row r="225" s="424" customFormat="1" ht="25.15" customHeight="1"/>
    <row r="226" s="424" customFormat="1" ht="25.15" customHeight="1"/>
    <row r="227" s="424" customFormat="1" ht="25.15" customHeight="1"/>
    <row r="228" s="424" customFormat="1" ht="25.15" customHeight="1"/>
    <row r="229" s="424" customFormat="1" ht="25.15" customHeight="1"/>
    <row r="230" s="424" customFormat="1" ht="25.15" customHeight="1"/>
    <row r="231" s="424" customFormat="1" ht="25.15" customHeight="1"/>
    <row r="232" s="424" customFormat="1" ht="25.15" customHeight="1"/>
    <row r="233" s="424" customFormat="1" ht="25.15" customHeight="1"/>
    <row r="234" s="424" customFormat="1" ht="25.15" customHeight="1"/>
    <row r="235" s="424" customFormat="1" ht="25.15" customHeight="1"/>
    <row r="236" s="424" customFormat="1" ht="25.15" customHeight="1"/>
    <row r="237" s="424" customFormat="1" ht="25.15" customHeight="1"/>
    <row r="238" s="424" customFormat="1" ht="25.15" customHeight="1"/>
    <row r="239" s="424" customFormat="1" ht="25.15" customHeight="1"/>
    <row r="240" s="424" customFormat="1" ht="25.15" customHeight="1"/>
    <row r="241" s="424" customFormat="1" ht="25.15" customHeight="1"/>
    <row r="242" s="424" customFormat="1" ht="25.15" customHeight="1"/>
    <row r="243" s="424" customFormat="1" ht="25.15" customHeight="1"/>
    <row r="244" s="424" customFormat="1" ht="25.15" customHeight="1"/>
    <row r="245" s="424" customFormat="1" ht="25.15" customHeight="1"/>
    <row r="246" s="424" customFormat="1" ht="25.15" customHeight="1"/>
    <row r="247" s="424" customFormat="1" ht="25.15" customHeight="1"/>
    <row r="248" s="424" customFormat="1" ht="25.15" customHeight="1"/>
    <row r="249" s="424" customFormat="1" ht="25.15" customHeight="1"/>
    <row r="250" s="424" customFormat="1" ht="25.15" customHeight="1"/>
    <row r="251" s="424" customFormat="1" ht="25.15" customHeight="1"/>
    <row r="252" s="424" customFormat="1" ht="25.15" customHeight="1"/>
    <row r="253" s="424" customFormat="1" ht="25.15" customHeight="1"/>
    <row r="254" s="424" customFormat="1" ht="25.15" customHeight="1"/>
    <row r="255" s="424" customFormat="1" ht="25.15" customHeight="1"/>
    <row r="256" s="424" customFormat="1" ht="25.15" customHeight="1"/>
    <row r="257" s="424" customFormat="1" ht="25.15" customHeight="1"/>
    <row r="258" s="424" customFormat="1" ht="25.15" customHeight="1"/>
    <row r="259" s="424" customFormat="1" ht="25.15" customHeight="1"/>
    <row r="260" s="424" customFormat="1" ht="25.15" customHeight="1"/>
    <row r="261" s="424" customFormat="1" ht="25.15" customHeight="1"/>
    <row r="262" s="424" customFormat="1" ht="25.15" customHeight="1"/>
    <row r="263" s="424" customFormat="1" ht="25.15" customHeight="1"/>
    <row r="264" s="424" customFormat="1" ht="25.15" customHeight="1"/>
    <row r="265" s="424" customFormat="1" ht="25.15" customHeight="1"/>
    <row r="266" s="424" customFormat="1" ht="25.15" customHeight="1"/>
    <row r="267" s="424" customFormat="1" ht="25.15" customHeight="1"/>
    <row r="268" s="424" customFormat="1" ht="25.15" customHeight="1"/>
    <row r="269" s="424" customFormat="1" ht="25.15" customHeight="1"/>
    <row r="270" s="424" customFormat="1" ht="25.15" customHeight="1"/>
    <row r="271" s="424" customFormat="1" ht="25.15" customHeight="1"/>
    <row r="272" s="424" customFormat="1" ht="25.15" customHeight="1"/>
    <row r="273" s="424" customFormat="1" ht="25.15" customHeight="1"/>
    <row r="274" s="424" customFormat="1" ht="25.15" customHeight="1"/>
    <row r="275" s="424" customFormat="1" ht="25.15" customHeight="1"/>
    <row r="276" s="424" customFormat="1" ht="25.15" customHeight="1"/>
    <row r="277" s="424" customFormat="1" ht="25.15" customHeight="1"/>
    <row r="278" s="424" customFormat="1" ht="25.15" customHeight="1"/>
    <row r="279" s="424" customFormat="1" ht="25.15" customHeight="1"/>
    <row r="280" s="424" customFormat="1" ht="25.15" customHeight="1"/>
    <row r="281" s="424" customFormat="1" ht="25.15" customHeight="1"/>
    <row r="282" s="424" customFormat="1" ht="25.15" customHeight="1"/>
    <row r="283" s="424" customFormat="1" ht="25.15" customHeight="1"/>
    <row r="284" s="424" customFormat="1" ht="25.15" customHeight="1"/>
    <row r="285" s="424" customFormat="1" ht="25.15" customHeight="1"/>
    <row r="286" s="424" customFormat="1" ht="25.15" customHeight="1"/>
    <row r="287" s="424" customFormat="1" ht="25.15" customHeight="1"/>
    <row r="288" s="424" customFormat="1" ht="25.15" customHeight="1"/>
    <row r="289" s="424" customFormat="1" ht="25.15" customHeight="1"/>
    <row r="290" s="424" customFormat="1" ht="25.15" customHeight="1"/>
    <row r="291" s="424" customFormat="1" ht="25.15" customHeight="1"/>
    <row r="292" s="424" customFormat="1" ht="25.15" customHeight="1"/>
    <row r="293" s="424" customFormat="1" ht="25.15" customHeight="1"/>
    <row r="294" s="424" customFormat="1" ht="25.15" customHeight="1"/>
    <row r="295" s="424" customFormat="1" ht="25.15" customHeight="1"/>
    <row r="296" s="424" customFormat="1" ht="25.15" customHeight="1"/>
    <row r="297" s="424" customFormat="1" ht="25.15" customHeight="1"/>
    <row r="298" s="424" customFormat="1" ht="25.15" customHeight="1"/>
    <row r="299" s="424" customFormat="1" ht="25.15" customHeight="1"/>
    <row r="300" s="424" customFormat="1" ht="25.15" customHeight="1"/>
    <row r="301" s="424" customFormat="1" ht="25.15" customHeight="1"/>
    <row r="302" s="424" customFormat="1" ht="25.15" customHeight="1"/>
    <row r="303" s="424" customFormat="1" ht="25.15" customHeight="1"/>
    <row r="304" s="424" customFormat="1" ht="25.15" customHeight="1"/>
    <row r="305" s="424" customFormat="1" ht="25.15" customHeight="1"/>
    <row r="306" s="424" customFormat="1" ht="25.15" customHeight="1"/>
    <row r="307" s="424" customFormat="1" ht="25.15" customHeight="1"/>
    <row r="308" s="424" customFormat="1" ht="25.15" customHeight="1"/>
    <row r="309" s="424" customFormat="1" ht="25.15" customHeight="1"/>
    <row r="310" s="424" customFormat="1" ht="25.15" customHeight="1"/>
    <row r="311" s="424" customFormat="1" ht="25.15" customHeight="1"/>
    <row r="312" s="424" customFormat="1" ht="25.15" customHeight="1"/>
    <row r="313" s="424" customFormat="1" ht="25.15" customHeight="1"/>
    <row r="314" s="424" customFormat="1" ht="25.15" customHeight="1"/>
    <row r="315" s="424" customFormat="1" ht="25.15" customHeight="1"/>
    <row r="316" s="424" customFormat="1" ht="25.15" customHeight="1"/>
    <row r="317" s="424" customFormat="1" ht="25.15" customHeight="1"/>
    <row r="318" s="424" customFormat="1" ht="25.15" customHeight="1"/>
    <row r="319" s="424" customFormat="1" ht="25.15" customHeight="1"/>
    <row r="320" s="424" customFormat="1" ht="25.15" customHeight="1"/>
    <row r="321" s="424" customFormat="1" ht="25.15" customHeight="1"/>
    <row r="322" s="424" customFormat="1" ht="25.15" customHeight="1"/>
    <row r="323" s="424" customFormat="1" ht="25.15" customHeight="1"/>
    <row r="324" s="424" customFormat="1" ht="25.15" customHeight="1"/>
    <row r="325" s="424" customFormat="1" ht="25.15" customHeight="1"/>
    <row r="326" s="424" customFormat="1" ht="25.15" customHeight="1"/>
    <row r="327" s="424" customFormat="1" ht="25.15" customHeight="1"/>
    <row r="328" s="424" customFormat="1" ht="25.15" customHeight="1"/>
    <row r="329" s="424" customFormat="1" ht="25.15" customHeight="1"/>
    <row r="330" s="424" customFormat="1" ht="25.15" customHeight="1"/>
    <row r="331" s="424" customFormat="1" ht="25.15" customHeight="1"/>
    <row r="332" s="424" customFormat="1" ht="25.15" customHeight="1"/>
    <row r="333" s="424" customFormat="1" ht="25.15" customHeight="1"/>
    <row r="334" s="424" customFormat="1" ht="25.15" customHeight="1"/>
    <row r="335" s="424" customFormat="1" ht="25.15" customHeight="1"/>
    <row r="336" s="424" customFormat="1" ht="25.15" customHeight="1"/>
    <row r="337" s="424" customFormat="1" ht="25.15" customHeight="1"/>
    <row r="338" s="424" customFormat="1" ht="25.15" customHeight="1"/>
    <row r="339" s="424" customFormat="1" ht="25.15" customHeight="1"/>
    <row r="340" s="424" customFormat="1" ht="25.15" customHeight="1"/>
    <row r="341" s="424" customFormat="1" ht="25.15" customHeight="1"/>
    <row r="342" s="424" customFormat="1" ht="25.15" customHeight="1"/>
    <row r="343" s="424" customFormat="1" ht="25.15" customHeight="1"/>
    <row r="344" s="424" customFormat="1" ht="25.15" customHeight="1"/>
    <row r="345" s="424" customFormat="1" ht="25.15" customHeight="1"/>
    <row r="346" s="424" customFormat="1" ht="25.15" customHeight="1"/>
    <row r="347" s="424" customFormat="1" ht="25.15" customHeight="1"/>
    <row r="348" s="424" customFormat="1" ht="25.15" customHeight="1"/>
    <row r="349" s="424" customFormat="1" ht="25.15" customHeight="1"/>
    <row r="350" s="424" customFormat="1" ht="25.15" customHeight="1"/>
    <row r="351" s="424" customFormat="1" ht="25.15" customHeight="1"/>
    <row r="352" s="424" customFormat="1" ht="25.15" customHeight="1"/>
    <row r="353" s="424" customFormat="1" ht="25.15" customHeight="1"/>
    <row r="354" s="424" customFormat="1" ht="25.15" customHeight="1"/>
    <row r="355" s="424" customFormat="1" ht="25.15" customHeight="1"/>
    <row r="356" s="424" customFormat="1" ht="25.15" customHeight="1"/>
    <row r="357" s="424" customFormat="1" ht="25.15" customHeight="1"/>
    <row r="358" s="424" customFormat="1" ht="25.15" customHeight="1"/>
    <row r="359" s="424" customFormat="1" ht="25.15" customHeight="1"/>
    <row r="360" s="424" customFormat="1" ht="25.15" customHeight="1"/>
    <row r="361" s="424" customFormat="1" ht="25.15" customHeight="1"/>
    <row r="362" s="424" customFormat="1" ht="25.15" customHeight="1"/>
    <row r="363" s="424" customFormat="1" ht="25.15" customHeight="1"/>
    <row r="364" s="424" customFormat="1" ht="25.15" customHeight="1"/>
    <row r="365" s="424" customFormat="1" ht="25.15" customHeight="1"/>
    <row r="366" s="424" customFormat="1" ht="25.15" customHeight="1"/>
    <row r="367" s="424" customFormat="1" ht="25.15" customHeight="1"/>
    <row r="368" s="424" customFormat="1" ht="25.15" customHeight="1"/>
    <row r="369" s="424" customFormat="1" ht="25.15" customHeight="1"/>
    <row r="370" s="424" customFormat="1" ht="25.15" customHeight="1"/>
    <row r="371" s="424" customFormat="1" ht="25.15" customHeight="1"/>
    <row r="372" s="424" customFormat="1" ht="25.15" customHeight="1"/>
    <row r="373" s="424" customFormat="1" ht="25.15" customHeight="1"/>
    <row r="374" s="424" customFormat="1" ht="25.15" customHeight="1"/>
    <row r="375" s="424" customFormat="1" ht="25.15" customHeight="1"/>
    <row r="376" s="424" customFormat="1" ht="25.15" customHeight="1"/>
    <row r="377" s="424" customFormat="1" ht="25.15" customHeight="1"/>
    <row r="378" s="424" customFormat="1" ht="25.15" customHeight="1"/>
    <row r="379" s="424" customFormat="1" ht="25.15" customHeight="1"/>
    <row r="380" s="424" customFormat="1" ht="25.15" customHeight="1"/>
    <row r="381" s="424" customFormat="1" ht="25.15" customHeight="1"/>
    <row r="382" s="424" customFormat="1" ht="25.15" customHeight="1"/>
    <row r="383" s="424" customFormat="1" ht="25.15" customHeight="1"/>
    <row r="384" s="424" customFormat="1" ht="25.15" customHeight="1"/>
    <row r="385" s="424" customFormat="1" ht="25.15" customHeight="1"/>
    <row r="386" s="424" customFormat="1" ht="25.15" customHeight="1"/>
    <row r="387" s="424" customFormat="1" ht="25.15" customHeight="1"/>
    <row r="388" s="424" customFormat="1" ht="25.15" customHeight="1"/>
    <row r="389" s="424" customFormat="1" ht="25.15" customHeight="1"/>
    <row r="390" s="424" customFormat="1" ht="25.15" customHeight="1"/>
    <row r="391" s="424" customFormat="1" ht="25.15" customHeight="1"/>
    <row r="392" s="424" customFormat="1" ht="25.15" customHeight="1"/>
    <row r="393" s="424" customFormat="1" ht="25.15" customHeight="1"/>
    <row r="394" s="424" customFormat="1" ht="25.15" customHeight="1"/>
    <row r="395" s="424" customFormat="1" ht="25.15" customHeight="1"/>
    <row r="396" s="424" customFormat="1" ht="25.15" customHeight="1"/>
    <row r="397" s="424" customFormat="1" ht="25.15" customHeight="1"/>
    <row r="398" s="424" customFormat="1" ht="25.15" customHeight="1"/>
    <row r="399" s="424" customFormat="1" ht="25.15" customHeight="1"/>
    <row r="400" s="424" customFormat="1" ht="25.15" customHeight="1"/>
    <row r="401" s="424" customFormat="1" ht="25.15" customHeight="1"/>
    <row r="402" s="424" customFormat="1" ht="25.15" customHeight="1"/>
    <row r="403" s="424" customFormat="1" ht="25.15" customHeight="1"/>
    <row r="404" s="424" customFormat="1" ht="25.15" customHeight="1"/>
    <row r="405" s="424" customFormat="1" ht="25.15" customHeight="1"/>
    <row r="406" s="424" customFormat="1" ht="25.15" customHeight="1"/>
    <row r="407" s="424" customFormat="1" ht="25.15" customHeight="1"/>
    <row r="408" s="424" customFormat="1" ht="25.15" customHeight="1"/>
    <row r="409" s="424" customFormat="1" ht="25.15" customHeight="1"/>
    <row r="410" s="424" customFormat="1" ht="25.15" customHeight="1"/>
    <row r="411" s="424" customFormat="1" ht="25.15" customHeight="1"/>
    <row r="412" s="424" customFormat="1" ht="25.15" customHeight="1"/>
    <row r="413" s="424" customFormat="1" ht="25.15" customHeight="1"/>
    <row r="414" s="424" customFormat="1" ht="25.15" customHeight="1"/>
    <row r="415" s="424" customFormat="1" ht="25.15" customHeight="1"/>
    <row r="416" s="424" customFormat="1" ht="25.15" customHeight="1"/>
    <row r="417" s="424" customFormat="1" ht="25.15" customHeight="1"/>
    <row r="418" s="424" customFormat="1" ht="25.15" customHeight="1"/>
    <row r="419" s="424" customFormat="1" ht="25.15" customHeight="1"/>
    <row r="420" s="424" customFormat="1" ht="25.15" customHeight="1"/>
    <row r="421" s="424" customFormat="1" ht="25.15" customHeight="1"/>
    <row r="422" s="424" customFormat="1" ht="25.15" customHeight="1"/>
    <row r="423" s="424" customFormat="1" ht="25.15" customHeight="1"/>
    <row r="424" s="424" customFormat="1" ht="25.15" customHeight="1"/>
    <row r="425" s="424" customFormat="1" ht="25.15" customHeight="1"/>
    <row r="426" s="424" customFormat="1" ht="25.15" customHeight="1"/>
    <row r="427" s="424" customFormat="1" ht="25.15" customHeight="1"/>
    <row r="428" s="424" customFormat="1" ht="25.15" customHeight="1"/>
    <row r="429" s="424" customFormat="1" ht="25.15" customHeight="1"/>
    <row r="430" s="424" customFormat="1" ht="25.15" customHeight="1"/>
    <row r="431" s="424" customFormat="1" ht="25.15" customHeight="1"/>
    <row r="432" s="424" customFormat="1" ht="25.15" customHeight="1"/>
    <row r="433" s="424" customFormat="1" ht="25.15" customHeight="1"/>
    <row r="434" s="424" customFormat="1" ht="25.15" customHeight="1"/>
    <row r="435" s="424" customFormat="1" ht="25.15" customHeight="1"/>
    <row r="436" s="424" customFormat="1" ht="25.15" customHeight="1"/>
    <row r="437" s="424" customFormat="1" ht="25.15" customHeight="1"/>
    <row r="438" s="424" customFormat="1" ht="25.15" customHeight="1"/>
    <row r="439" s="424" customFormat="1" ht="25.15" customHeight="1"/>
    <row r="440" s="424" customFormat="1" ht="25.15" customHeight="1"/>
    <row r="441" s="424" customFormat="1" ht="25.15" customHeight="1"/>
    <row r="442" s="424" customFormat="1" ht="25.15" customHeight="1"/>
    <row r="443" s="424" customFormat="1" ht="25.15" customHeight="1"/>
    <row r="444" s="424" customFormat="1" ht="25.15" customHeight="1"/>
    <row r="445" s="424" customFormat="1" ht="25.15" customHeight="1"/>
    <row r="446" s="424" customFormat="1" ht="25.15" customHeight="1"/>
    <row r="447" s="424" customFormat="1" ht="25.15" customHeight="1"/>
    <row r="448" s="424" customFormat="1" ht="25.15" customHeight="1"/>
    <row r="449" s="424" customFormat="1" ht="25.15" customHeight="1"/>
    <row r="450" s="424" customFormat="1" ht="25.15" customHeight="1"/>
    <row r="451" s="424" customFormat="1" ht="25.15" customHeight="1"/>
    <row r="452" s="424" customFormat="1" ht="25.15" customHeight="1"/>
    <row r="453" s="424" customFormat="1" ht="25.15" customHeight="1"/>
    <row r="454" s="424" customFormat="1" ht="25.15" customHeight="1"/>
    <row r="455" s="424" customFormat="1" ht="25.15" customHeight="1"/>
    <row r="456" s="424" customFormat="1" ht="25.15" customHeight="1"/>
    <row r="457" s="424" customFormat="1" ht="25.15" customHeight="1"/>
    <row r="458" s="424" customFormat="1" ht="25.15" customHeight="1"/>
    <row r="459" s="424" customFormat="1" ht="25.15" customHeight="1"/>
    <row r="460" s="424" customFormat="1" ht="25.15" customHeight="1"/>
    <row r="461" s="424" customFormat="1" ht="25.15" customHeight="1"/>
    <row r="462" s="424" customFormat="1" ht="25.15" customHeight="1"/>
    <row r="463" s="424" customFormat="1" ht="25.15" customHeight="1"/>
    <row r="464" s="424" customFormat="1" ht="25.15" customHeight="1"/>
    <row r="465" s="424" customFormat="1" ht="25.15" customHeight="1"/>
    <row r="466" s="424" customFormat="1" ht="25.15" customHeight="1"/>
    <row r="467" s="424" customFormat="1" ht="25.15" customHeight="1"/>
    <row r="468" s="424" customFormat="1" ht="25.15" customHeight="1"/>
    <row r="469" s="424" customFormat="1" ht="25.15" customHeight="1"/>
    <row r="470" s="424" customFormat="1" ht="25.15" customHeight="1"/>
    <row r="471" s="424" customFormat="1" ht="25.15" customHeight="1"/>
    <row r="472" s="424" customFormat="1" ht="25.15" customHeight="1"/>
    <row r="473" s="424" customFormat="1" ht="25.15" customHeight="1"/>
    <row r="474" s="424" customFormat="1" ht="25.15" customHeight="1"/>
    <row r="475" s="424" customFormat="1" ht="25.15" customHeight="1"/>
    <row r="476" s="424" customFormat="1" ht="25.15" customHeight="1"/>
    <row r="477" s="424" customFormat="1" ht="25.15" customHeight="1"/>
    <row r="478" s="424" customFormat="1" ht="25.15" customHeight="1"/>
    <row r="479" s="424" customFormat="1" ht="25.15" customHeight="1"/>
    <row r="480" s="424" customFormat="1" ht="25.15" customHeight="1"/>
    <row r="481" s="424" customFormat="1" ht="25.15" customHeight="1"/>
    <row r="482" s="424" customFormat="1" ht="25.15" customHeight="1"/>
    <row r="483" s="424" customFormat="1" ht="25.15" customHeight="1"/>
    <row r="484" s="424" customFormat="1" ht="25.15" customHeight="1"/>
    <row r="485" s="424" customFormat="1" ht="25.15" customHeight="1"/>
    <row r="486" s="424" customFormat="1" ht="25.15" customHeight="1"/>
    <row r="487" s="424" customFormat="1" ht="25.15" customHeight="1"/>
    <row r="488" s="424" customFormat="1" ht="25.15" customHeight="1"/>
    <row r="489" s="424" customFormat="1" ht="25.15" customHeight="1"/>
    <row r="490" s="424" customFormat="1" ht="25.15" customHeight="1"/>
    <row r="491" s="424" customFormat="1" ht="25.15" customHeight="1"/>
    <row r="492" s="424" customFormat="1" ht="25.15" customHeight="1"/>
    <row r="493" s="424" customFormat="1" ht="25.15" customHeight="1"/>
    <row r="494" s="424" customFormat="1" ht="25.15" customHeight="1"/>
    <row r="495" s="424" customFormat="1" ht="25.15" customHeight="1"/>
    <row r="496" s="424" customFormat="1" ht="25.15" customHeight="1"/>
    <row r="497" s="424" customFormat="1" ht="25.15" customHeight="1"/>
    <row r="498" s="424" customFormat="1" ht="25.15" customHeight="1"/>
    <row r="499" s="424" customFormat="1" ht="25.15" customHeight="1"/>
    <row r="500" s="424" customFormat="1" ht="25.15" customHeight="1"/>
    <row r="501" s="424" customFormat="1" ht="25.15" customHeight="1"/>
    <row r="502" s="424" customFormat="1" ht="25.15" customHeight="1"/>
    <row r="503" s="424" customFormat="1" ht="25.15" customHeight="1"/>
    <row r="504" s="424" customFormat="1" ht="25.15" customHeight="1"/>
    <row r="505" s="424" customFormat="1" ht="25.15" customHeight="1"/>
    <row r="506" s="424" customFormat="1" ht="25.15" customHeight="1"/>
    <row r="507" s="424" customFormat="1" ht="25.15" customHeight="1"/>
    <row r="508" s="424" customFormat="1" ht="25.15" customHeight="1"/>
    <row r="509" s="424" customFormat="1" ht="25.15" customHeight="1"/>
    <row r="510" s="424" customFormat="1" ht="25.15" customHeight="1"/>
    <row r="511" s="424" customFormat="1" ht="25.15" customHeight="1"/>
    <row r="512" s="424" customFormat="1" ht="25.15" customHeight="1"/>
    <row r="513" s="424" customFormat="1" ht="25.15" customHeight="1"/>
    <row r="514" s="424" customFormat="1" ht="25.15" customHeight="1"/>
    <row r="515" s="424" customFormat="1" ht="25.15" customHeight="1"/>
    <row r="516" s="424" customFormat="1" ht="25.15" customHeight="1"/>
    <row r="517" s="424" customFormat="1" ht="25.15" customHeight="1"/>
    <row r="518" s="424" customFormat="1" ht="25.15" customHeight="1"/>
    <row r="519" s="424" customFormat="1" ht="25.15" customHeight="1"/>
    <row r="520" s="424" customFormat="1" ht="25.15" customHeight="1"/>
    <row r="521" s="424" customFormat="1" ht="25.15" customHeight="1"/>
    <row r="522" s="424" customFormat="1" ht="25.15" customHeight="1"/>
    <row r="523" s="424" customFormat="1" ht="25.15" customHeight="1"/>
    <row r="524" s="424" customFormat="1" ht="25.15" customHeight="1"/>
    <row r="525" s="424" customFormat="1" ht="25.15" customHeight="1"/>
    <row r="526" s="424" customFormat="1" ht="25.15" customHeight="1"/>
    <row r="527" s="424" customFormat="1" ht="25.15" customHeight="1"/>
    <row r="528" s="424" customFormat="1" ht="25.15" customHeight="1"/>
    <row r="529" s="424" customFormat="1" ht="25.15" customHeight="1"/>
    <row r="530" s="424" customFormat="1" ht="25.15" customHeight="1"/>
    <row r="531" s="424" customFormat="1" ht="25.15" customHeight="1"/>
    <row r="532" s="424" customFormat="1" ht="25.15" customHeight="1"/>
    <row r="533" s="424" customFormat="1" ht="25.15" customHeight="1"/>
    <row r="534" s="424" customFormat="1" ht="25.15" customHeight="1"/>
    <row r="535" s="424" customFormat="1" ht="25.15" customHeight="1"/>
    <row r="536" s="424" customFormat="1" ht="25.15" customHeight="1"/>
    <row r="537" s="424" customFormat="1" ht="25.15" customHeight="1"/>
    <row r="538" s="424" customFormat="1" ht="25.15" customHeight="1"/>
    <row r="539" s="424" customFormat="1" ht="25.15" customHeight="1"/>
    <row r="540" s="424" customFormat="1" ht="25.15" customHeight="1"/>
    <row r="541" s="424" customFormat="1" ht="25.15" customHeight="1"/>
    <row r="542" s="424" customFormat="1" ht="25.15" customHeight="1"/>
    <row r="543" s="424" customFormat="1" ht="25.15" customHeight="1"/>
    <row r="544" s="424" customFormat="1" ht="25.15" customHeight="1"/>
    <row r="545" s="424" customFormat="1" ht="25.15" customHeight="1"/>
    <row r="546" s="424" customFormat="1" ht="25.15" customHeight="1"/>
    <row r="547" s="424" customFormat="1" ht="25.15" customHeight="1"/>
    <row r="548" s="424" customFormat="1" ht="25.15" customHeight="1"/>
    <row r="549" s="424" customFormat="1" ht="25.15" customHeight="1"/>
    <row r="550" s="424" customFormat="1" ht="25.15" customHeight="1"/>
    <row r="551" s="424" customFormat="1" ht="25.15" customHeight="1"/>
    <row r="552" s="424" customFormat="1" ht="25.15" customHeight="1"/>
    <row r="553" s="424" customFormat="1" ht="25.15" customHeight="1"/>
    <row r="554" s="424" customFormat="1" ht="25.15" customHeight="1"/>
    <row r="555" s="424" customFormat="1" ht="25.15" customHeight="1"/>
    <row r="556" s="424" customFormat="1" ht="25.15" customHeight="1"/>
    <row r="557" s="424" customFormat="1" ht="25.15" customHeight="1"/>
    <row r="558" s="424" customFormat="1" ht="25.15" customHeight="1"/>
    <row r="559" s="424" customFormat="1" ht="25.15" customHeight="1"/>
    <row r="560" s="424" customFormat="1" ht="25.15" customHeight="1"/>
    <row r="561" s="424" customFormat="1" ht="25.15" customHeight="1"/>
    <row r="562" s="424" customFormat="1" ht="25.15" customHeight="1"/>
    <row r="563" s="424" customFormat="1" ht="25.15" customHeight="1"/>
    <row r="564" s="424" customFormat="1" ht="25.15" customHeight="1"/>
    <row r="565" s="424" customFormat="1" ht="25.15" customHeight="1"/>
    <row r="566" s="424" customFormat="1" ht="25.15" customHeight="1"/>
    <row r="567" s="424" customFormat="1" ht="25.15" customHeight="1"/>
    <row r="568" s="424" customFormat="1" ht="25.15" customHeight="1"/>
    <row r="569" s="424" customFormat="1" ht="25.15" customHeight="1"/>
    <row r="570" s="424" customFormat="1" ht="25.15" customHeight="1"/>
    <row r="571" s="424" customFormat="1" ht="25.15" customHeight="1"/>
    <row r="572" s="424" customFormat="1" ht="25.15" customHeight="1"/>
    <row r="573" s="424" customFormat="1" ht="25.15" customHeight="1"/>
    <row r="574" s="424" customFormat="1" ht="25.15" customHeight="1"/>
    <row r="575" s="424" customFormat="1" ht="25.15" customHeight="1"/>
    <row r="576" s="424" customFormat="1" ht="25.15" customHeight="1"/>
    <row r="577" s="424" customFormat="1" ht="25.15" customHeight="1"/>
    <row r="578" s="424" customFormat="1" ht="25.15" customHeight="1"/>
    <row r="579" s="424" customFormat="1" ht="25.15" customHeight="1"/>
    <row r="580" s="424" customFormat="1" ht="25.15" customHeight="1"/>
    <row r="581" s="424" customFormat="1" ht="25.15" customHeight="1"/>
    <row r="582" s="424" customFormat="1" ht="25.15" customHeight="1"/>
    <row r="583" s="424" customFormat="1" ht="25.15" customHeight="1"/>
    <row r="584" s="424" customFormat="1" ht="25.15" customHeight="1"/>
    <row r="585" s="424" customFormat="1" ht="25.15" customHeight="1"/>
    <row r="586" s="424" customFormat="1" ht="25.15" customHeight="1"/>
    <row r="587" s="424" customFormat="1" ht="25.15" customHeight="1"/>
    <row r="588" s="424" customFormat="1" ht="25.15" customHeight="1"/>
    <row r="589" s="424" customFormat="1" ht="25.15" customHeight="1"/>
    <row r="590" s="424" customFormat="1" ht="25.15" customHeight="1"/>
    <row r="591" s="424" customFormat="1" ht="25.15" customHeight="1"/>
    <row r="592" s="424" customFormat="1" ht="25.15" customHeight="1"/>
    <row r="593" s="424" customFormat="1" ht="25.15" customHeight="1"/>
    <row r="594" s="424" customFormat="1" ht="25.15" customHeight="1"/>
    <row r="595" s="424" customFormat="1" ht="25.15" customHeight="1"/>
    <row r="596" s="424" customFormat="1" ht="25.15" customHeight="1"/>
    <row r="597" s="424" customFormat="1" ht="25.15" customHeight="1"/>
    <row r="598" s="424" customFormat="1" ht="25.15" customHeight="1"/>
    <row r="599" s="424" customFormat="1" ht="25.15" customHeight="1"/>
    <row r="600" s="424" customFormat="1" ht="25.15" customHeight="1"/>
    <row r="601" s="424" customFormat="1" ht="25.15" customHeight="1"/>
    <row r="602" s="424" customFormat="1" ht="25.15" customHeight="1"/>
    <row r="603" s="424" customFormat="1" ht="25.15" customHeight="1"/>
    <row r="604" s="424" customFormat="1" ht="25.15" customHeight="1"/>
    <row r="605" s="424" customFormat="1" ht="25.15" customHeight="1"/>
    <row r="606" s="424" customFormat="1" ht="25.15" customHeight="1"/>
    <row r="607" s="424" customFormat="1" ht="25.15" customHeight="1"/>
    <row r="608" s="424" customFormat="1" ht="25.15" customHeight="1"/>
    <row r="609" s="424" customFormat="1" ht="25.15" customHeight="1"/>
    <row r="610" s="424" customFormat="1" ht="25.15" customHeight="1"/>
    <row r="611" s="424" customFormat="1" ht="25.15" customHeight="1"/>
    <row r="612" s="424" customFormat="1" ht="25.15" customHeight="1"/>
    <row r="613" s="424" customFormat="1" ht="25.15" customHeight="1"/>
    <row r="614" s="424" customFormat="1" ht="25.15" customHeight="1"/>
    <row r="615" s="424" customFormat="1" ht="25.15" customHeight="1"/>
    <row r="616" s="424" customFormat="1" ht="25.15" customHeight="1"/>
    <row r="617" s="424" customFormat="1" ht="25.15" customHeight="1"/>
    <row r="618" s="424" customFormat="1" ht="25.15" customHeight="1"/>
    <row r="619" s="424" customFormat="1" ht="25.15" customHeight="1"/>
    <row r="620" s="424" customFormat="1" ht="25.15" customHeight="1"/>
    <row r="621" s="424" customFormat="1" ht="25.15" customHeight="1"/>
    <row r="622" s="424" customFormat="1" ht="25.15" customHeight="1"/>
    <row r="623" s="424" customFormat="1" ht="25.15" customHeight="1"/>
    <row r="624" s="424" customFormat="1" ht="25.15" customHeight="1"/>
    <row r="625" s="424" customFormat="1" ht="25.15" customHeight="1"/>
    <row r="626" s="424" customFormat="1" ht="25.15" customHeight="1"/>
    <row r="627" s="424" customFormat="1" ht="25.15" customHeight="1"/>
    <row r="628" s="424" customFormat="1" ht="25.15" customHeight="1"/>
    <row r="629" s="424" customFormat="1" ht="25.15" customHeight="1"/>
    <row r="630" s="424" customFormat="1" ht="25.15" customHeight="1"/>
    <row r="631" s="424" customFormat="1" ht="25.15" customHeight="1"/>
    <row r="632" s="424" customFormat="1" ht="25.15" customHeight="1"/>
    <row r="633" s="424" customFormat="1" ht="25.15" customHeight="1"/>
    <row r="634" s="424" customFormat="1" ht="25.15" customHeight="1"/>
    <row r="635" s="424" customFormat="1" ht="25.15" customHeight="1"/>
    <row r="636" s="424" customFormat="1" ht="25.15" customHeight="1"/>
    <row r="637" s="424" customFormat="1" ht="25.15" customHeight="1"/>
    <row r="638" s="424" customFormat="1" ht="25.15" customHeight="1"/>
    <row r="639" s="424" customFormat="1" ht="25.15" customHeight="1"/>
    <row r="640" s="424" customFormat="1" ht="25.15" customHeight="1"/>
    <row r="641" s="424" customFormat="1" ht="25.15" customHeight="1"/>
    <row r="642" s="424" customFormat="1" ht="25.15" customHeight="1"/>
    <row r="643" s="424" customFormat="1" ht="25.15" customHeight="1"/>
    <row r="644" s="424" customFormat="1" ht="25.15" customHeight="1"/>
    <row r="645" s="424" customFormat="1" ht="25.15" customHeight="1"/>
    <row r="646" s="424" customFormat="1" ht="25.15" customHeight="1"/>
    <row r="647" s="424" customFormat="1" ht="25.15" customHeight="1"/>
    <row r="648" s="424" customFormat="1" ht="25.15" customHeight="1"/>
    <row r="649" s="424" customFormat="1" ht="25.15" customHeight="1"/>
    <row r="650" s="424" customFormat="1" ht="25.15" customHeight="1"/>
    <row r="651" s="424" customFormat="1" ht="25.15" customHeight="1"/>
    <row r="652" s="424" customFormat="1" ht="25.15" customHeight="1"/>
    <row r="653" s="424" customFormat="1" ht="25.15" customHeight="1"/>
    <row r="654" s="424" customFormat="1" ht="25.15" customHeight="1"/>
    <row r="655" s="424" customFormat="1" ht="25.15" customHeight="1"/>
    <row r="656" s="424" customFormat="1" ht="25.15" customHeight="1"/>
    <row r="657" s="424" customFormat="1" ht="25.15" customHeight="1"/>
    <row r="658" s="424" customFormat="1" ht="25.15" customHeight="1"/>
    <row r="659" s="424" customFormat="1" ht="25.15" customHeight="1"/>
    <row r="660" s="424" customFormat="1" ht="25.15" customHeight="1"/>
    <row r="661" s="424" customFormat="1" ht="25.15" customHeight="1"/>
    <row r="662" s="424" customFormat="1" ht="25.15" customHeight="1"/>
    <row r="663" s="424" customFormat="1" ht="25.15" customHeight="1"/>
    <row r="664" s="424" customFormat="1" ht="25.15" customHeight="1"/>
    <row r="665" s="424" customFormat="1" ht="25.15" customHeight="1"/>
    <row r="666" s="424" customFormat="1" ht="25.15" customHeight="1"/>
    <row r="667" s="424" customFormat="1" ht="25.15" customHeight="1"/>
    <row r="668" s="424" customFormat="1" ht="25.15" customHeight="1"/>
    <row r="669" s="424" customFormat="1" ht="25.15" customHeight="1"/>
    <row r="670" s="424" customFormat="1" ht="25.15" customHeight="1"/>
    <row r="671" s="424" customFormat="1" ht="25.15" customHeight="1"/>
    <row r="672" s="424" customFormat="1" ht="25.15" customHeight="1"/>
    <row r="673" s="424" customFormat="1" ht="25.15" customHeight="1"/>
    <row r="674" s="424" customFormat="1" ht="25.15" customHeight="1"/>
    <row r="675" s="424" customFormat="1" ht="25.15" customHeight="1"/>
    <row r="676" s="424" customFormat="1" ht="25.15" customHeight="1"/>
    <row r="677" s="424" customFormat="1" ht="25.15" customHeight="1"/>
    <row r="678" s="424" customFormat="1" ht="25.15" customHeight="1"/>
    <row r="679" s="424" customFormat="1" ht="25.15" customHeight="1"/>
    <row r="680" s="424" customFormat="1" ht="25.15" customHeight="1"/>
    <row r="681" s="424" customFormat="1" ht="25.15" customHeight="1"/>
    <row r="682" s="424" customFormat="1" ht="25.15" customHeight="1"/>
    <row r="683" s="424" customFormat="1" ht="25.15" customHeight="1"/>
    <row r="684" s="424" customFormat="1" ht="25.15" customHeight="1"/>
    <row r="685" s="424" customFormat="1" ht="25.15" customHeight="1"/>
    <row r="686" s="424" customFormat="1" ht="25.15" customHeight="1"/>
    <row r="687" s="424" customFormat="1" ht="25.15" customHeight="1"/>
    <row r="688" s="424" customFormat="1" ht="25.15" customHeight="1"/>
    <row r="689" s="424" customFormat="1" ht="25.15" customHeight="1"/>
    <row r="690" s="424" customFormat="1" ht="25.15" customHeight="1"/>
    <row r="691" s="424" customFormat="1" ht="25.15" customHeight="1"/>
    <row r="692" s="424" customFormat="1" ht="25.15" customHeight="1"/>
    <row r="693" s="424" customFormat="1" ht="25.15" customHeight="1"/>
    <row r="694" s="424" customFormat="1" ht="25.15" customHeight="1"/>
    <row r="695" s="424" customFormat="1" ht="25.15" customHeight="1"/>
    <row r="696" s="424" customFormat="1" ht="25.15" customHeight="1"/>
    <row r="697" s="424" customFormat="1" ht="25.15" customHeight="1"/>
    <row r="698" s="424" customFormat="1" ht="25.15" customHeight="1"/>
    <row r="699" s="424" customFormat="1" ht="25.15" customHeight="1"/>
    <row r="700" s="424" customFormat="1" ht="25.15" customHeight="1"/>
    <row r="701" s="424" customFormat="1" ht="25.15" customHeight="1"/>
    <row r="702" s="424" customFormat="1" ht="25.15" customHeight="1"/>
    <row r="703" s="424" customFormat="1" ht="25.15" customHeight="1"/>
    <row r="704" s="424" customFormat="1" ht="25.15" customHeight="1"/>
    <row r="705" s="424" customFormat="1" ht="25.15" customHeight="1"/>
    <row r="706" s="424" customFormat="1" ht="25.15" customHeight="1"/>
    <row r="707" s="424" customFormat="1" ht="25.15" customHeight="1"/>
    <row r="708" s="424" customFormat="1" ht="25.15" customHeight="1"/>
    <row r="709" s="424" customFormat="1" ht="25.15" customHeight="1"/>
    <row r="710" s="424" customFormat="1" ht="25.15" customHeight="1"/>
    <row r="711" s="424" customFormat="1" ht="25.15" customHeight="1"/>
    <row r="712" s="424" customFormat="1" ht="25.15" customHeight="1"/>
    <row r="713" s="424" customFormat="1" ht="25.15" customHeight="1"/>
    <row r="714" s="424" customFormat="1" ht="25.15" customHeight="1"/>
    <row r="715" s="424" customFormat="1" ht="25.15" customHeight="1"/>
    <row r="716" s="424" customFormat="1" ht="25.15" customHeight="1"/>
    <row r="717" s="424" customFormat="1" ht="25.15" customHeight="1"/>
    <row r="718" s="424" customFormat="1" ht="25.15" customHeight="1"/>
    <row r="719" s="424" customFormat="1" ht="25.15" customHeight="1"/>
    <row r="720" s="424" customFormat="1" ht="25.15" customHeight="1"/>
    <row r="721" s="424" customFormat="1" ht="25.15" customHeight="1"/>
    <row r="722" s="424" customFormat="1" ht="25.15" customHeight="1"/>
    <row r="723" s="424" customFormat="1" ht="25.15" customHeight="1"/>
    <row r="724" s="424" customFormat="1" ht="25.15" customHeight="1"/>
    <row r="725" s="424" customFormat="1" ht="25.15" customHeight="1"/>
    <row r="726" s="424" customFormat="1" ht="25.15" customHeight="1"/>
    <row r="727" s="424" customFormat="1" ht="25.15" customHeight="1"/>
    <row r="728" s="424" customFormat="1" ht="25.15" customHeight="1"/>
    <row r="729" s="424" customFormat="1" ht="25.15" customHeight="1"/>
    <row r="730" s="424" customFormat="1" ht="25.15" customHeight="1"/>
    <row r="731" s="424" customFormat="1" ht="25.15" customHeight="1"/>
    <row r="732" s="424" customFormat="1" ht="25.15" customHeight="1"/>
    <row r="733" s="424" customFormat="1" ht="25.15" customHeight="1"/>
    <row r="734" s="424" customFormat="1" ht="25.15" customHeight="1"/>
    <row r="735" s="424" customFormat="1" ht="25.15" customHeight="1"/>
    <row r="736" s="424" customFormat="1" ht="25.15" customHeight="1"/>
    <row r="737" s="424" customFormat="1" ht="25.15" customHeight="1"/>
    <row r="738" s="424" customFormat="1" ht="25.15" customHeight="1"/>
    <row r="739" s="424" customFormat="1" ht="25.15" customHeight="1"/>
    <row r="740" s="424" customFormat="1" ht="25.15" customHeight="1"/>
    <row r="741" s="424" customFormat="1" ht="25.15" customHeight="1"/>
    <row r="742" s="424" customFormat="1" ht="25.15" customHeight="1"/>
    <row r="743" s="424" customFormat="1" ht="25.15" customHeight="1"/>
    <row r="744" s="424" customFormat="1" ht="25.15" customHeight="1"/>
    <row r="745" s="424" customFormat="1" ht="25.15" customHeight="1"/>
    <row r="746" s="424" customFormat="1" ht="25.15" customHeight="1"/>
    <row r="747" s="424" customFormat="1" ht="25.15" customHeight="1"/>
    <row r="748" s="424" customFormat="1" ht="25.15" customHeight="1"/>
    <row r="749" s="424" customFormat="1" ht="25.15" customHeight="1"/>
    <row r="750" s="424" customFormat="1" ht="25.15" customHeight="1"/>
    <row r="751" s="424" customFormat="1" ht="25.15" customHeight="1"/>
    <row r="752" s="424" customFormat="1" ht="25.15" customHeight="1"/>
    <row r="753" s="424" customFormat="1" ht="25.15" customHeight="1"/>
    <row r="754" s="424" customFormat="1" ht="25.15" customHeight="1"/>
    <row r="755" s="424" customFormat="1" ht="25.15" customHeight="1"/>
    <row r="756" s="424" customFormat="1" ht="25.15" customHeight="1"/>
    <row r="757" s="424" customFormat="1" ht="25.15" customHeight="1"/>
    <row r="758" s="424" customFormat="1" ht="25.15" customHeight="1"/>
    <row r="759" s="424" customFormat="1" ht="25.15" customHeight="1"/>
    <row r="760" s="424" customFormat="1" ht="25.15" customHeight="1"/>
    <row r="761" s="424" customFormat="1" ht="25.15" customHeight="1"/>
    <row r="762" s="424" customFormat="1" ht="25.15" customHeight="1"/>
    <row r="763" s="424" customFormat="1" ht="25.15" customHeight="1"/>
    <row r="764" s="424" customFormat="1" ht="25.15" customHeight="1"/>
    <row r="765" s="424" customFormat="1" ht="25.15" customHeight="1"/>
    <row r="766" s="424" customFormat="1" ht="25.15" customHeight="1"/>
    <row r="767" s="424" customFormat="1" ht="25.15" customHeight="1"/>
    <row r="768" s="424" customFormat="1" ht="25.15" customHeight="1"/>
    <row r="769" s="424" customFormat="1" ht="25.15" customHeight="1"/>
    <row r="770" s="424" customFormat="1" ht="25.15" customHeight="1"/>
    <row r="771" s="424" customFormat="1" ht="25.15" customHeight="1"/>
    <row r="772" s="424" customFormat="1" ht="25.15" customHeight="1"/>
    <row r="773" s="424" customFormat="1" ht="25.15" customHeight="1"/>
    <row r="774" s="424" customFormat="1" ht="25.15" customHeight="1"/>
    <row r="775" s="424" customFormat="1" ht="25.15" customHeight="1"/>
    <row r="776" s="424" customFormat="1" ht="25.15" customHeight="1"/>
    <row r="777" s="424" customFormat="1" ht="25.15" customHeight="1"/>
    <row r="778" s="424" customFormat="1" ht="25.15" customHeight="1"/>
    <row r="779" s="424" customFormat="1" ht="25.15" customHeight="1"/>
    <row r="780" s="424" customFormat="1" ht="25.15" customHeight="1"/>
    <row r="781" s="424" customFormat="1" ht="25.15" customHeight="1"/>
    <row r="782" s="424" customFormat="1" ht="25.15" customHeight="1"/>
    <row r="783" s="424" customFormat="1" ht="25.15" customHeight="1"/>
    <row r="784" s="424" customFormat="1" ht="25.15" customHeight="1"/>
    <row r="785" s="424" customFormat="1" ht="25.15" customHeight="1"/>
    <row r="786" s="424" customFormat="1" ht="25.15" customHeight="1"/>
    <row r="787" s="424" customFormat="1" ht="25.15" customHeight="1"/>
    <row r="788" s="424" customFormat="1" ht="25.15" customHeight="1"/>
    <row r="789" s="424" customFormat="1" ht="25.15" customHeight="1"/>
    <row r="790" s="424" customFormat="1" ht="25.15" customHeight="1"/>
    <row r="791" s="424" customFormat="1" ht="25.15" customHeight="1"/>
    <row r="792" s="424" customFormat="1" ht="25.15" customHeight="1"/>
    <row r="793" s="424" customFormat="1" ht="25.15" customHeight="1"/>
    <row r="794" s="424" customFormat="1" ht="25.15" customHeight="1"/>
    <row r="795" s="424" customFormat="1" ht="25.15" customHeight="1"/>
    <row r="796" s="424" customFormat="1" ht="25.15" customHeight="1"/>
    <row r="797" s="424" customFormat="1" ht="25.15" customHeight="1"/>
    <row r="798" s="424" customFormat="1" ht="25.15" customHeight="1"/>
    <row r="799" s="424" customFormat="1" ht="25.15" customHeight="1"/>
    <row r="800" s="424" customFormat="1" ht="25.15" customHeight="1"/>
    <row r="801" s="424" customFormat="1" ht="25.15" customHeight="1"/>
    <row r="802" s="424" customFormat="1" ht="25.15" customHeight="1"/>
    <row r="803" s="424" customFormat="1" ht="25.15" customHeight="1"/>
    <row r="804" s="424" customFormat="1" ht="25.15" customHeight="1"/>
    <row r="805" s="424" customFormat="1" ht="25.15" customHeight="1"/>
    <row r="806" s="424" customFormat="1" ht="25.15" customHeight="1"/>
    <row r="807" s="424" customFormat="1" ht="25.15" customHeight="1"/>
    <row r="808" s="424" customFormat="1" ht="25.15" customHeight="1"/>
    <row r="809" s="424" customFormat="1" ht="25.15" customHeight="1"/>
    <row r="810" s="424" customFormat="1" ht="25.15" customHeight="1"/>
    <row r="811" s="424" customFormat="1" ht="25.15" customHeight="1"/>
    <row r="812" s="424" customFormat="1" ht="25.15" customHeight="1"/>
    <row r="813" s="424" customFormat="1" ht="25.15" customHeight="1"/>
    <row r="814" s="424" customFormat="1" ht="25.15" customHeight="1"/>
    <row r="815" s="424" customFormat="1" ht="25.15" customHeight="1"/>
    <row r="816" s="424" customFormat="1" ht="25.15" customHeight="1"/>
    <row r="817" s="424" customFormat="1" ht="25.15" customHeight="1"/>
    <row r="818" s="424" customFormat="1" ht="25.15" customHeight="1"/>
    <row r="819" s="424" customFormat="1" ht="25.15" customHeight="1"/>
    <row r="820" s="424" customFormat="1" ht="25.15" customHeight="1"/>
    <row r="821" s="424" customFormat="1" ht="25.15" customHeight="1"/>
    <row r="822" s="424" customFormat="1" ht="25.15" customHeight="1"/>
    <row r="823" s="424" customFormat="1" ht="25.15" customHeight="1"/>
    <row r="824" s="424" customFormat="1" ht="25.15" customHeight="1"/>
    <row r="825" s="424" customFormat="1" ht="25.15" customHeight="1"/>
    <row r="826" s="424" customFormat="1" ht="25.15" customHeight="1"/>
    <row r="827" s="424" customFormat="1" ht="25.15" customHeight="1"/>
    <row r="828" s="424" customFormat="1" ht="25.15" customHeight="1"/>
    <row r="829" s="424" customFormat="1" ht="25.15" customHeight="1"/>
    <row r="830" s="424" customFormat="1" ht="25.15" customHeight="1"/>
    <row r="831" s="424" customFormat="1" ht="25.15" customHeight="1"/>
    <row r="832" s="424" customFormat="1" ht="25.15" customHeight="1"/>
    <row r="833" s="424" customFormat="1" ht="25.15" customHeight="1"/>
    <row r="834" s="424" customFormat="1" ht="25.15" customHeight="1"/>
    <row r="835" s="424" customFormat="1" ht="25.15" customHeight="1"/>
    <row r="836" s="424" customFormat="1" ht="25.15" customHeight="1"/>
    <row r="837" s="424" customFormat="1" ht="25.15" customHeight="1"/>
    <row r="838" s="424" customFormat="1" ht="25.15" customHeight="1"/>
    <row r="839" s="424" customFormat="1" ht="25.15" customHeight="1"/>
    <row r="840" s="424" customFormat="1" ht="25.15" customHeight="1"/>
    <row r="841" s="424" customFormat="1" ht="25.15" customHeight="1"/>
    <row r="842" s="424" customFormat="1" ht="25.15" customHeight="1"/>
    <row r="843" s="424" customFormat="1" ht="25.15" customHeight="1"/>
    <row r="844" s="424" customFormat="1" ht="25.15" customHeight="1"/>
    <row r="845" s="424" customFormat="1" ht="25.15" customHeight="1"/>
    <row r="846" s="424" customFormat="1" ht="25.15" customHeight="1"/>
    <row r="847" s="424" customFormat="1" ht="25.15" customHeight="1"/>
    <row r="848" s="424" customFormat="1" ht="25.15" customHeight="1"/>
    <row r="849" s="424" customFormat="1" ht="25.15" customHeight="1"/>
    <row r="850" s="424" customFormat="1" ht="25.15" customHeight="1"/>
    <row r="851" s="424" customFormat="1" ht="25.15" customHeight="1"/>
    <row r="852" s="424" customFormat="1" ht="25.15" customHeight="1"/>
    <row r="853" s="424" customFormat="1" ht="25.15" customHeight="1"/>
    <row r="854" s="424" customFormat="1" ht="25.15" customHeight="1"/>
    <row r="855" s="424" customFormat="1" ht="25.15" customHeight="1"/>
    <row r="856" s="424" customFormat="1" ht="25.15" customHeight="1"/>
    <row r="857" s="424" customFormat="1" ht="25.15" customHeight="1"/>
    <row r="858" s="424" customFormat="1" ht="25.15" customHeight="1"/>
    <row r="859" s="424" customFormat="1" ht="25.15" customHeight="1"/>
    <row r="860" s="424" customFormat="1" ht="25.15" customHeight="1"/>
    <row r="861" s="424" customFormat="1" ht="25.15" customHeight="1"/>
    <row r="862" s="424" customFormat="1" ht="25.15" customHeight="1"/>
    <row r="863" s="424" customFormat="1" ht="25.15" customHeight="1"/>
    <row r="864" s="424" customFormat="1" ht="25.15" customHeight="1"/>
    <row r="865" s="424" customFormat="1" ht="25.15" customHeight="1"/>
    <row r="866" s="424" customFormat="1" ht="25.15" customHeight="1"/>
    <row r="867" s="424" customFormat="1" ht="25.15" customHeight="1"/>
    <row r="868" s="424" customFormat="1" ht="25.15" customHeight="1"/>
    <row r="869" s="424" customFormat="1" ht="25.15" customHeight="1"/>
    <row r="870" s="424" customFormat="1" ht="25.15" customHeight="1"/>
    <row r="871" s="424" customFormat="1" ht="25.15" customHeight="1"/>
    <row r="872" s="424" customFormat="1" ht="25.15" customHeight="1"/>
    <row r="873" s="424" customFormat="1" ht="25.15" customHeight="1"/>
    <row r="874" s="424" customFormat="1" ht="25.15" customHeight="1"/>
    <row r="875" s="424" customFormat="1" ht="25.15" customHeight="1"/>
    <row r="876" s="424" customFormat="1" ht="25.15" customHeight="1"/>
    <row r="877" s="424" customFormat="1" ht="25.15" customHeight="1"/>
    <row r="878" s="424" customFormat="1" ht="25.15" customHeight="1"/>
    <row r="879" s="424" customFormat="1" ht="25.15" customHeight="1"/>
    <row r="880" s="424" customFormat="1" ht="25.15" customHeight="1"/>
    <row r="881" s="424" customFormat="1" ht="25.15" customHeight="1"/>
    <row r="882" s="424" customFormat="1" ht="25.15" customHeight="1"/>
    <row r="883" s="424" customFormat="1" ht="25.15" customHeight="1"/>
    <row r="884" s="424" customFormat="1" ht="25.15" customHeight="1"/>
    <row r="885" s="424" customFormat="1" ht="25.15" customHeight="1"/>
    <row r="886" s="424" customFormat="1" ht="25.15" customHeight="1"/>
    <row r="887" s="424" customFormat="1" ht="25.15" customHeight="1"/>
    <row r="888" s="424" customFormat="1" ht="25.15" customHeight="1"/>
    <row r="889" s="424" customFormat="1" ht="25.15" customHeight="1"/>
    <row r="890" s="424" customFormat="1" ht="25.15" customHeight="1"/>
    <row r="891" s="424" customFormat="1" ht="25.15" customHeight="1"/>
    <row r="892" s="424" customFormat="1" ht="25.15" customHeight="1"/>
    <row r="893" s="424" customFormat="1" ht="25.15" customHeight="1"/>
    <row r="894" s="424" customFormat="1" ht="25.15" customHeight="1"/>
    <row r="895" s="424" customFormat="1" ht="25.15" customHeight="1"/>
    <row r="896" s="424" customFormat="1" ht="25.15" customHeight="1"/>
    <row r="897" s="424" customFormat="1" ht="25.15" customHeight="1"/>
    <row r="898" s="424" customFormat="1" ht="25.15" customHeight="1"/>
    <row r="899" s="424" customFormat="1" ht="25.15" customHeight="1"/>
    <row r="900" s="424" customFormat="1" ht="25.15" customHeight="1"/>
    <row r="901" s="424" customFormat="1" ht="25.15" customHeight="1"/>
    <row r="902" s="424" customFormat="1" ht="25.15" customHeight="1"/>
    <row r="903" s="424" customFormat="1" ht="25.15" customHeight="1"/>
    <row r="904" s="424" customFormat="1" ht="25.15" customHeight="1"/>
    <row r="905" s="424" customFormat="1" ht="25.15" customHeight="1"/>
    <row r="906" s="424" customFormat="1" ht="25.15" customHeight="1"/>
    <row r="907" s="424" customFormat="1" ht="25.15" customHeight="1"/>
    <row r="908" s="424" customFormat="1" ht="25.15" customHeight="1"/>
    <row r="909" s="424" customFormat="1" ht="25.15" customHeight="1"/>
    <row r="910" s="424" customFormat="1" ht="25.15" customHeight="1"/>
    <row r="911" s="424" customFormat="1" ht="25.15" customHeight="1"/>
    <row r="912" s="424" customFormat="1" ht="25.15" customHeight="1"/>
    <row r="913" s="424" customFormat="1" ht="25.15" customHeight="1"/>
    <row r="914" s="424" customFormat="1" ht="25.15" customHeight="1"/>
    <row r="915" s="424" customFormat="1" ht="25.15" customHeight="1"/>
    <row r="916" s="424" customFormat="1" ht="25.15" customHeight="1"/>
    <row r="917" s="424" customFormat="1" ht="25.15" customHeight="1"/>
    <row r="918" s="424" customFormat="1" ht="25.15" customHeight="1"/>
    <row r="919" s="424" customFormat="1" ht="25.15" customHeight="1"/>
    <row r="920" s="424" customFormat="1" ht="25.15" customHeight="1"/>
    <row r="921" s="424" customFormat="1" ht="25.15" customHeight="1"/>
    <row r="922" s="424" customFormat="1" ht="25.15" customHeight="1"/>
    <row r="923" s="424" customFormat="1" ht="25.15" customHeight="1"/>
    <row r="924" s="424" customFormat="1" ht="25.15" customHeight="1"/>
    <row r="925" s="424" customFormat="1" ht="25.15" customHeight="1"/>
    <row r="926" s="424" customFormat="1" ht="25.15" customHeight="1"/>
    <row r="927" s="424" customFormat="1" ht="25.15" customHeight="1"/>
    <row r="928" s="424" customFormat="1" ht="25.15" customHeight="1"/>
    <row r="929" s="424" customFormat="1" ht="25.15" customHeight="1"/>
    <row r="930" s="424" customFormat="1" ht="25.15" customHeight="1"/>
    <row r="931" s="424" customFormat="1" ht="25.15" customHeight="1"/>
    <row r="932" s="424" customFormat="1" ht="25.15" customHeight="1"/>
    <row r="933" s="424" customFormat="1" ht="25.15" customHeight="1"/>
    <row r="934" s="424" customFormat="1" ht="25.15" customHeight="1"/>
    <row r="935" s="424" customFormat="1" ht="25.15" customHeight="1"/>
    <row r="936" s="424" customFormat="1" ht="25.15" customHeight="1"/>
    <row r="937" s="424" customFormat="1" ht="25.15" customHeight="1"/>
    <row r="938" s="424" customFormat="1" ht="25.15" customHeight="1"/>
    <row r="939" s="424" customFormat="1" ht="25.15" customHeight="1"/>
    <row r="940" s="424" customFormat="1" ht="25.15" customHeight="1"/>
    <row r="941" s="424" customFormat="1" ht="25.15" customHeight="1"/>
    <row r="942" s="424" customFormat="1" ht="25.15" customHeight="1"/>
    <row r="943" s="424" customFormat="1" ht="25.15" customHeight="1"/>
    <row r="944" s="424" customFormat="1" ht="25.15" customHeight="1"/>
    <row r="945" s="424" customFormat="1" ht="25.15" customHeight="1"/>
    <row r="946" s="424" customFormat="1" ht="25.15" customHeight="1"/>
    <row r="947" s="424" customFormat="1" ht="25.15" customHeight="1"/>
    <row r="948" s="424" customFormat="1" ht="25.15" customHeight="1"/>
    <row r="949" s="424" customFormat="1" ht="25.15" customHeight="1"/>
    <row r="950" s="424" customFormat="1" ht="25.15" customHeight="1"/>
    <row r="951" s="424" customFormat="1" ht="25.15" customHeight="1"/>
    <row r="952" s="424" customFormat="1" ht="25.15" customHeight="1"/>
    <row r="953" s="424" customFormat="1" ht="25.15" customHeight="1"/>
    <row r="954" s="424" customFormat="1" ht="25.15" customHeight="1"/>
    <row r="955" s="424" customFormat="1" ht="25.15" customHeight="1"/>
    <row r="956" s="424" customFormat="1" ht="25.15" customHeight="1"/>
    <row r="957" s="424" customFormat="1" ht="25.15" customHeight="1"/>
    <row r="958" s="424" customFormat="1" ht="25.15" customHeight="1"/>
    <row r="959" s="424" customFormat="1" ht="25.15" customHeight="1"/>
    <row r="960" s="424" customFormat="1" ht="25.15" customHeight="1"/>
    <row r="961" s="424" customFormat="1" ht="25.15" customHeight="1"/>
    <row r="962" s="424" customFormat="1" ht="25.15" customHeight="1"/>
    <row r="963" s="424" customFormat="1" ht="25.15" customHeight="1"/>
    <row r="964" s="424" customFormat="1" ht="25.15" customHeight="1"/>
    <row r="965" s="424" customFormat="1" ht="25.15" customHeight="1"/>
    <row r="966" s="424" customFormat="1" ht="25.15" customHeight="1"/>
    <row r="967" s="424" customFormat="1" ht="25.15" customHeight="1"/>
    <row r="968" s="424" customFormat="1" ht="25.15" customHeight="1"/>
    <row r="969" s="424" customFormat="1" ht="25.15" customHeight="1"/>
    <row r="970" s="424" customFormat="1" ht="25.15" customHeight="1"/>
    <row r="971" s="424" customFormat="1" ht="25.15" customHeight="1"/>
    <row r="972" s="424" customFormat="1" ht="25.15" customHeight="1"/>
    <row r="973" s="424" customFormat="1" ht="25.15" customHeight="1"/>
    <row r="974" s="424" customFormat="1" ht="25.15" customHeight="1"/>
    <row r="975" s="424" customFormat="1" ht="25.15" customHeight="1"/>
    <row r="976" s="424" customFormat="1" ht="25.15" customHeight="1"/>
    <row r="977" s="424" customFormat="1" ht="25.15" customHeight="1"/>
    <row r="978" s="424" customFormat="1" ht="25.15" customHeight="1"/>
    <row r="979" s="424" customFormat="1" ht="25.15" customHeight="1"/>
    <row r="980" s="424" customFormat="1" ht="25.15" customHeight="1"/>
    <row r="981" s="424" customFormat="1" ht="25.15" customHeight="1"/>
    <row r="982" s="424" customFormat="1" ht="25.15" customHeight="1"/>
    <row r="983" s="424" customFormat="1" ht="25.15" customHeight="1"/>
    <row r="984" s="424" customFormat="1" ht="25.15" customHeight="1"/>
    <row r="985" s="424" customFormat="1" ht="25.15" customHeight="1"/>
    <row r="986" s="424" customFormat="1" ht="25.15" customHeight="1"/>
    <row r="987" s="424" customFormat="1" ht="25.15" customHeight="1"/>
    <row r="988" s="424" customFormat="1" ht="25.15" customHeight="1"/>
    <row r="989" s="424" customFormat="1" ht="25.15" customHeight="1"/>
    <row r="990" s="424" customFormat="1" ht="25.15" customHeight="1"/>
    <row r="991" s="424" customFormat="1" ht="25.15" customHeight="1"/>
    <row r="992" s="424" customFormat="1" ht="25.15" customHeight="1"/>
    <row r="993" s="424" customFormat="1" ht="25.15" customHeight="1"/>
    <row r="994" s="424" customFormat="1" ht="25.15" customHeight="1"/>
    <row r="995" s="424" customFormat="1" ht="25.15" customHeight="1"/>
    <row r="996" s="424" customFormat="1" ht="25.15" customHeight="1"/>
    <row r="997" s="424" customFormat="1" ht="25.15" customHeight="1"/>
    <row r="998" s="424" customFormat="1" ht="25.15" customHeight="1"/>
    <row r="999" s="424" customFormat="1" ht="25.15" customHeight="1"/>
    <row r="1000" s="424" customFormat="1" ht="25.15" customHeight="1"/>
    <row r="1001" s="424" customFormat="1" ht="25.15" customHeight="1"/>
    <row r="1002" s="424" customFormat="1" ht="25.15" customHeight="1"/>
    <row r="1003" s="424" customFormat="1" ht="25.15" customHeight="1"/>
    <row r="1004" s="424" customFormat="1" ht="25.15" customHeight="1"/>
    <row r="1005" s="424" customFormat="1" ht="25.15" customHeight="1"/>
    <row r="1006" s="424" customFormat="1" ht="25.15" customHeight="1"/>
    <row r="1007" s="424" customFormat="1" ht="25.15" customHeight="1"/>
    <row r="1008" s="424" customFormat="1" ht="25.15" customHeight="1"/>
    <row r="1009" s="424" customFormat="1" ht="25.15" customHeight="1"/>
    <row r="1010" s="424" customFormat="1" ht="25.15" customHeight="1"/>
    <row r="1011" s="424" customFormat="1" ht="25.15" customHeight="1"/>
    <row r="1012" s="424" customFormat="1" ht="25.15" customHeight="1"/>
    <row r="1013" s="424" customFormat="1" ht="25.15" customHeight="1"/>
    <row r="1014" s="424" customFormat="1" ht="25.15" customHeight="1"/>
    <row r="1015" s="424" customFormat="1" ht="25.15" customHeight="1"/>
    <row r="1016" s="424" customFormat="1" ht="25.15" customHeight="1"/>
    <row r="1017" s="424" customFormat="1" ht="25.15" customHeight="1"/>
    <row r="1018" s="424" customFormat="1" ht="25.15" customHeight="1"/>
    <row r="1019" s="424" customFormat="1" ht="25.15" customHeight="1"/>
    <row r="1020" s="424" customFormat="1" ht="25.15" customHeight="1"/>
    <row r="1021" s="424" customFormat="1" ht="25.15" customHeight="1"/>
    <row r="1022" s="424" customFormat="1" ht="25.15" customHeight="1"/>
    <row r="1023" s="424" customFormat="1" ht="25.15" customHeight="1"/>
    <row r="1024" s="424" customFormat="1" ht="25.15" customHeight="1"/>
    <row r="1025" s="424" customFormat="1" ht="25.15" customHeight="1"/>
    <row r="1026" s="424" customFormat="1" ht="25.15" customHeight="1"/>
    <row r="1027" s="424" customFormat="1" ht="25.15" customHeight="1"/>
    <row r="1028" s="424" customFormat="1" ht="25.15" customHeight="1"/>
    <row r="1029" s="424" customFormat="1" ht="25.15" customHeight="1"/>
    <row r="1030" s="424" customFormat="1" ht="24.95" customHeight="1"/>
    <row r="1031" s="424" customFormat="1" ht="24.95" customHeight="1"/>
    <row r="1032" s="424" customFormat="1" ht="24.95" customHeight="1"/>
    <row r="1033" s="424" customFormat="1" ht="24.95" customHeight="1"/>
    <row r="1034" s="424" customFormat="1" ht="24.95" customHeight="1"/>
    <row r="1035" s="424" customFormat="1" ht="24.95" customHeight="1"/>
    <row r="1036" s="424" customFormat="1" ht="24.95" customHeight="1"/>
    <row r="1037" s="424" customFormat="1" ht="24.95" customHeight="1"/>
    <row r="1038" s="424" customFormat="1" ht="24.95" customHeight="1"/>
    <row r="1039" s="424" customFormat="1" ht="24.95" customHeight="1"/>
    <row r="1040" s="424" customFormat="1" ht="24.95" customHeight="1"/>
    <row r="1041" s="424" customFormat="1" ht="24.95" customHeight="1"/>
    <row r="1042" s="424" customFormat="1" ht="24.95" customHeight="1"/>
    <row r="1043" s="424" customFormat="1" ht="24.95" customHeight="1"/>
    <row r="1044" s="424" customFormat="1" ht="24.95" customHeight="1"/>
    <row r="1045" s="424" customFormat="1" ht="24.95" customHeight="1"/>
    <row r="1046" s="424" customFormat="1" ht="24.95" customHeight="1"/>
    <row r="1047" s="424" customFormat="1" ht="24.95" customHeight="1"/>
    <row r="1048" s="424" customFormat="1" ht="24.95" customHeight="1"/>
    <row r="1049" s="424" customFormat="1" ht="24.95" customHeight="1"/>
    <row r="1050" s="424" customFormat="1" ht="24.95" customHeight="1"/>
    <row r="1051" s="424" customFormat="1" ht="24.95" customHeight="1"/>
    <row r="1052" s="424" customFormat="1" ht="24.95" customHeight="1"/>
    <row r="1053" s="424" customFormat="1" ht="24.95" customHeight="1"/>
    <row r="1054" s="424" customFormat="1" ht="24.95" customHeight="1"/>
    <row r="1055" s="424" customFormat="1" ht="24.95" customHeight="1"/>
    <row r="1056" s="424" customFormat="1" ht="24.95" customHeight="1"/>
    <row r="1057" s="424" customFormat="1" ht="24.95" customHeight="1"/>
    <row r="1058" s="424" customFormat="1" ht="24.95" customHeight="1"/>
    <row r="1059" s="424" customFormat="1" ht="24.95" customHeight="1"/>
    <row r="1060" s="424" customFormat="1" ht="24.95" customHeight="1"/>
    <row r="1061" s="424" customFormat="1" ht="24.95" customHeight="1"/>
    <row r="1062" s="424" customFormat="1" ht="24.95" customHeight="1"/>
    <row r="1063" s="424" customFormat="1" ht="24.95" customHeight="1"/>
    <row r="1064" s="424" customFormat="1" ht="24.95" customHeight="1"/>
    <row r="1065" s="424" customFormat="1" ht="24.95" customHeight="1"/>
    <row r="1066" s="424" customFormat="1" ht="24.95" customHeight="1"/>
    <row r="1067" s="424" customFormat="1" ht="24.95" customHeight="1"/>
    <row r="1068" s="424" customFormat="1" ht="24.95" customHeight="1"/>
    <row r="1069" s="424" customFormat="1" ht="24.95" customHeight="1"/>
    <row r="1070" s="424" customFormat="1" ht="24.95" customHeight="1"/>
    <row r="1071" s="424" customFormat="1" ht="24.95" customHeight="1"/>
    <row r="1072" s="424" customFormat="1" ht="24.95" customHeight="1"/>
    <row r="1073" s="424" customFormat="1" ht="24.95" customHeight="1"/>
    <row r="1074" s="424" customFormat="1" ht="24.95" customHeight="1"/>
    <row r="1075" s="424" customFormat="1" ht="24.95" customHeight="1"/>
    <row r="1076" s="424" customFormat="1" ht="24.95" customHeight="1"/>
    <row r="1077" s="424" customFormat="1" ht="24.95" customHeight="1"/>
    <row r="1078" s="424" customFormat="1" ht="24.95" customHeight="1"/>
    <row r="1079" s="424" customFormat="1" ht="24.95" customHeight="1"/>
    <row r="1080" s="424" customFormat="1" ht="24.95" customHeight="1"/>
    <row r="1081" s="424" customFormat="1" ht="24.95" customHeight="1"/>
    <row r="1082" s="424" customFormat="1" ht="24.95" customHeight="1"/>
    <row r="1083" s="424" customFormat="1" ht="24.95" customHeight="1"/>
    <row r="1084" s="424" customFormat="1" ht="24.95" customHeight="1"/>
    <row r="1085" s="424" customFormat="1" ht="24.95" customHeight="1"/>
    <row r="1086" s="424" customFormat="1" ht="24.95" customHeight="1"/>
    <row r="1087" s="424" customFormat="1" ht="24.95" customHeight="1"/>
    <row r="1088" s="424" customFormat="1" ht="24.95" customHeight="1"/>
    <row r="1089" s="424" customFormat="1" ht="24.95" customHeight="1"/>
    <row r="1090" s="424" customFormat="1" ht="24.95" customHeight="1"/>
    <row r="1091" s="424" customFormat="1" ht="24.95" customHeight="1"/>
    <row r="1092" s="424" customFormat="1" ht="24.95" customHeight="1"/>
    <row r="1093" s="424" customFormat="1" ht="24.95" customHeight="1"/>
    <row r="1094" s="424" customFormat="1" ht="24.95" customHeight="1"/>
    <row r="1095" s="424" customFormat="1" ht="24.95" customHeight="1"/>
    <row r="1096" s="424" customFormat="1" ht="24.95" customHeight="1"/>
    <row r="1097" s="424" customFormat="1" ht="24.95" customHeight="1"/>
    <row r="1098" s="424" customFormat="1" ht="24.95" customHeight="1"/>
    <row r="1099" s="424" customFormat="1" ht="24.95" customHeight="1"/>
    <row r="1100" s="424" customFormat="1" ht="24.95" customHeight="1"/>
    <row r="1101" s="424" customFormat="1" ht="24.95" customHeight="1"/>
    <row r="1102" s="424" customFormat="1" ht="24.95" customHeight="1"/>
    <row r="1103" s="424" customFormat="1" ht="24.95" customHeight="1"/>
    <row r="1104" s="424" customFormat="1" ht="24.95" customHeight="1"/>
    <row r="1105" s="424" customFormat="1" ht="24.95" customHeight="1"/>
    <row r="1106" s="424" customFormat="1" ht="24.95" customHeight="1"/>
    <row r="1107" s="424" customFormat="1" ht="24.95" customHeight="1"/>
    <row r="1108" s="424" customFormat="1" ht="24.95" customHeight="1"/>
    <row r="1109" s="424" customFormat="1" ht="24.95" customHeight="1"/>
    <row r="1110" s="424" customFormat="1" ht="24.95" customHeight="1"/>
    <row r="1111" s="424" customFormat="1" ht="24.95" customHeight="1"/>
    <row r="1112" s="424" customFormat="1" ht="24.95" customHeight="1"/>
    <row r="1113" s="424" customFormat="1" ht="24.95" customHeight="1"/>
    <row r="1114" s="424" customFormat="1" ht="24.95" customHeight="1"/>
    <row r="1115" s="424" customFormat="1" ht="24.95" customHeight="1"/>
    <row r="1116" s="424" customFormat="1" ht="24.95" customHeight="1"/>
    <row r="1117" s="424" customFormat="1" ht="24.95" customHeight="1"/>
    <row r="1118" s="424" customFormat="1" ht="24.95" customHeight="1"/>
    <row r="1119" s="424" customFormat="1" ht="24.95" customHeight="1"/>
    <row r="1120" s="424" customFormat="1" ht="24.95" customHeight="1"/>
    <row r="1121" s="424" customFormat="1" ht="24.95" customHeight="1"/>
    <row r="1122" s="424" customFormat="1" ht="24.95" customHeight="1"/>
    <row r="1123" s="424" customFormat="1" ht="24.95" customHeight="1"/>
    <row r="1124" s="424" customFormat="1" ht="24.95" customHeight="1"/>
    <row r="1125" s="424" customFormat="1" ht="24.95" customHeight="1"/>
    <row r="1126" s="424" customFormat="1" ht="24.95" customHeight="1"/>
    <row r="1127" s="424" customFormat="1" ht="24.95" customHeight="1"/>
    <row r="1128" s="424" customFormat="1" ht="24.95" customHeight="1"/>
    <row r="1129" s="424" customFormat="1" ht="24.95" customHeight="1"/>
    <row r="1130" s="424" customFormat="1" ht="24.95" customHeight="1"/>
    <row r="1131" s="424" customFormat="1" ht="24.95" customHeight="1"/>
    <row r="1132" s="424" customFormat="1" ht="24.95" customHeight="1"/>
    <row r="1133" s="424" customFormat="1" ht="24.95" customHeight="1"/>
    <row r="1134" s="424" customFormat="1" ht="24.95" customHeight="1"/>
    <row r="1135" s="424" customFormat="1" ht="24.95" customHeight="1"/>
    <row r="1136" s="424" customFormat="1" ht="24.95" customHeight="1"/>
    <row r="1137" s="424" customFormat="1" ht="24.95" customHeight="1"/>
    <row r="1138" s="424" customFormat="1" ht="24.95" customHeight="1"/>
    <row r="1139" s="424" customFormat="1" ht="24.95" customHeight="1"/>
    <row r="1140" s="424" customFormat="1" ht="24.95" customHeight="1"/>
    <row r="1141" s="424" customFormat="1" ht="24.95" customHeight="1"/>
    <row r="1142" s="424" customFormat="1" ht="24.95" customHeight="1"/>
    <row r="1143" s="424" customFormat="1" ht="24.95" customHeight="1"/>
    <row r="1144" s="424" customFormat="1" ht="24.95" customHeight="1"/>
    <row r="1145" s="424" customFormat="1" ht="24.95" customHeight="1"/>
    <row r="1146" s="424" customFormat="1" ht="24.95" customHeight="1"/>
    <row r="1147" s="424" customFormat="1" ht="24.95" customHeight="1"/>
    <row r="1148" s="424" customFormat="1" ht="24.95" customHeight="1"/>
    <row r="1149" s="424" customFormat="1" ht="24.95" customHeight="1"/>
    <row r="1150" s="424" customFormat="1" ht="24.95" customHeight="1"/>
    <row r="1151" s="424" customFormat="1" ht="24.95" customHeight="1"/>
    <row r="1152" s="424" customFormat="1" ht="24.95" customHeight="1"/>
    <row r="1153" s="424" customFormat="1" ht="24.95" customHeight="1"/>
    <row r="1154" s="424" customFormat="1" ht="24.95" customHeight="1"/>
    <row r="1155" s="424" customFormat="1" ht="24.95" customHeight="1"/>
    <row r="1156" s="424" customFormat="1" ht="24.95" customHeight="1"/>
    <row r="1157" s="424" customFormat="1" ht="24.95" customHeight="1"/>
    <row r="1158" s="424" customFormat="1" ht="24.95" customHeight="1"/>
    <row r="1159" s="424" customFormat="1" ht="24.95" customHeight="1"/>
    <row r="1160" s="424" customFormat="1" ht="24.95" customHeight="1"/>
    <row r="1161" s="424" customFormat="1" ht="24.95" customHeight="1"/>
    <row r="1162" s="424" customFormat="1" ht="24.95" customHeight="1"/>
    <row r="1163" s="424" customFormat="1" ht="24.95" customHeight="1"/>
    <row r="1164" s="424" customFormat="1" ht="24.95" customHeight="1"/>
    <row r="1165" s="424" customFormat="1" ht="24.95" customHeight="1"/>
    <row r="1166" s="424" customFormat="1" ht="24.95" customHeight="1"/>
    <row r="1167" s="424" customFormat="1" ht="24.95" customHeight="1"/>
    <row r="1168" s="424" customFormat="1" ht="24.95" customHeight="1"/>
    <row r="1169" s="424" customFormat="1" ht="24.95" customHeight="1"/>
    <row r="1170" s="424" customFormat="1" ht="24.95" customHeight="1"/>
    <row r="1171" s="424" customFormat="1" ht="24.95" customHeight="1"/>
    <row r="1172" s="424" customFormat="1" ht="24.95" customHeight="1"/>
    <row r="1173" s="424" customFormat="1" ht="24.95" customHeight="1"/>
    <row r="1174" s="424" customFormat="1" ht="24.95" customHeight="1"/>
    <row r="1175" s="424" customFormat="1" ht="24.95" customHeight="1"/>
    <row r="1176" s="424" customFormat="1" ht="24.95" customHeight="1"/>
    <row r="1177" s="424" customFormat="1" ht="24.95" customHeight="1"/>
    <row r="1178" s="424" customFormat="1" ht="24.95" customHeight="1"/>
    <row r="1179" s="424" customFormat="1" ht="24.95" customHeight="1"/>
    <row r="1180" s="424" customFormat="1" ht="24.95" customHeight="1"/>
    <row r="1181" s="424" customFormat="1" ht="24.95" customHeight="1"/>
    <row r="1182" s="424" customFormat="1" ht="24.95" customHeight="1"/>
    <row r="1183" s="424" customFormat="1" ht="24.95" customHeight="1"/>
    <row r="1184" s="424" customFormat="1" ht="24.95" customHeight="1"/>
    <row r="1185" s="424" customFormat="1" ht="24.95" customHeight="1"/>
    <row r="1186" s="424" customFormat="1" ht="24.95" customHeight="1"/>
    <row r="1187" s="424" customFormat="1" ht="24.95" customHeight="1"/>
    <row r="1188" s="424" customFormat="1" ht="24.95" customHeight="1"/>
    <row r="1189" s="424" customFormat="1" ht="24.95" customHeight="1"/>
    <row r="1190" s="424" customFormat="1" ht="24.95" customHeight="1"/>
    <row r="1191" s="424" customFormat="1" ht="24.95" customHeight="1"/>
    <row r="1192" s="424" customFormat="1" ht="24.95" customHeight="1"/>
    <row r="1193" s="424" customFormat="1" ht="24.95" customHeight="1"/>
    <row r="1194" s="424" customFormat="1" ht="24.95" customHeight="1"/>
    <row r="1195" s="424" customFormat="1" ht="24.95" customHeight="1"/>
    <row r="1196" s="424" customFormat="1" ht="24.95" customHeight="1"/>
    <row r="1197" s="424" customFormat="1" ht="24.95" customHeight="1"/>
    <row r="1198" s="424" customFormat="1" ht="24.95" customHeight="1"/>
    <row r="1199" s="424" customFormat="1" ht="24.95" customHeight="1"/>
    <row r="1200" s="424" customFormat="1" ht="24.95" customHeight="1"/>
    <row r="1201" s="424" customFormat="1" ht="24.95" customHeight="1"/>
    <row r="1202" s="424" customFormat="1" ht="24.95" customHeight="1"/>
    <row r="1203" s="424" customFormat="1" ht="24.95" customHeight="1"/>
    <row r="1204" s="424" customFormat="1" ht="24.95" customHeight="1"/>
    <row r="1205" s="424" customFormat="1" ht="24.95" customHeight="1"/>
    <row r="1206" s="424" customFormat="1" ht="24.95" customHeight="1"/>
    <row r="1207" s="424" customFormat="1" ht="24.95" customHeight="1"/>
    <row r="1208" s="424" customFormat="1" ht="24.95" customHeight="1"/>
    <row r="1209" s="424" customFormat="1" ht="24.95" customHeight="1"/>
    <row r="1210" s="424" customFormat="1" ht="24.95" customHeight="1"/>
    <row r="1211" s="424" customFormat="1" ht="24.95" customHeight="1"/>
    <row r="1212" s="424" customFormat="1" ht="24.95" customHeight="1"/>
    <row r="1213" s="424" customFormat="1" ht="24.95" customHeight="1"/>
    <row r="1214" s="424" customFormat="1" ht="24.95" customHeight="1"/>
    <row r="1215" s="424" customFormat="1" ht="24.95" customHeight="1"/>
    <row r="1216" s="424" customFormat="1" ht="24.95" customHeight="1"/>
    <row r="1217" s="424" customFormat="1" ht="24.95" customHeight="1"/>
    <row r="1218" s="424" customFormat="1" ht="24.95" customHeight="1"/>
    <row r="1219" s="424" customFormat="1" ht="24.95" customHeight="1"/>
    <row r="1220" s="424" customFormat="1" ht="24.95" customHeight="1"/>
    <row r="1221" s="424" customFormat="1" ht="24.95" customHeight="1"/>
    <row r="1222" s="424" customFormat="1" ht="24.95" customHeight="1"/>
    <row r="1223" s="424" customFormat="1" ht="24.95" customHeight="1"/>
    <row r="1224" s="424" customFormat="1" ht="24.95" customHeight="1"/>
    <row r="1225" s="424" customFormat="1" ht="24.95" customHeight="1"/>
    <row r="1226" s="424" customFormat="1" ht="24.95" customHeight="1"/>
    <row r="1227" s="424" customFormat="1" ht="24.95" customHeight="1"/>
    <row r="1228" s="424" customFormat="1" ht="24.95" customHeight="1"/>
    <row r="1229" s="424" customFormat="1" ht="24.95" customHeight="1"/>
    <row r="1230" s="424" customFormat="1" ht="24.95" customHeight="1"/>
    <row r="1231" s="424" customFormat="1" ht="24.95" customHeight="1"/>
    <row r="1232" s="424" customFormat="1" ht="24.95" customHeight="1"/>
    <row r="1233" s="424" customFormat="1" ht="24.95" customHeight="1"/>
    <row r="1234" s="424" customFormat="1" ht="24.95" customHeight="1"/>
    <row r="1235" s="424" customFormat="1" ht="24.95" customHeight="1"/>
    <row r="1236" s="424" customFormat="1" ht="24.95" customHeight="1"/>
    <row r="1237" s="424" customFormat="1" ht="24.95" customHeight="1"/>
    <row r="1238" s="424" customFormat="1" ht="24.95" customHeight="1"/>
    <row r="1239" s="424" customFormat="1" ht="24.95" customHeight="1"/>
    <row r="1240" s="424" customFormat="1" ht="24.95" customHeight="1"/>
    <row r="1241" s="424" customFormat="1" ht="24.95" customHeight="1"/>
    <row r="1242" s="424" customFormat="1" ht="24.95" customHeight="1"/>
    <row r="1243" s="424" customFormat="1" ht="24.95" customHeight="1"/>
    <row r="1244" s="424" customFormat="1" ht="24.95" customHeight="1"/>
    <row r="1245" s="424" customFormat="1" ht="24.95" customHeight="1"/>
    <row r="1246" s="424" customFormat="1" ht="24.95" customHeight="1"/>
    <row r="1247" s="424" customFormat="1" ht="24.95" customHeight="1"/>
    <row r="1248" s="424" customFormat="1" ht="24.95" customHeight="1"/>
    <row r="1249" s="424" customFormat="1" ht="24.95" customHeight="1"/>
    <row r="1250" s="424" customFormat="1" ht="24.95" customHeight="1"/>
    <row r="1251" s="424" customFormat="1" ht="24.95" customHeight="1"/>
    <row r="1252" s="424" customFormat="1" ht="24.95" customHeight="1"/>
    <row r="1253" s="424" customFormat="1" ht="24.95" customHeight="1"/>
    <row r="1254" s="424" customFormat="1" ht="24.95" customHeight="1"/>
    <row r="1255" s="424" customFormat="1" ht="24.95" customHeight="1"/>
    <row r="1256" s="424" customFormat="1" ht="24.95" customHeight="1"/>
    <row r="1257" s="424" customFormat="1" ht="24.95" customHeight="1"/>
    <row r="1258" s="424" customFormat="1" ht="24.95" customHeight="1"/>
    <row r="1259" s="424" customFormat="1" ht="24.95" customHeight="1"/>
    <row r="1260" s="424" customFormat="1" ht="24.95" customHeight="1"/>
    <row r="1261" s="424" customFormat="1" ht="24.95" customHeight="1"/>
    <row r="1262" s="424" customFormat="1" ht="24.95" customHeight="1"/>
    <row r="1263" s="424" customFormat="1" ht="24.95" customHeight="1"/>
    <row r="1264" s="424" customFormat="1" ht="24.95" customHeight="1"/>
    <row r="1265" s="424" customFormat="1" ht="24.95" customHeight="1"/>
    <row r="1266" s="424" customFormat="1" ht="24.95" customHeight="1"/>
    <row r="1267" s="424" customFormat="1" ht="24.95" customHeight="1"/>
    <row r="1268" s="424" customFormat="1" ht="24.95" customHeight="1"/>
    <row r="1269" s="424" customFormat="1" ht="24.95" customHeight="1"/>
    <row r="1270" s="424" customFormat="1" ht="24.95" customHeight="1"/>
    <row r="1271" s="424" customFormat="1" ht="24.95" customHeight="1"/>
    <row r="1272" s="424" customFormat="1" ht="24.95" customHeight="1"/>
    <row r="1273" s="424" customFormat="1" ht="24.95" customHeight="1"/>
    <row r="1274" s="424" customFormat="1" ht="24.95" customHeight="1"/>
    <row r="1275" s="424" customFormat="1" ht="24.95" customHeight="1"/>
    <row r="1276" s="424" customFormat="1" ht="24.95" customHeight="1"/>
    <row r="1277" s="424" customFormat="1" ht="24.95" customHeight="1"/>
    <row r="1278" s="424" customFormat="1" ht="24.95" customHeight="1"/>
    <row r="1279" s="424" customFormat="1" ht="24.95" customHeight="1"/>
    <row r="1280" s="424" customFormat="1" ht="24.95" customHeight="1"/>
    <row r="1281" s="424" customFormat="1" ht="24.95" customHeight="1"/>
    <row r="1282" s="424" customFormat="1" ht="24.95" customHeight="1"/>
    <row r="1283" s="424" customFormat="1" ht="24.95" customHeight="1"/>
    <row r="1284" s="424" customFormat="1" ht="24.95" customHeight="1"/>
    <row r="1285" s="424" customFormat="1" ht="24.95" customHeight="1"/>
    <row r="1286" s="424" customFormat="1" ht="24.95" customHeight="1"/>
    <row r="1287" s="424" customFormat="1" ht="24.95" customHeight="1"/>
    <row r="1288" s="424" customFormat="1" ht="24.95" customHeight="1"/>
    <row r="1289" s="424" customFormat="1" ht="24.95" customHeight="1"/>
    <row r="1290" s="424" customFormat="1" ht="24.95" customHeight="1"/>
    <row r="1291" s="424" customFormat="1" ht="24.95" customHeight="1"/>
    <row r="1292" s="424" customFormat="1" ht="24.95" customHeight="1"/>
    <row r="1293" s="424" customFormat="1" ht="24.95" customHeight="1"/>
    <row r="1294" s="424" customFormat="1" ht="24.95" customHeight="1"/>
    <row r="1295" s="424" customFormat="1" ht="24.95" customHeight="1"/>
    <row r="1296" s="424" customFormat="1" ht="24.95" customHeight="1"/>
    <row r="1297" s="424" customFormat="1" ht="24.95" customHeight="1"/>
    <row r="1298" s="424" customFormat="1" ht="24.95" customHeight="1"/>
    <row r="1299" s="424" customFormat="1" ht="24.95" customHeight="1"/>
    <row r="1300" s="424" customFormat="1" ht="24.95" customHeight="1"/>
    <row r="1301" s="424" customFormat="1" ht="24.95" customHeight="1"/>
    <row r="1302" s="424" customFormat="1" ht="24.95" customHeight="1"/>
    <row r="1303" s="424" customFormat="1" ht="24.95" customHeight="1"/>
    <row r="1304" s="424" customFormat="1" ht="24.95" customHeight="1"/>
    <row r="1305" s="424" customFormat="1" ht="24.95" customHeight="1"/>
    <row r="1306" s="424" customFormat="1" ht="24.95" customHeight="1"/>
    <row r="1307" s="424" customFormat="1" ht="24.95" customHeight="1"/>
    <row r="1308" s="424" customFormat="1" ht="24.95" customHeight="1"/>
    <row r="1309" s="424" customFormat="1" ht="24.95" customHeight="1"/>
    <row r="1310" s="424" customFormat="1" ht="24.95" customHeight="1"/>
    <row r="1311" s="424" customFormat="1" ht="24.95" customHeight="1"/>
    <row r="1312" s="424" customFormat="1" ht="24.95" customHeight="1"/>
    <row r="1313" s="424" customFormat="1" ht="24.95" customHeight="1"/>
    <row r="1314" s="424" customFormat="1" ht="24.95" customHeight="1"/>
    <row r="1315" s="424" customFormat="1" ht="24.95" customHeight="1"/>
    <row r="1316" s="424" customFormat="1" ht="24.95" customHeight="1"/>
    <row r="1317" s="424" customFormat="1" ht="24.95" customHeight="1"/>
    <row r="1318" s="424" customFormat="1" ht="24.95" customHeight="1"/>
    <row r="1319" s="424" customFormat="1" ht="24.95" customHeight="1"/>
    <row r="1320" s="424" customFormat="1" ht="24.95" customHeight="1"/>
    <row r="1321" s="424" customFormat="1" ht="24.95" customHeight="1"/>
    <row r="1322" s="424" customFormat="1" ht="24.95" customHeight="1"/>
    <row r="1323" s="424" customFormat="1" ht="24.95" customHeight="1"/>
    <row r="1324" s="424" customFormat="1" ht="24.95" customHeight="1"/>
    <row r="1325" s="424" customFormat="1" ht="24.95" customHeight="1"/>
    <row r="1326" s="424" customFormat="1" ht="24.95" customHeight="1"/>
    <row r="1327" s="424" customFormat="1" ht="24.95" customHeight="1"/>
    <row r="1328" s="424" customFormat="1" ht="24.95" customHeight="1"/>
    <row r="1329" s="424" customFormat="1" ht="24.95" customHeight="1"/>
    <row r="1330" s="424" customFormat="1" ht="24.95" customHeight="1"/>
    <row r="1331" s="424" customFormat="1" ht="24.95" customHeight="1"/>
    <row r="1332" s="424" customFormat="1" ht="24.95" customHeight="1"/>
    <row r="1333" s="424" customFormat="1" ht="24.95" customHeight="1"/>
    <row r="1334" s="424" customFormat="1" ht="24.95" customHeight="1"/>
    <row r="1335" s="424" customFormat="1" ht="24.95" customHeight="1"/>
    <row r="1336" s="424" customFormat="1" ht="24.95" customHeight="1"/>
    <row r="1337" s="424" customFormat="1" ht="24.95" customHeight="1"/>
    <row r="1338" s="424" customFormat="1" ht="24.95" customHeight="1"/>
    <row r="1339" s="424" customFormat="1" ht="24.95" customHeight="1"/>
    <row r="1340" s="424" customFormat="1" ht="24.95" customHeight="1"/>
    <row r="1341" s="424" customFormat="1" ht="24.95" customHeight="1"/>
    <row r="1342" s="424" customFormat="1" ht="24.95" customHeight="1"/>
    <row r="1343" s="424" customFormat="1" ht="24.95" customHeight="1"/>
    <row r="1344" s="424" customFormat="1" ht="24.95" customHeight="1"/>
    <row r="1345" s="424" customFormat="1" ht="24.95" customHeight="1"/>
    <row r="1346" s="424" customFormat="1" ht="24.95" customHeight="1"/>
    <row r="1347" s="424" customFormat="1" ht="24.95" customHeight="1"/>
    <row r="1348" s="424" customFormat="1" ht="24.95" customHeight="1"/>
    <row r="1349" s="424" customFormat="1" ht="24.95" customHeight="1"/>
    <row r="1350" s="424" customFormat="1" ht="24.95" customHeight="1"/>
    <row r="1351" s="424" customFormat="1" ht="24.95" customHeight="1"/>
    <row r="1352" s="424" customFormat="1" ht="24.95" customHeight="1"/>
    <row r="1353" s="424" customFormat="1" ht="24.95" customHeight="1"/>
    <row r="1354" s="424" customFormat="1" ht="24.95" customHeight="1"/>
    <row r="1355" s="424" customFormat="1" ht="24.95" customHeight="1"/>
    <row r="1356" s="424" customFormat="1" ht="24.95" customHeight="1"/>
    <row r="1357" s="424" customFormat="1" ht="24.95" customHeight="1"/>
    <row r="1358" s="424" customFormat="1" ht="24.95" customHeight="1"/>
    <row r="1359" s="424" customFormat="1" ht="24.95" customHeight="1"/>
    <row r="1360" s="424" customFormat="1" ht="24.95" customHeight="1"/>
    <row r="1361" s="424" customFormat="1" ht="24.95" customHeight="1"/>
    <row r="1362" s="424" customFormat="1" ht="24.95" customHeight="1"/>
    <row r="1363" s="424" customFormat="1" ht="24.95" customHeight="1"/>
    <row r="1364" s="424" customFormat="1" ht="24.95" customHeight="1"/>
    <row r="1365" s="424" customFormat="1" ht="24.95" customHeight="1"/>
    <row r="1366" s="424" customFormat="1" ht="24.95" customHeight="1"/>
    <row r="1367" s="424" customFormat="1" ht="24.95" customHeight="1"/>
    <row r="1368" s="424" customFormat="1" ht="24.95" customHeight="1"/>
    <row r="1369" s="424" customFormat="1" ht="24.95" customHeight="1"/>
    <row r="1370" s="424" customFormat="1" ht="24.95" customHeight="1"/>
    <row r="1371" s="424" customFormat="1" ht="24.95" customHeight="1"/>
    <row r="1372" s="424" customFormat="1" ht="24.95" customHeight="1"/>
    <row r="1373" s="424" customFormat="1" ht="24.95" customHeight="1"/>
    <row r="1374" s="424" customFormat="1" ht="24.95" customHeight="1"/>
    <row r="1375" s="424" customFormat="1" ht="24.95" customHeight="1"/>
    <row r="1376" s="424" customFormat="1" ht="24.95" customHeight="1"/>
    <row r="1377" s="424" customFormat="1" ht="24.95" customHeight="1"/>
    <row r="1378" s="424" customFormat="1" ht="24.95" customHeight="1"/>
    <row r="1379" s="424" customFormat="1" ht="24.95" customHeight="1"/>
    <row r="1380" s="424" customFormat="1" ht="24.95" customHeight="1"/>
    <row r="1381" s="424" customFormat="1" ht="24.95" customHeight="1"/>
    <row r="1382" s="424" customFormat="1" ht="24.95" customHeight="1"/>
    <row r="1383" s="424" customFormat="1" ht="24.95" customHeight="1"/>
    <row r="1384" s="424" customFormat="1" ht="24.95" customHeight="1"/>
    <row r="1385" s="424" customFormat="1" ht="24.95" customHeight="1"/>
    <row r="1386" s="424" customFormat="1" ht="24.95" customHeight="1"/>
    <row r="1387" s="424" customFormat="1" ht="24.95" customHeight="1"/>
    <row r="1388" s="424" customFormat="1" ht="24.95" customHeight="1"/>
    <row r="1389" s="424" customFormat="1" ht="24.95" customHeight="1"/>
    <row r="1390" s="424" customFormat="1" ht="24.95" customHeight="1"/>
    <row r="1391" s="424" customFormat="1" ht="24.95" customHeight="1"/>
    <row r="1392" s="424" customFormat="1" ht="24.95" customHeight="1"/>
    <row r="1393" s="424" customFormat="1" ht="24.95" customHeight="1"/>
    <row r="1394" s="424" customFormat="1" ht="24.95" customHeight="1"/>
    <row r="1395" s="424" customFormat="1" ht="24.95" customHeight="1"/>
    <row r="1396" s="424" customFormat="1" ht="24.95" customHeight="1"/>
    <row r="1397" s="424" customFormat="1" ht="24.95" customHeight="1"/>
    <row r="1398" s="424" customFormat="1" ht="24.95" customHeight="1"/>
    <row r="1399" s="424" customFormat="1" ht="24.95" customHeight="1"/>
    <row r="1400" s="424" customFormat="1" ht="24.95" customHeight="1"/>
    <row r="1401" s="424" customFormat="1" ht="24.95" customHeight="1"/>
    <row r="1402" s="424" customFormat="1" ht="24.95" customHeight="1"/>
    <row r="1403" s="424" customFormat="1" ht="24.95" customHeight="1"/>
    <row r="1404" s="424" customFormat="1" ht="24.95" customHeight="1"/>
    <row r="1405" s="424" customFormat="1" ht="24.95" customHeight="1"/>
    <row r="1406" s="424" customFormat="1" ht="24.95" customHeight="1"/>
    <row r="1407" s="424" customFormat="1" ht="24.95" customHeight="1"/>
    <row r="1408" s="424" customFormat="1" ht="24.95" customHeight="1"/>
    <row r="1409" s="424" customFormat="1" ht="24.95" customHeight="1"/>
    <row r="1410" s="424" customFormat="1" ht="24.95" customHeight="1"/>
    <row r="1411" s="424" customFormat="1" ht="24.95" customHeight="1"/>
    <row r="1412" s="424" customFormat="1" ht="24.95" customHeight="1"/>
    <row r="1413" s="424" customFormat="1" ht="24.95" customHeight="1"/>
    <row r="1414" s="424" customFormat="1" ht="24.95" customHeight="1"/>
    <row r="1415" s="424" customFormat="1" ht="24.95" customHeight="1"/>
    <row r="1416" s="424" customFormat="1" ht="24.95" customHeight="1"/>
    <row r="1417" s="424" customFormat="1" ht="24.95" customHeight="1"/>
    <row r="1418" s="424" customFormat="1" ht="24.95" customHeight="1"/>
    <row r="1419" s="424" customFormat="1" ht="24.95" customHeight="1"/>
    <row r="1420" s="424" customFormat="1" ht="24.95" customHeight="1"/>
    <row r="1421" s="424" customFormat="1" ht="24.95" customHeight="1"/>
    <row r="1422" s="424" customFormat="1" ht="24.95" customHeight="1"/>
    <row r="1423" s="424" customFormat="1" ht="24.95" customHeight="1"/>
    <row r="1424" s="424" customFormat="1" ht="24.95" customHeight="1"/>
    <row r="1425" s="424" customFormat="1" ht="24.95" customHeight="1"/>
    <row r="1426" s="424" customFormat="1" ht="24.95" customHeight="1"/>
    <row r="1427" s="424" customFormat="1" ht="24.95" customHeight="1"/>
    <row r="1428" s="424" customFormat="1" ht="24.95" customHeight="1"/>
    <row r="1429" s="424" customFormat="1" ht="24.95" customHeight="1"/>
    <row r="1430" s="424" customFormat="1" ht="24.95" customHeight="1"/>
    <row r="1431" s="424" customFormat="1" ht="24.95" customHeight="1"/>
    <row r="1432" s="424" customFormat="1" ht="24.95" customHeight="1"/>
    <row r="1433" s="424" customFormat="1" ht="24.95" customHeight="1"/>
    <row r="1434" s="424" customFormat="1" ht="24.95" customHeight="1"/>
    <row r="1435" s="424" customFormat="1" ht="24.95" customHeight="1"/>
    <row r="1436" s="424" customFormat="1" ht="24.95" customHeight="1"/>
    <row r="1437" s="424" customFormat="1" ht="24.95" customHeight="1"/>
    <row r="1438" s="424" customFormat="1" ht="24.95" customHeight="1"/>
    <row r="1439" s="424" customFormat="1" ht="24.95" customHeight="1"/>
    <row r="1440" s="424" customFormat="1" ht="24.95" customHeight="1"/>
    <row r="1441" s="424" customFormat="1" ht="24.95" customHeight="1"/>
    <row r="1442" s="424" customFormat="1" ht="24.95" customHeight="1"/>
    <row r="1443" s="424" customFormat="1" ht="24.95" customHeight="1"/>
    <row r="1444" s="424" customFormat="1" ht="24.95" customHeight="1"/>
    <row r="1445" s="424" customFormat="1" ht="24.95" customHeight="1"/>
    <row r="1446" s="424" customFormat="1" ht="24.95" customHeight="1"/>
    <row r="1447" s="424" customFormat="1" ht="24.95" customHeight="1"/>
    <row r="1448" s="424" customFormat="1" ht="24.95" customHeight="1"/>
    <row r="1449" s="424" customFormat="1" ht="24.95" customHeight="1"/>
    <row r="1450" s="424" customFormat="1" ht="24.95" customHeight="1"/>
    <row r="1451" s="424" customFormat="1" ht="24.95" customHeight="1"/>
    <row r="1452" s="424" customFormat="1" ht="24.95" customHeight="1"/>
    <row r="1453" s="424" customFormat="1" ht="24.95" customHeight="1"/>
    <row r="1454" s="424" customFormat="1" ht="24.95" customHeight="1"/>
    <row r="1455" s="424" customFormat="1" ht="24.95" customHeight="1"/>
    <row r="1456" s="424" customFormat="1" ht="24.95" customHeight="1"/>
    <row r="1457" s="424" customFormat="1" ht="24.95" customHeight="1"/>
    <row r="1458" s="424" customFormat="1" ht="24.95" customHeight="1"/>
    <row r="1459" s="424" customFormat="1" ht="24.95" customHeight="1"/>
    <row r="1460" s="424" customFormat="1" ht="24.95" customHeight="1"/>
    <row r="1461" s="424" customFormat="1" ht="24.95" customHeight="1"/>
    <row r="1462" s="424" customFormat="1" ht="24.95" customHeight="1"/>
    <row r="1463" s="424" customFormat="1" ht="24.95" customHeight="1"/>
    <row r="1464" s="424" customFormat="1" ht="24.95" customHeight="1"/>
    <row r="1465" s="424" customFormat="1" ht="24.95" customHeight="1"/>
    <row r="1466" s="424" customFormat="1" ht="24.95" customHeight="1"/>
    <row r="1467" s="424" customFormat="1" ht="24.95" customHeight="1"/>
    <row r="1468" s="424" customFormat="1" ht="24.95" customHeight="1"/>
    <row r="1469" s="424" customFormat="1" ht="24.95" customHeight="1"/>
    <row r="1470" s="424" customFormat="1" ht="24.95" customHeight="1"/>
    <row r="1471" s="424" customFormat="1" ht="24.95" customHeight="1"/>
    <row r="1472" s="424" customFormat="1" ht="24.95" customHeight="1"/>
    <row r="1473" s="424" customFormat="1" ht="24.95" customHeight="1"/>
    <row r="1474" s="424" customFormat="1" ht="24.95" customHeight="1"/>
    <row r="1475" s="424" customFormat="1" ht="24.95" customHeight="1"/>
    <row r="1476" s="424" customFormat="1" ht="24.95" customHeight="1"/>
    <row r="1477" s="424" customFormat="1" ht="24.95" customHeight="1"/>
    <row r="1478" s="424" customFormat="1" ht="24.95" customHeight="1"/>
    <row r="1479" s="424" customFormat="1" ht="24.95" customHeight="1"/>
    <row r="1480" s="424" customFormat="1" ht="24.95" customHeight="1"/>
    <row r="1481" s="424" customFormat="1" ht="24.95" customHeight="1"/>
    <row r="1482" s="424" customFormat="1" ht="24.95" customHeight="1"/>
    <row r="1483" s="424" customFormat="1" ht="24.95" customHeight="1"/>
    <row r="1484" s="424" customFormat="1" ht="24.95" customHeight="1"/>
    <row r="1485" s="424" customFormat="1" ht="24.95" customHeight="1"/>
    <row r="1486" s="424" customFormat="1" ht="24.95" customHeight="1"/>
    <row r="1487" s="424" customFormat="1" ht="24.95" customHeight="1"/>
    <row r="1488" s="424" customFormat="1" ht="24.95" customHeight="1"/>
    <row r="1489" s="424" customFormat="1" ht="24.95" customHeight="1"/>
    <row r="1490" s="424" customFormat="1" ht="24.95" customHeight="1"/>
    <row r="1491" s="424" customFormat="1" ht="24.95" customHeight="1"/>
    <row r="1492" s="424" customFormat="1" ht="24.95" customHeight="1"/>
    <row r="1493" s="424" customFormat="1" ht="24.95" customHeight="1"/>
    <row r="1494" s="424" customFormat="1" ht="24.95" customHeight="1"/>
    <row r="1495" s="424" customFormat="1" ht="24.95" customHeight="1"/>
    <row r="1496" s="424" customFormat="1" ht="24.95" customHeight="1"/>
    <row r="1497" s="424" customFormat="1" ht="24.95" customHeight="1"/>
    <row r="1498" s="424" customFormat="1" ht="24.95" customHeight="1"/>
    <row r="1499" s="424" customFormat="1" ht="24.95" customHeight="1"/>
    <row r="1500" s="424" customFormat="1" ht="24.95" customHeight="1"/>
    <row r="1501" s="424" customFormat="1" ht="24.95" customHeight="1"/>
    <row r="1502" s="424" customFormat="1" ht="24.95" customHeight="1"/>
    <row r="1503" s="424" customFormat="1" ht="24.95" customHeight="1"/>
    <row r="1504" s="424" customFormat="1" ht="24.95" customHeight="1"/>
    <row r="1505" s="424" customFormat="1" ht="24.95" customHeight="1"/>
    <row r="1506" s="424" customFormat="1" ht="24.95" customHeight="1"/>
    <row r="1507" s="424" customFormat="1" ht="24.95" customHeight="1"/>
    <row r="1508" s="424" customFormat="1" ht="24.95" customHeight="1"/>
    <row r="1509" s="424" customFormat="1" ht="24.95" customHeight="1"/>
    <row r="1510" s="424" customFormat="1" ht="24.95" customHeight="1"/>
    <row r="1511" s="424" customFormat="1" ht="24.95" customHeight="1"/>
    <row r="1512" s="424" customFormat="1" ht="24.95" customHeight="1"/>
    <row r="1513" s="424" customFormat="1" ht="24.95" customHeight="1"/>
    <row r="1514" s="424" customFormat="1" ht="24.95" customHeight="1"/>
    <row r="1515" s="424" customFormat="1" ht="24.95" customHeight="1"/>
    <row r="1516" s="424" customFormat="1" ht="24.95" customHeight="1"/>
    <row r="1517" s="424" customFormat="1" ht="24.95" customHeight="1"/>
    <row r="1518" s="424" customFormat="1" ht="24.95" customHeight="1"/>
    <row r="1519" s="424" customFormat="1" ht="24.95" customHeight="1"/>
    <row r="1520" s="424" customFormat="1" ht="24.95" customHeight="1"/>
    <row r="1521" s="424" customFormat="1" ht="24.95" customHeight="1"/>
    <row r="1522" s="424" customFormat="1" ht="24.95" customHeight="1"/>
    <row r="1523" s="424" customFormat="1" ht="24.95" customHeight="1"/>
    <row r="1524" s="424" customFormat="1" ht="24.95" customHeight="1"/>
    <row r="1525" s="424" customFormat="1" ht="24.95" customHeight="1"/>
    <row r="1526" s="424" customFormat="1" ht="24.95" customHeight="1"/>
    <row r="1527" s="424" customFormat="1" ht="24.95" customHeight="1"/>
    <row r="1528" s="424" customFormat="1" ht="24.95" customHeight="1"/>
    <row r="1529" s="424" customFormat="1" ht="24.95" customHeight="1"/>
    <row r="1530" s="424" customFormat="1" ht="24.95" customHeight="1"/>
    <row r="1531" s="424" customFormat="1" ht="24.95" customHeight="1"/>
    <row r="1532" s="424" customFormat="1" ht="24.95" customHeight="1"/>
    <row r="1533" s="424" customFormat="1" ht="24.95" customHeight="1"/>
    <row r="1534" s="424" customFormat="1" ht="24.95" customHeight="1"/>
    <row r="1535" s="424" customFormat="1" ht="24.95" customHeight="1"/>
    <row r="1536" s="424" customFormat="1" ht="24.95" customHeight="1"/>
    <row r="1537" s="424" customFormat="1" ht="24.95" customHeight="1"/>
    <row r="1538" s="424" customFormat="1" ht="24.95" customHeight="1"/>
    <row r="1539" s="424" customFormat="1" ht="24.95" customHeight="1"/>
    <row r="1540" s="424" customFormat="1" ht="24.95" customHeight="1"/>
    <row r="1541" s="424" customFormat="1" ht="24.95" customHeight="1"/>
    <row r="1542" s="424" customFormat="1" ht="24.95" customHeight="1"/>
    <row r="1543" s="424" customFormat="1" ht="24.95" customHeight="1"/>
    <row r="1544" s="424" customFormat="1" ht="24.95" customHeight="1"/>
    <row r="1545" s="424" customFormat="1" ht="24.95" customHeight="1"/>
    <row r="1546" s="424" customFormat="1" ht="24.95" customHeight="1"/>
    <row r="1547" s="424" customFormat="1" ht="24.95" customHeight="1"/>
    <row r="1548" s="424" customFormat="1" ht="24.95" customHeight="1"/>
    <row r="1549" s="424" customFormat="1" ht="24.95" customHeight="1"/>
    <row r="1550" s="424" customFormat="1" ht="24.95" customHeight="1"/>
    <row r="1551" s="424" customFormat="1" ht="24.95" customHeight="1"/>
    <row r="1552" s="424" customFormat="1" ht="24.95" customHeight="1"/>
    <row r="1553" s="424" customFormat="1" ht="24.95" customHeight="1"/>
    <row r="1554" s="424" customFormat="1" ht="24.95" customHeight="1"/>
    <row r="1555" s="424" customFormat="1" ht="24.95" customHeight="1"/>
    <row r="1556" s="424" customFormat="1" ht="24.95" customHeight="1"/>
    <row r="1557" s="424" customFormat="1" ht="24.95" customHeight="1"/>
    <row r="1558" s="424" customFormat="1" ht="24.95" customHeight="1"/>
    <row r="1559" s="424" customFormat="1" ht="24.95" customHeight="1"/>
    <row r="1560" s="424" customFormat="1" ht="24.95" customHeight="1"/>
    <row r="1561" s="424" customFormat="1" ht="24.95" customHeight="1"/>
    <row r="1562" s="424" customFormat="1" ht="24.95" customHeight="1"/>
    <row r="1563" s="424" customFormat="1" ht="24.95" customHeight="1"/>
    <row r="1564" s="424" customFormat="1" ht="24.95" customHeight="1"/>
    <row r="1565" s="424" customFormat="1" ht="24.95" customHeight="1"/>
    <row r="1566" s="424" customFormat="1" ht="24.95" customHeight="1"/>
    <row r="1567" s="424" customFormat="1" ht="24.95" customHeight="1"/>
    <row r="1568" s="424" customFormat="1" ht="24.95" customHeight="1"/>
    <row r="1569" s="424" customFormat="1" ht="24.95" customHeight="1"/>
    <row r="1570" s="424" customFormat="1" ht="24.95" customHeight="1"/>
    <row r="1571" s="424" customFormat="1" ht="24.95" customHeight="1"/>
    <row r="1572" s="424" customFormat="1" ht="24.95" customHeight="1"/>
    <row r="1573" s="424" customFormat="1" ht="24.95" customHeight="1"/>
    <row r="1574" s="424" customFormat="1" ht="24.95" customHeight="1"/>
    <row r="1575" s="424" customFormat="1" ht="24.95" customHeight="1"/>
    <row r="1576" s="424" customFormat="1" ht="24.95" customHeight="1"/>
    <row r="1577" s="424" customFormat="1" ht="24.95" customHeight="1"/>
    <row r="1578" s="424" customFormat="1" ht="24.95" customHeight="1"/>
    <row r="1579" s="424" customFormat="1" ht="24.95" customHeight="1"/>
    <row r="1580" s="424" customFormat="1" ht="24.95" customHeight="1"/>
    <row r="1581" s="424" customFormat="1" ht="24.95" customHeight="1"/>
    <row r="1582" s="424" customFormat="1" ht="24.95" customHeight="1"/>
    <row r="1583" s="424" customFormat="1" ht="24.95" customHeight="1"/>
    <row r="1584" s="424" customFormat="1" ht="24.95" customHeight="1"/>
    <row r="1585" s="424" customFormat="1" ht="24.95" customHeight="1"/>
    <row r="1586" s="424" customFormat="1" ht="24.95" customHeight="1"/>
    <row r="1587" s="424" customFormat="1" ht="24.95" customHeight="1"/>
    <row r="1588" s="424" customFormat="1" ht="24.95" customHeight="1"/>
    <row r="1589" s="424" customFormat="1" ht="24.95" customHeight="1"/>
    <row r="1590" s="424" customFormat="1" ht="24.95" customHeight="1"/>
    <row r="1591" s="424" customFormat="1" ht="24.95" customHeight="1"/>
    <row r="1592" s="424" customFormat="1" ht="24.95" customHeight="1"/>
    <row r="1593" s="424" customFormat="1" ht="24.95" customHeight="1"/>
    <row r="1594" s="424" customFormat="1" ht="24.95" customHeight="1"/>
    <row r="1595" s="424" customFormat="1" ht="24.95" customHeight="1"/>
    <row r="1596" s="424" customFormat="1" ht="24.95" customHeight="1"/>
    <row r="1597" s="424" customFormat="1" ht="24.95" customHeight="1"/>
    <row r="1598" s="424" customFormat="1" ht="24.95" customHeight="1"/>
    <row r="1599" s="424" customFormat="1" ht="24.95" customHeight="1"/>
    <row r="1600" s="424" customFormat="1" ht="24.95" customHeight="1"/>
    <row r="1601" s="424" customFormat="1" ht="24.95" customHeight="1"/>
    <row r="1602" s="424" customFormat="1" ht="24.95" customHeight="1"/>
    <row r="1603" s="424" customFormat="1" ht="24.95" customHeight="1"/>
    <row r="1604" s="424" customFormat="1" ht="24.95" customHeight="1"/>
    <row r="1605" s="424" customFormat="1" ht="24.95" customHeight="1"/>
    <row r="1606" s="424" customFormat="1" ht="24.95" customHeight="1"/>
    <row r="1607" s="424" customFormat="1" ht="24.95" customHeight="1"/>
    <row r="1608" s="424" customFormat="1" ht="24.95" customHeight="1"/>
    <row r="1609" s="424" customFormat="1" ht="24.95" customHeight="1"/>
    <row r="1610" s="424" customFormat="1" ht="24.95" customHeight="1"/>
    <row r="1611" s="424" customFormat="1" ht="24.95" customHeight="1"/>
    <row r="1612" s="424" customFormat="1" ht="24.95" customHeight="1"/>
    <row r="1613" s="424" customFormat="1" ht="24.95" customHeight="1"/>
    <row r="1614" s="424" customFormat="1" ht="24.95" customHeight="1"/>
    <row r="1615" s="424" customFormat="1" ht="24.95" customHeight="1"/>
    <row r="1616" s="424" customFormat="1" ht="24.95" customHeight="1"/>
    <row r="1617" s="424" customFormat="1" ht="24.95" customHeight="1"/>
    <row r="1618" s="424" customFormat="1" ht="24.95" customHeight="1"/>
    <row r="1619" s="424" customFormat="1" ht="24.95" customHeight="1"/>
    <row r="1620" s="424" customFormat="1" ht="24.95" customHeight="1"/>
    <row r="1621" s="424" customFormat="1" ht="24.95" customHeight="1"/>
    <row r="1622" s="424" customFormat="1" ht="24.95" customHeight="1"/>
    <row r="1623" s="424" customFormat="1" ht="24.95" customHeight="1"/>
    <row r="1624" s="424" customFormat="1" ht="24.95" customHeight="1"/>
    <row r="1625" s="424" customFormat="1" ht="24.95" customHeight="1"/>
    <row r="1626" s="424" customFormat="1" ht="24.95" customHeight="1"/>
    <row r="1627" s="424" customFormat="1" ht="24.95" customHeight="1"/>
    <row r="1628" s="424" customFormat="1" ht="24.95" customHeight="1"/>
    <row r="1629" s="424" customFormat="1" ht="24.95" customHeight="1"/>
    <row r="1630" s="424" customFormat="1" ht="24.95" customHeight="1"/>
    <row r="1631" s="424" customFormat="1" ht="24.95" customHeight="1"/>
    <row r="1632" s="424" customFormat="1" ht="24.95" customHeight="1"/>
    <row r="1633" s="424" customFormat="1" ht="24.95" customHeight="1"/>
    <row r="1634" s="424" customFormat="1" ht="24.95" customHeight="1"/>
    <row r="1635" s="424" customFormat="1" ht="24.95" customHeight="1"/>
    <row r="1636" s="424" customFormat="1" ht="24.95" customHeight="1"/>
    <row r="1637" s="424" customFormat="1" ht="24.95" customHeight="1"/>
    <row r="1638" s="424" customFormat="1" ht="24.95" customHeight="1"/>
    <row r="1639" s="424" customFormat="1" ht="24.95" customHeight="1"/>
    <row r="1640" s="424" customFormat="1" ht="24.95" customHeight="1"/>
    <row r="1641" s="424" customFormat="1" ht="24.95" customHeight="1"/>
    <row r="1642" s="424" customFormat="1" ht="24.95" customHeight="1"/>
    <row r="1643" s="424" customFormat="1" ht="24.95" customHeight="1"/>
    <row r="1644" s="424" customFormat="1" ht="24.95" customHeight="1"/>
    <row r="1645" s="424" customFormat="1" ht="24.95" customHeight="1"/>
    <row r="1646" s="424" customFormat="1" ht="24.95" customHeight="1"/>
    <row r="1647" s="424" customFormat="1" ht="24.95" customHeight="1"/>
    <row r="1648" s="424" customFormat="1" ht="24.95" customHeight="1"/>
    <row r="1649" s="424" customFormat="1" ht="24.95" customHeight="1"/>
    <row r="1650" s="424" customFormat="1" ht="24.95" customHeight="1"/>
    <row r="1651" s="424" customFormat="1" ht="24.95" customHeight="1"/>
    <row r="1652" s="424" customFormat="1" ht="24.95" customHeight="1"/>
    <row r="1653" s="424" customFormat="1" ht="24.95" customHeight="1"/>
    <row r="1654" s="424" customFormat="1" ht="24.95" customHeight="1"/>
    <row r="1655" s="424" customFormat="1" ht="24.95" customHeight="1"/>
    <row r="1656" s="424" customFormat="1" ht="24.95" customHeight="1"/>
    <row r="1657" s="424" customFormat="1" ht="24.95" customHeight="1"/>
    <row r="1658" s="424" customFormat="1" ht="24.95" customHeight="1"/>
    <row r="1659" s="424" customFormat="1" ht="24.95" customHeight="1"/>
    <row r="1660" s="424" customFormat="1" ht="24.95" customHeight="1"/>
    <row r="1661" s="424" customFormat="1" ht="24.95" customHeight="1"/>
    <row r="1662" s="424" customFormat="1" ht="24.95" customHeight="1"/>
    <row r="1663" s="424" customFormat="1" ht="24.95" customHeight="1"/>
    <row r="1664" s="424" customFormat="1" ht="24.95" customHeight="1"/>
    <row r="1665" s="424" customFormat="1" ht="24.95" customHeight="1"/>
    <row r="1666" s="424" customFormat="1" ht="24.95" customHeight="1"/>
    <row r="1667" s="424" customFormat="1" ht="24.95" customHeight="1"/>
    <row r="1668" s="424" customFormat="1" ht="24.95" customHeight="1"/>
    <row r="1669" s="424" customFormat="1" ht="24.95" customHeight="1"/>
    <row r="1670" s="424" customFormat="1" ht="24.95" customHeight="1"/>
    <row r="1671" s="424" customFormat="1" ht="24.95" customHeight="1"/>
    <row r="1672" s="424" customFormat="1" ht="24.95" customHeight="1"/>
    <row r="1673" s="424" customFormat="1" ht="24.95" customHeight="1"/>
    <row r="1674" s="424" customFormat="1" ht="24.95" customHeight="1"/>
    <row r="1675" s="424" customFormat="1" ht="24.95" customHeight="1"/>
    <row r="1676" s="424" customFormat="1" ht="24.95" customHeight="1"/>
    <row r="1677" s="424" customFormat="1" ht="24.95" customHeight="1"/>
    <row r="1678" s="424" customFormat="1" ht="24.95" customHeight="1"/>
    <row r="1679" s="424" customFormat="1" ht="24.95" customHeight="1"/>
    <row r="1680" s="424" customFormat="1" ht="24.95" customHeight="1"/>
    <row r="1681" s="424" customFormat="1" ht="24.95" customHeight="1"/>
    <row r="1682" s="424" customFormat="1" ht="24.95" customHeight="1"/>
    <row r="1683" s="424" customFormat="1" ht="24.95" customHeight="1"/>
    <row r="1684" s="424" customFormat="1" ht="24.95" customHeight="1"/>
    <row r="1685" s="424" customFormat="1" ht="24.95" customHeight="1"/>
    <row r="1686" s="424" customFormat="1" ht="24.95" customHeight="1"/>
    <row r="1687" s="424" customFormat="1" ht="24.95" customHeight="1"/>
    <row r="1688" s="424" customFormat="1" ht="24.95" customHeight="1"/>
    <row r="1689" s="424" customFormat="1" ht="24.95" customHeight="1"/>
    <row r="1690" s="424" customFormat="1" ht="24.95" customHeight="1"/>
    <row r="1691" s="424" customFormat="1" ht="24.95" customHeight="1"/>
    <row r="1692" s="424" customFormat="1" ht="24.95" customHeight="1"/>
    <row r="1693" s="424" customFormat="1" ht="24.95" customHeight="1"/>
    <row r="1694" s="424" customFormat="1" ht="24.95" customHeight="1"/>
    <row r="1695" s="424" customFormat="1" ht="24.95" customHeight="1"/>
    <row r="1696" s="424" customFormat="1" ht="24.95" customHeight="1"/>
    <row r="1697" s="424" customFormat="1" ht="24.95" customHeight="1"/>
    <row r="1698" s="424" customFormat="1" ht="24.95" customHeight="1"/>
    <row r="1699" s="424" customFormat="1" ht="24.95" customHeight="1"/>
    <row r="1700" s="424" customFormat="1" ht="24.95" customHeight="1"/>
    <row r="1701" s="424" customFormat="1" ht="24.95" customHeight="1"/>
    <row r="1702" s="424" customFormat="1" ht="24.95" customHeight="1"/>
    <row r="1703" s="424" customFormat="1" ht="24.95" customHeight="1"/>
    <row r="1704" s="424" customFormat="1" ht="24.95" customHeight="1"/>
    <row r="1705" s="424" customFormat="1" ht="24.95" customHeight="1"/>
    <row r="1706" s="424" customFormat="1" ht="24.95" customHeight="1"/>
    <row r="1707" s="424" customFormat="1" ht="24.95" customHeight="1"/>
    <row r="1708" s="424" customFormat="1" ht="24.95" customHeight="1"/>
    <row r="1709" s="424" customFormat="1" ht="24.95" customHeight="1"/>
    <row r="1710" s="424" customFormat="1" ht="24.95" customHeight="1"/>
    <row r="1711" s="424" customFormat="1" ht="24.95" customHeight="1"/>
    <row r="1712" s="424" customFormat="1" ht="24.95" customHeight="1"/>
    <row r="1713" s="424" customFormat="1" ht="24.95" customHeight="1"/>
    <row r="1714" s="424" customFormat="1" ht="24.95" customHeight="1"/>
    <row r="1715" s="424" customFormat="1" ht="24.95" customHeight="1"/>
    <row r="1716" s="424" customFormat="1" ht="24.95" customHeight="1"/>
    <row r="1717" s="424" customFormat="1" ht="24.95" customHeight="1"/>
    <row r="1718" s="424" customFormat="1" ht="24.95" customHeight="1"/>
    <row r="1719" s="424" customFormat="1" ht="24.95" customHeight="1"/>
    <row r="1720" s="424" customFormat="1" ht="24.95" customHeight="1"/>
    <row r="1721" s="424" customFormat="1" ht="24.95" customHeight="1"/>
    <row r="1722" s="424" customFormat="1" ht="24.95" customHeight="1"/>
    <row r="1723" s="424" customFormat="1" ht="24.95" customHeight="1"/>
    <row r="1724" s="424" customFormat="1" ht="24.95" customHeight="1"/>
    <row r="1725" s="424" customFormat="1" ht="24.95" customHeight="1"/>
    <row r="1726" s="424" customFormat="1" ht="24.95" customHeight="1"/>
    <row r="1727" s="424" customFormat="1" ht="24.95" customHeight="1"/>
    <row r="1728" s="424" customFormat="1" ht="24.95" customHeight="1"/>
    <row r="1729" s="424" customFormat="1" ht="24.95" customHeight="1"/>
    <row r="1730" s="424" customFormat="1" ht="24.95" customHeight="1"/>
    <row r="1731" s="424" customFormat="1" ht="24.95" customHeight="1"/>
    <row r="1732" s="424" customFormat="1" ht="24.95" customHeight="1"/>
    <row r="1733" s="424" customFormat="1" ht="24.95" customHeight="1"/>
    <row r="1734" s="424" customFormat="1" ht="24.95" customHeight="1"/>
    <row r="1735" s="424" customFormat="1" ht="24.95" customHeight="1"/>
    <row r="1736" s="424" customFormat="1" ht="24.95" customHeight="1"/>
    <row r="1737" s="424" customFormat="1" ht="24.95" customHeight="1"/>
    <row r="1738" s="424" customFormat="1" ht="24.95" customHeight="1"/>
    <row r="1739" s="424" customFormat="1" ht="24.95" customHeight="1"/>
    <row r="1740" s="424" customFormat="1" ht="24.95" customHeight="1"/>
    <row r="1741" s="424" customFormat="1" ht="24.95" customHeight="1"/>
    <row r="1742" s="424" customFormat="1" ht="24.95" customHeight="1"/>
    <row r="1743" s="424" customFormat="1" ht="24.95" customHeight="1"/>
    <row r="1744" s="424" customFormat="1" ht="24.95" customHeight="1"/>
    <row r="1745" s="424" customFormat="1" ht="24.95" customHeight="1"/>
    <row r="1746" s="424" customFormat="1" ht="24.95" customHeight="1"/>
    <row r="1747" s="424" customFormat="1" ht="24.95" customHeight="1"/>
    <row r="1748" s="424" customFormat="1" ht="24.95" customHeight="1"/>
    <row r="1749" s="424" customFormat="1" ht="24.95" customHeight="1"/>
    <row r="1750" s="424" customFormat="1" ht="24.95" customHeight="1"/>
    <row r="1751" s="424" customFormat="1" ht="24.95" customHeight="1"/>
    <row r="1752" s="424" customFormat="1" ht="24.95" customHeight="1"/>
    <row r="1753" s="424" customFormat="1" ht="24.95" customHeight="1"/>
    <row r="1754" s="424" customFormat="1" ht="24.95" customHeight="1"/>
    <row r="1755" s="424" customFormat="1" ht="24.95" customHeight="1"/>
    <row r="1756" s="424" customFormat="1" ht="24.95" customHeight="1"/>
    <row r="1757" s="424" customFormat="1" ht="24.95" customHeight="1"/>
    <row r="1758" s="424" customFormat="1" ht="24.95" customHeight="1"/>
    <row r="1759" s="424" customFormat="1" ht="24.95" customHeight="1"/>
    <row r="1760" s="424" customFormat="1" ht="24.95" customHeight="1"/>
    <row r="1761" s="424" customFormat="1" ht="24.95" customHeight="1"/>
    <row r="1762" s="424" customFormat="1" ht="24.95" customHeight="1"/>
    <row r="1763" s="424" customFormat="1" ht="24.95" customHeight="1"/>
    <row r="1764" s="424" customFormat="1" ht="24.95" customHeight="1"/>
    <row r="1765" s="424" customFormat="1" ht="24.95" customHeight="1"/>
    <row r="1766" s="424" customFormat="1" ht="24.95" customHeight="1"/>
    <row r="1767" s="424" customFormat="1" ht="24.95" customHeight="1"/>
    <row r="1768" s="424" customFormat="1" ht="24.95" customHeight="1"/>
    <row r="1769" s="424" customFormat="1" ht="24.95" customHeight="1"/>
    <row r="1770" s="424" customFormat="1" ht="24.95" customHeight="1"/>
    <row r="1771" s="424" customFormat="1" ht="24.95" customHeight="1"/>
    <row r="1772" s="424" customFormat="1" ht="24.95" customHeight="1"/>
    <row r="1773" s="424" customFormat="1" ht="24.95" customHeight="1"/>
    <row r="1774" s="424" customFormat="1" ht="24.95" customHeight="1"/>
    <row r="1775" s="424" customFormat="1" ht="24.95" customHeight="1"/>
    <row r="1776" s="424" customFormat="1" ht="24.95" customHeight="1"/>
    <row r="1777" s="424" customFormat="1" ht="24.95" customHeight="1"/>
    <row r="1778" s="424" customFormat="1" ht="24.95" customHeight="1"/>
    <row r="1779" s="424" customFormat="1" ht="24.95" customHeight="1"/>
    <row r="1780" s="424" customFormat="1" ht="24.95" customHeight="1"/>
    <row r="1781" s="424" customFormat="1" ht="24.95" customHeight="1"/>
    <row r="1782" s="424" customFormat="1" ht="24.95" customHeight="1"/>
    <row r="1783" s="424" customFormat="1" ht="24.95" customHeight="1"/>
    <row r="1784" s="424" customFormat="1" ht="24.95" customHeight="1"/>
    <row r="1785" s="424" customFormat="1" ht="24.95" customHeight="1"/>
    <row r="1786" s="424" customFormat="1" ht="24.95" customHeight="1"/>
    <row r="1787" s="424" customFormat="1" ht="24.95" customHeight="1"/>
    <row r="1788" s="424" customFormat="1" ht="24.95" customHeight="1"/>
    <row r="1789" s="424" customFormat="1" ht="24.95" customHeight="1"/>
    <row r="1790" s="424" customFormat="1" ht="24.95" customHeight="1"/>
    <row r="1791" s="424" customFormat="1" ht="24.95" customHeight="1"/>
    <row r="1792" s="424" customFormat="1" ht="24.95" customHeight="1"/>
    <row r="1793" s="424" customFormat="1" ht="24.95" customHeight="1"/>
    <row r="1794" s="424" customFormat="1" ht="24.95" customHeight="1"/>
    <row r="1795" s="424" customFormat="1" ht="24.95" customHeight="1"/>
    <row r="1796" s="424" customFormat="1" ht="24.95" customHeight="1"/>
    <row r="1797" s="424" customFormat="1" ht="24.95" customHeight="1"/>
    <row r="1798" s="424" customFormat="1" ht="24.95" customHeight="1"/>
    <row r="1799" s="424" customFormat="1" ht="24.95" customHeight="1"/>
    <row r="1800" s="424" customFormat="1" ht="24.95" customHeight="1"/>
    <row r="1801" s="424" customFormat="1" ht="24.95" customHeight="1"/>
    <row r="1802" s="424" customFormat="1" ht="24.95" customHeight="1"/>
    <row r="1803" s="424" customFormat="1" ht="24.95" customHeight="1"/>
    <row r="1804" s="424" customFormat="1" ht="24.95" customHeight="1"/>
    <row r="1805" s="424" customFormat="1" ht="24.95" customHeight="1"/>
    <row r="1806" s="424" customFormat="1" ht="24.95" customHeight="1"/>
    <row r="1807" s="424" customFormat="1" ht="24.95" customHeight="1"/>
    <row r="1808" s="424" customFormat="1" ht="24.95" customHeight="1"/>
    <row r="1809" s="424" customFormat="1" ht="24.95" customHeight="1"/>
    <row r="1810" s="424" customFormat="1" ht="24.95" customHeight="1"/>
    <row r="1811" s="424" customFormat="1" ht="24.95" customHeight="1"/>
    <row r="1812" s="424" customFormat="1" ht="24.95" customHeight="1"/>
    <row r="1813" s="424" customFormat="1" ht="24.95" customHeight="1"/>
    <row r="1814" s="424" customFormat="1" ht="24.95" customHeight="1"/>
    <row r="1815" s="424" customFormat="1" ht="24.95" customHeight="1"/>
    <row r="1816" s="424" customFormat="1" ht="24.95" customHeight="1"/>
    <row r="1817" s="424" customFormat="1" ht="24.95" customHeight="1"/>
    <row r="1818" s="424" customFormat="1" ht="24.95" customHeight="1"/>
    <row r="1819" s="424" customFormat="1" ht="24.95" customHeight="1"/>
    <row r="1820" s="424" customFormat="1" ht="24.95" customHeight="1"/>
    <row r="1821" s="424" customFormat="1" ht="24.95" customHeight="1"/>
    <row r="1822" s="424" customFormat="1" ht="24.95" customHeight="1"/>
    <row r="1823" s="424" customFormat="1" ht="24.95" customHeight="1"/>
    <row r="1824" s="424" customFormat="1" ht="24.95" customHeight="1"/>
    <row r="1825" s="424" customFormat="1" ht="24.95" customHeight="1"/>
    <row r="1826" s="424" customFormat="1" ht="24.95" customHeight="1"/>
    <row r="1827" s="424" customFormat="1" ht="24.95" customHeight="1"/>
    <row r="1828" s="424" customFormat="1" ht="24.95" customHeight="1"/>
    <row r="1829" s="424" customFormat="1" ht="24.95" customHeight="1"/>
    <row r="1830" s="424" customFormat="1" ht="24.95" customHeight="1"/>
    <row r="1831" s="424" customFormat="1" ht="24.95" customHeight="1"/>
    <row r="1832" s="424" customFormat="1" ht="24.95" customHeight="1"/>
    <row r="1833" s="424" customFormat="1" ht="24.95" customHeight="1"/>
    <row r="1834" s="424" customFormat="1" ht="24.95" customHeight="1"/>
    <row r="1835" s="424" customFormat="1" ht="24.95" customHeight="1"/>
    <row r="1836" s="424" customFormat="1" ht="24.95" customHeight="1"/>
    <row r="1837" s="424" customFormat="1" ht="24.95" customHeight="1"/>
    <row r="1838" s="424" customFormat="1" ht="24.95" customHeight="1"/>
    <row r="1839" s="424" customFormat="1" ht="24.95" customHeight="1"/>
    <row r="1840" s="424" customFormat="1" ht="24.95" customHeight="1"/>
    <row r="1841" s="424" customFormat="1" ht="24.95" customHeight="1"/>
    <row r="1842" s="424" customFormat="1" ht="24.95" customHeight="1"/>
    <row r="1843" s="424" customFormat="1" ht="24.95" customHeight="1"/>
    <row r="1844" s="424" customFormat="1" ht="24.95" customHeight="1"/>
    <row r="1845" s="424" customFormat="1" ht="24.95" customHeight="1"/>
    <row r="1846" s="424" customFormat="1" ht="24.95" customHeight="1"/>
    <row r="1847" s="424" customFormat="1" ht="24.95" customHeight="1"/>
    <row r="1848" s="424" customFormat="1" ht="24.95" customHeight="1"/>
    <row r="1849" s="424" customFormat="1" ht="24.95" customHeight="1"/>
    <row r="1850" s="424" customFormat="1" ht="24.95" customHeight="1"/>
    <row r="1851" s="424" customFormat="1" ht="24.95" customHeight="1"/>
    <row r="1852" s="424" customFormat="1" ht="24.95" customHeight="1"/>
    <row r="1853" s="424" customFormat="1" ht="24.95" customHeight="1"/>
    <row r="1854" s="424" customFormat="1" ht="24.95" customHeight="1"/>
    <row r="1855" s="424" customFormat="1" ht="24.95" customHeight="1"/>
    <row r="1856" s="424" customFormat="1" ht="24.95" customHeight="1"/>
    <row r="1857" s="424" customFormat="1" ht="24.95" customHeight="1"/>
    <row r="1858" s="424" customFormat="1" ht="24.95" customHeight="1"/>
    <row r="1859" s="424" customFormat="1" ht="24.95" customHeight="1"/>
    <row r="1860" s="424" customFormat="1" ht="24.95" customHeight="1"/>
    <row r="1861" s="424" customFormat="1" ht="24.95" customHeight="1"/>
    <row r="1862" s="424" customFormat="1" ht="24.95" customHeight="1"/>
    <row r="1863" s="424" customFormat="1" ht="24.95" customHeight="1"/>
    <row r="1864" s="424" customFormat="1" ht="24.95" customHeight="1"/>
    <row r="1865" s="424" customFormat="1" ht="24.95" customHeight="1"/>
    <row r="1866" s="424" customFormat="1" ht="24.95" customHeight="1"/>
    <row r="1867" s="424" customFormat="1" ht="24.95" customHeight="1"/>
    <row r="1868" s="424" customFormat="1" ht="24.95" customHeight="1"/>
    <row r="1869" s="424" customFormat="1" ht="24.95" customHeight="1"/>
    <row r="1870" s="424" customFormat="1" ht="24.95" customHeight="1"/>
    <row r="1871" s="424" customFormat="1" ht="24.95" customHeight="1"/>
    <row r="1872" s="424" customFormat="1" ht="24.95" customHeight="1"/>
    <row r="1873" s="424" customFormat="1" ht="24.95" customHeight="1"/>
    <row r="1874" s="424" customFormat="1" ht="24.95" customHeight="1"/>
    <row r="1875" s="424" customFormat="1" ht="24.95" customHeight="1"/>
    <row r="1876" s="424" customFormat="1" ht="24.95" customHeight="1"/>
    <row r="1877" s="424" customFormat="1" ht="24.95" customHeight="1"/>
    <row r="1878" s="424" customFormat="1" ht="24.95" customHeight="1"/>
    <row r="1879" s="424" customFormat="1" ht="24.95" customHeight="1"/>
    <row r="1880" s="424" customFormat="1" ht="24.95" customHeight="1"/>
    <row r="1881" s="424" customFormat="1" ht="24.95" customHeight="1"/>
    <row r="1882" s="424" customFormat="1" ht="24.95" customHeight="1"/>
    <row r="1883" s="424" customFormat="1" ht="24.95" customHeight="1"/>
    <row r="1884" s="424" customFormat="1" ht="24.95" customHeight="1"/>
    <row r="1885" s="424" customFormat="1" ht="24.95" customHeight="1"/>
    <row r="1886" s="424" customFormat="1" ht="24.95" customHeight="1"/>
    <row r="1887" s="424" customFormat="1" ht="24.95" customHeight="1"/>
    <row r="1888" s="424" customFormat="1" ht="24.95" customHeight="1"/>
    <row r="1889" s="424" customFormat="1" ht="24.95" customHeight="1"/>
    <row r="1890" s="424" customFormat="1" ht="24.95" customHeight="1"/>
    <row r="1891" s="424" customFormat="1" ht="24.95" customHeight="1"/>
    <row r="1892" s="424" customFormat="1" ht="24.95" customHeight="1"/>
    <row r="1893" s="424" customFormat="1" ht="24.95" customHeight="1"/>
    <row r="1894" s="424" customFormat="1" ht="24.95" customHeight="1"/>
    <row r="1895" s="424" customFormat="1" ht="24.95" customHeight="1"/>
    <row r="1896" s="424" customFormat="1" ht="24.95" customHeight="1"/>
    <row r="1897" s="424" customFormat="1" ht="24.95" customHeight="1"/>
    <row r="1898" s="424" customFormat="1" ht="24.95" customHeight="1"/>
    <row r="1899" s="424" customFormat="1" ht="24.95" customHeight="1"/>
    <row r="1900" s="424" customFormat="1" ht="24.95" customHeight="1"/>
    <row r="1901" s="424" customFormat="1" ht="24.95" customHeight="1"/>
    <row r="1902" s="424" customFormat="1" ht="24.95" customHeight="1"/>
    <row r="1903" s="424" customFormat="1" ht="24.95" customHeight="1"/>
    <row r="1904" s="424" customFormat="1" ht="24.95" customHeight="1"/>
    <row r="1905" s="424" customFormat="1" ht="24.95" customHeight="1"/>
    <row r="1906" s="424" customFormat="1" ht="24.95" customHeight="1"/>
    <row r="1907" s="424" customFormat="1" ht="24.95" customHeight="1"/>
    <row r="1908" s="424" customFormat="1" ht="24.95" customHeight="1"/>
    <row r="1909" s="424" customFormat="1" ht="24.95" customHeight="1"/>
    <row r="1910" s="424" customFormat="1" ht="24.95" customHeight="1"/>
    <row r="1911" s="424" customFormat="1" ht="24.95" customHeight="1"/>
    <row r="1912" s="424" customFormat="1" ht="24.95" customHeight="1"/>
    <row r="1913" s="424" customFormat="1" ht="24.95" customHeight="1"/>
    <row r="1914" s="424" customFormat="1" ht="24.95" customHeight="1"/>
    <row r="1915" s="424" customFormat="1" ht="24.95" customHeight="1"/>
    <row r="1916" s="424" customFormat="1" ht="24.95" customHeight="1"/>
    <row r="1917" s="424" customFormat="1" ht="24.95" customHeight="1"/>
    <row r="1918" s="424" customFormat="1" ht="24.95" customHeight="1"/>
    <row r="1919" s="424" customFormat="1" ht="24.95" customHeight="1"/>
    <row r="1920" s="424" customFormat="1" ht="24.95" customHeight="1"/>
    <row r="1921" s="424" customFormat="1" ht="24.95" customHeight="1"/>
    <row r="1922" s="424" customFormat="1" ht="24.95" customHeight="1"/>
    <row r="1923" s="424" customFormat="1" ht="24.95" customHeight="1"/>
    <row r="1924" s="424" customFormat="1" ht="24.95" customHeight="1"/>
    <row r="1925" s="424" customFormat="1" ht="24.95" customHeight="1"/>
    <row r="1926" s="424" customFormat="1" ht="24.95" customHeight="1"/>
    <row r="1927" s="424" customFormat="1" ht="24.95" customHeight="1"/>
    <row r="1928" s="424" customFormat="1" ht="24.95" customHeight="1"/>
    <row r="1929" s="424" customFormat="1" ht="24.95" customHeight="1"/>
    <row r="1930" s="424" customFormat="1" ht="24.95" customHeight="1"/>
    <row r="1931" s="424" customFormat="1" ht="24.95" customHeight="1"/>
    <row r="1932" s="424" customFormat="1" ht="24.95" customHeight="1"/>
    <row r="1933" s="424" customFormat="1" ht="24.95" customHeight="1"/>
    <row r="1934" s="424" customFormat="1" ht="24.95" customHeight="1"/>
    <row r="1935" s="424" customFormat="1" ht="24.95" customHeight="1"/>
    <row r="1936" s="424" customFormat="1" ht="24.95" customHeight="1"/>
    <row r="1937" s="424" customFormat="1" ht="24.95" customHeight="1"/>
    <row r="1938" s="424" customFormat="1" ht="24.95" customHeight="1"/>
    <row r="1939" s="424" customFormat="1" ht="24.95" customHeight="1"/>
    <row r="1940" s="424" customFormat="1" ht="24.95" customHeight="1"/>
    <row r="1941" s="424" customFormat="1" ht="24.95" customHeight="1"/>
    <row r="1942" s="424" customFormat="1" ht="24.95" customHeight="1"/>
    <row r="1943" s="424" customFormat="1" ht="24.95" customHeight="1"/>
    <row r="1944" s="424" customFormat="1" ht="24.95" customHeight="1"/>
    <row r="1945" s="424" customFormat="1" ht="24.95" customHeight="1"/>
    <row r="1946" s="424" customFormat="1" ht="24.95" customHeight="1"/>
    <row r="1947" s="424" customFormat="1" ht="24.95" customHeight="1"/>
    <row r="1948" s="424" customFormat="1" ht="24.95" customHeight="1"/>
    <row r="1949" s="424" customFormat="1" ht="24.95" customHeight="1"/>
    <row r="1950" s="424" customFormat="1" ht="24.95" customHeight="1"/>
    <row r="1951" s="424" customFormat="1" ht="24.95" customHeight="1"/>
    <row r="1952" s="424" customFormat="1" ht="24.95" customHeight="1"/>
    <row r="1953" s="424" customFormat="1" ht="24.95" customHeight="1"/>
    <row r="1954" s="424" customFormat="1" ht="24.95" customHeight="1"/>
    <row r="1955" s="424" customFormat="1" ht="24.95" customHeight="1"/>
    <row r="1956" s="424" customFormat="1" ht="24.95" customHeight="1"/>
    <row r="1957" s="424" customFormat="1" ht="24.95" customHeight="1"/>
    <row r="1958" s="424" customFormat="1" ht="24.95" customHeight="1"/>
    <row r="1959" s="424" customFormat="1" ht="24.95" customHeight="1"/>
    <row r="1960" s="424" customFormat="1" ht="24.95" customHeight="1"/>
    <row r="1961" s="424" customFormat="1" ht="24.95" customHeight="1"/>
    <row r="1962" s="424" customFormat="1" ht="24.95" customHeight="1"/>
    <row r="1963" s="424" customFormat="1" ht="24.95" customHeight="1"/>
    <row r="1964" s="424" customFormat="1" ht="24.95" customHeight="1"/>
    <row r="1965" s="424" customFormat="1" ht="24.95" customHeight="1"/>
    <row r="1966" s="424" customFormat="1" ht="24.95" customHeight="1"/>
    <row r="1967" s="424" customFormat="1" ht="24.95" customHeight="1"/>
    <row r="1968" s="424" customFormat="1" ht="24.95" customHeight="1"/>
    <row r="1969" s="424" customFormat="1" ht="24.95" customHeight="1"/>
    <row r="1970" s="424" customFormat="1" ht="24.95" customHeight="1"/>
    <row r="1971" s="424" customFormat="1" ht="24.95" customHeight="1"/>
    <row r="1972" s="424" customFormat="1" ht="24.95" customHeight="1"/>
    <row r="1973" s="424" customFormat="1" ht="24.95" customHeight="1"/>
    <row r="1974" s="424" customFormat="1" ht="24.95" customHeight="1"/>
    <row r="1975" s="424" customFormat="1" ht="24.95" customHeight="1"/>
    <row r="1976" s="424" customFormat="1" ht="24.95" customHeight="1"/>
    <row r="1977" s="424" customFormat="1" ht="24.95" customHeight="1"/>
    <row r="1978" s="424" customFormat="1" ht="24.95" customHeight="1"/>
    <row r="1979" s="424" customFormat="1" ht="24.95" customHeight="1"/>
    <row r="1980" s="424" customFormat="1" ht="24.95" customHeight="1"/>
    <row r="1981" s="424" customFormat="1" ht="24.95" customHeight="1"/>
    <row r="1982" s="424" customFormat="1" ht="24.95" customHeight="1"/>
    <row r="1983" s="424" customFormat="1" ht="24.95" customHeight="1"/>
    <row r="1984" s="424" customFormat="1" ht="24.95" customHeight="1"/>
    <row r="1985" s="424" customFormat="1" ht="24.95" customHeight="1"/>
    <row r="1986" s="424" customFormat="1" ht="24.95" customHeight="1"/>
    <row r="1987" s="424" customFormat="1" ht="24.95" customHeight="1"/>
    <row r="1988" s="424" customFormat="1" ht="24.95" customHeight="1"/>
    <row r="1989" s="424" customFormat="1" ht="24.95" customHeight="1"/>
    <row r="1990" s="424" customFormat="1" ht="24.95" customHeight="1"/>
    <row r="1991" s="424" customFormat="1" ht="24.95" customHeight="1"/>
    <row r="1992" s="424" customFormat="1" ht="24.95" customHeight="1"/>
    <row r="1993" s="424" customFormat="1" ht="24.95" customHeight="1"/>
    <row r="1994" s="424" customFormat="1" ht="24.95" customHeight="1"/>
    <row r="1995" s="424" customFormat="1" ht="24.95" customHeight="1"/>
    <row r="1996" s="424" customFormat="1" ht="24.95" customHeight="1"/>
    <row r="1997" s="424" customFormat="1" ht="24.95" customHeight="1"/>
    <row r="1998" s="424" customFormat="1" ht="24.95" customHeight="1"/>
    <row r="1999" s="424" customFormat="1" ht="24.95" customHeight="1"/>
    <row r="2000" s="424" customFormat="1" ht="24.95" customHeight="1"/>
    <row r="2001" s="424" customFormat="1" ht="24.95" customHeight="1"/>
    <row r="2002" s="424" customFormat="1" ht="24.95" customHeight="1"/>
    <row r="2003" s="424" customFormat="1" ht="24.95" customHeight="1"/>
    <row r="2004" s="424" customFormat="1" ht="24.95" customHeight="1"/>
    <row r="2005" s="424" customFormat="1" ht="24.95" customHeight="1"/>
    <row r="2006" s="424" customFormat="1" ht="24.95" customHeight="1"/>
    <row r="2007" s="424" customFormat="1" ht="24.95" customHeight="1"/>
    <row r="2008" s="424" customFormat="1" ht="24.95" customHeight="1"/>
    <row r="2009" s="424" customFormat="1" ht="24.95" customHeight="1"/>
    <row r="2010" s="424" customFormat="1" ht="24.95" customHeight="1"/>
    <row r="2011" s="424" customFormat="1" ht="24.95" customHeight="1"/>
    <row r="2012" s="424" customFormat="1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M21"/>
  <sheetViews>
    <sheetView showGridLines="0" showZeros="0" view="pageBreakPreview" zoomScaleNormal="100" workbookViewId="0">
      <selection activeCell="I17" sqref="I17"/>
    </sheetView>
  </sheetViews>
  <sheetFormatPr defaultColWidth="10.28515625" defaultRowHeight="34.15" customHeight="1"/>
  <cols>
    <col min="1" max="1" width="1.7109375" style="386" customWidth="1"/>
    <col min="2" max="2" width="12.7109375" style="386" customWidth="1"/>
    <col min="3" max="4" width="1.7109375" style="386" customWidth="1"/>
    <col min="5" max="5" width="14.140625" style="386" bestFit="1" customWidth="1"/>
    <col min="6" max="6" width="1.7109375" style="386" customWidth="1"/>
    <col min="7" max="7" width="12.7109375" style="696" hidden="1" customWidth="1"/>
    <col min="8" max="8" width="1.7109375" style="387" hidden="1" customWidth="1"/>
    <col min="9" max="12" width="12.85546875" style="387" customWidth="1"/>
    <col min="13" max="13" width="10.140625" style="387" customWidth="1"/>
    <col min="14" max="16384" width="10.28515625" style="386"/>
  </cols>
  <sheetData>
    <row r="1" spans="1:13" ht="20.100000000000001" customHeight="1">
      <c r="A1" s="386" t="s">
        <v>490</v>
      </c>
    </row>
    <row r="2" spans="1:13" s="390" customFormat="1" ht="39.950000000000003" customHeight="1">
      <c r="A2" s="388" t="s">
        <v>114</v>
      </c>
      <c r="B2" s="388"/>
      <c r="C2" s="388"/>
      <c r="D2" s="388"/>
      <c r="E2" s="388"/>
      <c r="F2" s="388"/>
      <c r="G2" s="697"/>
      <c r="H2" s="389"/>
      <c r="I2" s="389"/>
      <c r="J2" s="389"/>
      <c r="K2" s="389"/>
      <c r="L2" s="389"/>
      <c r="M2" s="389"/>
    </row>
    <row r="3" spans="1:13" ht="20.100000000000001" customHeight="1">
      <c r="A3" s="391"/>
      <c r="B3" s="391"/>
      <c r="C3" s="391"/>
      <c r="D3" s="391"/>
      <c r="E3" s="391"/>
      <c r="F3" s="391"/>
      <c r="G3" s="698"/>
      <c r="H3" s="392"/>
      <c r="I3" s="392"/>
      <c r="J3" s="392"/>
      <c r="K3" s="392"/>
      <c r="L3" s="392"/>
      <c r="M3" s="392"/>
    </row>
    <row r="4" spans="1:13" ht="20.100000000000001" customHeight="1">
      <c r="B4" s="391"/>
      <c r="C4" s="393"/>
      <c r="D4" s="393"/>
      <c r="E4" s="393"/>
      <c r="F4" s="393"/>
      <c r="G4" s="698"/>
      <c r="H4" s="392"/>
      <c r="I4" s="392"/>
      <c r="J4" s="392"/>
      <c r="K4" s="392"/>
      <c r="L4" s="392"/>
      <c r="M4" s="394" t="s">
        <v>33</v>
      </c>
    </row>
    <row r="5" spans="1:13" ht="50.1" customHeight="1">
      <c r="A5" s="395" t="s">
        <v>248</v>
      </c>
      <c r="B5" s="396"/>
      <c r="C5" s="397"/>
      <c r="D5" s="396" t="s">
        <v>249</v>
      </c>
      <c r="E5" s="396"/>
      <c r="F5" s="396"/>
      <c r="G5" s="699" t="s">
        <v>250</v>
      </c>
      <c r="H5" s="399"/>
      <c r="I5" s="398" t="s">
        <v>302</v>
      </c>
      <c r="J5" s="398" t="s">
        <v>463</v>
      </c>
      <c r="K5" s="398" t="s">
        <v>459</v>
      </c>
      <c r="L5" s="597" t="s">
        <v>178</v>
      </c>
      <c r="M5" s="595" t="s">
        <v>247</v>
      </c>
    </row>
    <row r="6" spans="1:13" ht="22.5" customHeight="1">
      <c r="A6" s="400"/>
      <c r="B6" s="401"/>
      <c r="C6" s="402"/>
      <c r="D6" s="401"/>
      <c r="E6" s="403"/>
      <c r="F6" s="401"/>
      <c r="G6" s="700" t="s">
        <v>251</v>
      </c>
      <c r="H6" s="404"/>
      <c r="I6" s="596" t="s">
        <v>67</v>
      </c>
      <c r="J6" s="596" t="s">
        <v>10</v>
      </c>
      <c r="K6" s="596" t="s">
        <v>11</v>
      </c>
      <c r="L6" s="587"/>
      <c r="M6" s="404"/>
    </row>
    <row r="7" spans="1:13" ht="30" customHeight="1">
      <c r="A7" s="400"/>
      <c r="B7" s="405">
        <f>인집!B6</f>
        <v>0</v>
      </c>
      <c r="C7" s="402"/>
      <c r="D7" s="401"/>
      <c r="E7" s="406">
        <f>인집!E6</f>
        <v>0</v>
      </c>
      <c r="F7" s="401"/>
      <c r="G7" s="701">
        <f>식대!I7</f>
        <v>0</v>
      </c>
      <c r="H7" s="408"/>
      <c r="I7" s="407"/>
      <c r="J7" s="407">
        <f>체력단련비!I7</f>
        <v>0</v>
      </c>
      <c r="K7" s="407">
        <f>피복비!I7</f>
        <v>0</v>
      </c>
      <c r="L7" s="598">
        <f>SUM(I7:K7)</f>
        <v>0</v>
      </c>
      <c r="M7" s="409"/>
    </row>
    <row r="8" spans="1:13" ht="30" customHeight="1">
      <c r="A8" s="400"/>
      <c r="B8" s="405">
        <f>인집!B7</f>
        <v>0</v>
      </c>
      <c r="C8" s="402"/>
      <c r="D8" s="401"/>
      <c r="E8" s="406">
        <f>인집!E7</f>
        <v>0</v>
      </c>
      <c r="F8" s="401"/>
      <c r="G8" s="701">
        <f>식대!I8</f>
        <v>0</v>
      </c>
      <c r="H8" s="408"/>
      <c r="I8" s="407"/>
      <c r="J8" s="407">
        <f>체력단련비!I8</f>
        <v>0</v>
      </c>
      <c r="K8" s="407">
        <f>피복비!I8</f>
        <v>0</v>
      </c>
      <c r="L8" s="598">
        <f t="shared" ref="L8:L16" si="0">SUM(I8:K8)</f>
        <v>0</v>
      </c>
      <c r="M8" s="409"/>
    </row>
    <row r="9" spans="1:13" ht="30" customHeight="1">
      <c r="A9" s="400"/>
      <c r="B9" s="405">
        <f>인집!B8</f>
        <v>0</v>
      </c>
      <c r="C9" s="402"/>
      <c r="D9" s="401"/>
      <c r="E9" s="406">
        <f>인집!E8</f>
        <v>0</v>
      </c>
      <c r="F9" s="401"/>
      <c r="G9" s="701">
        <f>식대!I9</f>
        <v>0</v>
      </c>
      <c r="H9" s="408"/>
      <c r="I9" s="407"/>
      <c r="J9" s="407">
        <f>체력단련비!I9</f>
        <v>0</v>
      </c>
      <c r="K9" s="407">
        <f>피복비!I9</f>
        <v>0</v>
      </c>
      <c r="L9" s="598">
        <f t="shared" si="0"/>
        <v>0</v>
      </c>
      <c r="M9" s="409"/>
    </row>
    <row r="10" spans="1:13" ht="30" customHeight="1">
      <c r="A10" s="400"/>
      <c r="B10" s="405">
        <f>인집!B9</f>
        <v>0</v>
      </c>
      <c r="C10" s="402"/>
      <c r="D10" s="401"/>
      <c r="E10" s="406">
        <f>인집!E9</f>
        <v>0</v>
      </c>
      <c r="F10" s="401"/>
      <c r="G10" s="701">
        <f>식대!I10</f>
        <v>0</v>
      </c>
      <c r="H10" s="408"/>
      <c r="I10" s="407"/>
      <c r="J10" s="407">
        <f>체력단련비!I10</f>
        <v>0</v>
      </c>
      <c r="K10" s="407">
        <f>피복비!I10</f>
        <v>0</v>
      </c>
      <c r="L10" s="598">
        <f t="shared" si="0"/>
        <v>0</v>
      </c>
      <c r="M10" s="409"/>
    </row>
    <row r="11" spans="1:13" ht="30" customHeight="1">
      <c r="A11" s="400"/>
      <c r="B11" s="405">
        <f>인집!B10</f>
        <v>0</v>
      </c>
      <c r="C11" s="402"/>
      <c r="D11" s="401"/>
      <c r="E11" s="406">
        <f>인집!E10</f>
        <v>0</v>
      </c>
      <c r="F11" s="401"/>
      <c r="G11" s="701">
        <f>식대!I11</f>
        <v>0</v>
      </c>
      <c r="H11" s="408"/>
      <c r="I11" s="407"/>
      <c r="J11" s="407">
        <f>체력단련비!I11</f>
        <v>0</v>
      </c>
      <c r="K11" s="407">
        <f>피복비!I11</f>
        <v>0</v>
      </c>
      <c r="L11" s="598">
        <f t="shared" si="0"/>
        <v>0</v>
      </c>
      <c r="M11" s="409"/>
    </row>
    <row r="12" spans="1:13" ht="30" customHeight="1">
      <c r="A12" s="400"/>
      <c r="B12" s="405">
        <f>인집!B11</f>
        <v>0</v>
      </c>
      <c r="C12" s="402"/>
      <c r="D12" s="401"/>
      <c r="E12" s="406">
        <f>인집!E11</f>
        <v>0</v>
      </c>
      <c r="F12" s="401"/>
      <c r="G12" s="701">
        <f>식대!I12</f>
        <v>0</v>
      </c>
      <c r="H12" s="408"/>
      <c r="I12" s="407"/>
      <c r="J12" s="407">
        <f>체력단련비!I12</f>
        <v>0</v>
      </c>
      <c r="K12" s="407">
        <f>피복비!I12</f>
        <v>0</v>
      </c>
      <c r="L12" s="598">
        <f t="shared" si="0"/>
        <v>0</v>
      </c>
      <c r="M12" s="409"/>
    </row>
    <row r="13" spans="1:13" ht="30" customHeight="1">
      <c r="A13" s="400"/>
      <c r="B13" s="405">
        <f>인집!B12</f>
        <v>0</v>
      </c>
      <c r="C13" s="402"/>
      <c r="D13" s="401"/>
      <c r="E13" s="406">
        <f>인집!E12</f>
        <v>0</v>
      </c>
      <c r="F13" s="401"/>
      <c r="G13" s="701">
        <f>식대!I13</f>
        <v>0</v>
      </c>
      <c r="H13" s="408"/>
      <c r="I13" s="407"/>
      <c r="J13" s="407">
        <f>체력단련비!I13</f>
        <v>0</v>
      </c>
      <c r="K13" s="407">
        <f>피복비!I13</f>
        <v>0</v>
      </c>
      <c r="L13" s="598">
        <f t="shared" si="0"/>
        <v>0</v>
      </c>
      <c r="M13" s="409"/>
    </row>
    <row r="14" spans="1:13" ht="30" customHeight="1">
      <c r="A14" s="400"/>
      <c r="B14" s="405">
        <f>인집!B13</f>
        <v>0</v>
      </c>
      <c r="C14" s="402"/>
      <c r="D14" s="401"/>
      <c r="E14" s="406">
        <f>인집!E13</f>
        <v>0</v>
      </c>
      <c r="F14" s="401"/>
      <c r="G14" s="701">
        <f>식대!I14</f>
        <v>0</v>
      </c>
      <c r="H14" s="408"/>
      <c r="I14" s="407"/>
      <c r="J14" s="407">
        <f>체력단련비!I14</f>
        <v>0</v>
      </c>
      <c r="K14" s="407">
        <f>피복비!I14</f>
        <v>0</v>
      </c>
      <c r="L14" s="598">
        <f>SUM(I14:K14)</f>
        <v>0</v>
      </c>
      <c r="M14" s="409"/>
    </row>
    <row r="15" spans="1:13" ht="30" customHeight="1">
      <c r="A15" s="400"/>
      <c r="B15" s="405" t="str">
        <f>인집!B14</f>
        <v>다산홀운영</v>
      </c>
      <c r="C15" s="402"/>
      <c r="D15" s="401"/>
      <c r="E15" s="406" t="str">
        <f>인집!E14</f>
        <v>전기기능사</v>
      </c>
      <c r="F15" s="401"/>
      <c r="G15" s="701">
        <f>식대!I15</f>
        <v>0</v>
      </c>
      <c r="H15" s="408"/>
      <c r="I15" s="407"/>
      <c r="J15" s="407">
        <f>체력단련비!I15</f>
        <v>0</v>
      </c>
      <c r="K15" s="407">
        <f>피복비!I15</f>
        <v>0</v>
      </c>
      <c r="L15" s="598">
        <f t="shared" si="0"/>
        <v>0</v>
      </c>
      <c r="M15" s="409"/>
    </row>
    <row r="16" spans="1:13" ht="30" customHeight="1">
      <c r="A16" s="400"/>
      <c r="B16" s="405" t="str">
        <f>인집!B15</f>
        <v>운 전 원</v>
      </c>
      <c r="C16" s="402"/>
      <c r="D16" s="401"/>
      <c r="E16" s="406" t="str">
        <f>인집!E15</f>
        <v>단순노무종사원</v>
      </c>
      <c r="F16" s="401"/>
      <c r="G16" s="701">
        <f>식대!I16</f>
        <v>0</v>
      </c>
      <c r="H16" s="408"/>
      <c r="I16" s="407"/>
      <c r="J16" s="407">
        <f>체력단련비!I16</f>
        <v>0</v>
      </c>
      <c r="K16" s="407">
        <f>피복비!I16</f>
        <v>0</v>
      </c>
      <c r="L16" s="598">
        <f t="shared" si="0"/>
        <v>0</v>
      </c>
      <c r="M16" s="409"/>
    </row>
    <row r="17" spans="1:13" ht="30" customHeight="1">
      <c r="A17" s="400"/>
      <c r="B17" s="405" t="str">
        <f>인집!B16</f>
        <v>사무보조원</v>
      </c>
      <c r="C17" s="402"/>
      <c r="D17" s="401"/>
      <c r="E17" s="406" t="str">
        <f>인집!E16</f>
        <v>단순노무종사원</v>
      </c>
      <c r="F17" s="401"/>
      <c r="G17" s="701">
        <f>식대!I17</f>
        <v>0</v>
      </c>
      <c r="H17" s="408"/>
      <c r="I17" s="407"/>
      <c r="J17" s="407">
        <f>체력단련비!I17</f>
        <v>0</v>
      </c>
      <c r="K17" s="407">
        <f>피복비!I17</f>
        <v>0</v>
      </c>
      <c r="L17" s="598">
        <f>SUM(I17:K17)</f>
        <v>0</v>
      </c>
      <c r="M17" s="409"/>
    </row>
    <row r="18" spans="1:13" ht="9.9499999999999993" customHeight="1">
      <c r="A18" s="410"/>
      <c r="B18" s="411"/>
      <c r="C18" s="412"/>
      <c r="D18" s="413"/>
      <c r="E18" s="414"/>
      <c r="F18" s="413"/>
      <c r="G18" s="702"/>
      <c r="H18" s="416"/>
      <c r="I18" s="415"/>
      <c r="J18" s="415"/>
      <c r="K18" s="415"/>
      <c r="L18" s="599"/>
      <c r="M18" s="417"/>
    </row>
    <row r="19" spans="1:13" ht="24.95" customHeight="1">
      <c r="A19" s="418" t="str">
        <f>"주 1) 식대 : "&amp;식대!A1&amp;식대!A2&amp;" 참조"</f>
        <v>주 1) 식대 : &lt; 표 : 16 &gt; 식비산출표 참조</v>
      </c>
    </row>
    <row r="20" spans="1:13" ht="24.95" customHeight="1">
      <c r="A20" s="418" t="str">
        <f>"   2) 체력단련비 : "&amp;체력단련비!A1&amp;체력단련비!A2&amp;" 참조"</f>
        <v xml:space="preserve">   2) 체력단련비 : &lt; 표 : 17 &gt; 체력단련비산출표 참조</v>
      </c>
    </row>
    <row r="21" spans="1:13" ht="24.95" customHeight="1">
      <c r="A21" s="418" t="str">
        <f>"   3) 피복비 : "&amp;피복비!A1&amp;피복비!A2&amp;" 참조"</f>
        <v xml:space="preserve">   3) 피복비 : &lt; 표 : 18 &gt; 피복비산출표 참조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O19"/>
  <sheetViews>
    <sheetView showGridLines="0" showZeros="0" view="pageBreakPreview" zoomScale="90" zoomScaleNormal="100" workbookViewId="0">
      <selection activeCell="H17" sqref="H17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491</v>
      </c>
    </row>
    <row r="2" spans="1:15" s="365" customFormat="1" ht="39.75" customHeight="1">
      <c r="A2" s="75" t="s">
        <v>293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207</v>
      </c>
      <c r="C5" s="328"/>
      <c r="D5" s="329"/>
      <c r="E5" s="328" t="s">
        <v>239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290</v>
      </c>
      <c r="M6" s="376" t="s">
        <v>291</v>
      </c>
      <c r="N6" s="376" t="s">
        <v>292</v>
      </c>
      <c r="O6" s="376"/>
    </row>
    <row r="7" spans="1:15" ht="23.1" customHeight="1">
      <c r="A7" s="370"/>
      <c r="B7" s="346">
        <f>인집!B6</f>
        <v>0</v>
      </c>
      <c r="C7" s="320"/>
      <c r="D7" s="337"/>
      <c r="E7" s="347">
        <f>인집!E6</f>
        <v>0</v>
      </c>
      <c r="F7" s="375"/>
      <c r="G7" s="378"/>
      <c r="H7" s="816"/>
      <c r="I7" s="255">
        <f>TRUNC(G7*H7,0)</f>
        <v>0</v>
      </c>
      <c r="J7" s="80"/>
      <c r="K7" s="379" t="str">
        <f>""&amp;L7&amp;"(월근무일수) + "&amp;M7&amp;"(휴일근무일수)"</f>
        <v>0(월근무일수) + 1(휴일근무일수)</v>
      </c>
      <c r="L7" s="74">
        <f>월기본급!I9</f>
        <v>0</v>
      </c>
      <c r="M7" s="380">
        <f>휴일근로!$E$8</f>
        <v>1</v>
      </c>
      <c r="N7" s="381"/>
    </row>
    <row r="8" spans="1:15" ht="23.1" customHeight="1">
      <c r="A8" s="370"/>
      <c r="B8" s="346">
        <f>인집!B7</f>
        <v>0</v>
      </c>
      <c r="C8" s="320"/>
      <c r="D8" s="337"/>
      <c r="E8" s="347">
        <f>인집!E7</f>
        <v>0</v>
      </c>
      <c r="F8" s="375"/>
      <c r="G8" s="378"/>
      <c r="H8" s="816"/>
      <c r="I8" s="255">
        <f t="shared" ref="I8:I16" si="0">TRUNC(G8*H8,0)</f>
        <v>0</v>
      </c>
      <c r="J8" s="80"/>
      <c r="K8" s="379" t="str">
        <f t="shared" ref="K8:K16" si="1">""&amp;L8&amp;"(월근무일수) + "&amp;M8&amp;"(휴일근무일수)"</f>
        <v>0(월근무일수) + 1(휴일근무일수)</v>
      </c>
      <c r="L8" s="74">
        <f>월기본급!I10</f>
        <v>0</v>
      </c>
      <c r="M8" s="380">
        <f>휴일근로!$E$8</f>
        <v>1</v>
      </c>
      <c r="N8" s="381"/>
    </row>
    <row r="9" spans="1:15" ht="23.1" customHeight="1">
      <c r="A9" s="370"/>
      <c r="B9" s="346">
        <f>인집!B8</f>
        <v>0</v>
      </c>
      <c r="C9" s="320"/>
      <c r="D9" s="337"/>
      <c r="E9" s="347">
        <f>인집!E8</f>
        <v>0</v>
      </c>
      <c r="F9" s="375"/>
      <c r="G9" s="378"/>
      <c r="H9" s="816"/>
      <c r="I9" s="255">
        <f t="shared" si="0"/>
        <v>0</v>
      </c>
      <c r="J9" s="80"/>
      <c r="K9" s="379" t="str">
        <f t="shared" si="1"/>
        <v>0(월근무일수) + 1(휴일근무일수)</v>
      </c>
      <c r="L9" s="74">
        <f>월기본급!I11</f>
        <v>0</v>
      </c>
      <c r="M9" s="380">
        <f>휴일근로!$E$8</f>
        <v>1</v>
      </c>
      <c r="N9" s="381"/>
    </row>
    <row r="10" spans="1:15" ht="23.1" customHeight="1">
      <c r="A10" s="370"/>
      <c r="B10" s="346">
        <f>인집!B9</f>
        <v>0</v>
      </c>
      <c r="C10" s="320"/>
      <c r="D10" s="337"/>
      <c r="E10" s="347">
        <f>인집!E9</f>
        <v>0</v>
      </c>
      <c r="F10" s="375"/>
      <c r="G10" s="378"/>
      <c r="H10" s="816"/>
      <c r="I10" s="255">
        <f t="shared" si="0"/>
        <v>0</v>
      </c>
      <c r="J10" s="80"/>
      <c r="K10" s="379" t="str">
        <f t="shared" si="1"/>
        <v>0(월근무일수) + 1(휴일근무일수)</v>
      </c>
      <c r="L10" s="74">
        <f>월기본급!I12</f>
        <v>0</v>
      </c>
      <c r="M10" s="380">
        <f>휴일근로!$E$8</f>
        <v>1</v>
      </c>
      <c r="N10" s="381"/>
    </row>
    <row r="11" spans="1:15" ht="23.1" customHeight="1">
      <c r="A11" s="370"/>
      <c r="B11" s="346">
        <f>인집!B10</f>
        <v>0</v>
      </c>
      <c r="C11" s="320"/>
      <c r="D11" s="337"/>
      <c r="E11" s="347">
        <f>인집!E10</f>
        <v>0</v>
      </c>
      <c r="F11" s="375"/>
      <c r="G11" s="378"/>
      <c r="H11" s="816"/>
      <c r="I11" s="255">
        <f t="shared" si="0"/>
        <v>0</v>
      </c>
      <c r="J11" s="80"/>
      <c r="K11" s="379" t="str">
        <f t="shared" si="1"/>
        <v>0(월근무일수) + 1(휴일근무일수)</v>
      </c>
      <c r="L11" s="74">
        <f>월기본급!I13</f>
        <v>0</v>
      </c>
      <c r="M11" s="380">
        <f>휴일근로!$E$8</f>
        <v>1</v>
      </c>
      <c r="N11" s="381"/>
    </row>
    <row r="12" spans="1:15" ht="23.1" customHeight="1">
      <c r="A12" s="370"/>
      <c r="B12" s="346">
        <f>인집!B11</f>
        <v>0</v>
      </c>
      <c r="C12" s="320"/>
      <c r="D12" s="337"/>
      <c r="E12" s="347">
        <f>인집!E11</f>
        <v>0</v>
      </c>
      <c r="F12" s="375"/>
      <c r="G12" s="378"/>
      <c r="H12" s="816"/>
      <c r="I12" s="255">
        <f t="shared" si="0"/>
        <v>0</v>
      </c>
      <c r="J12" s="80"/>
      <c r="K12" s="379" t="str">
        <f t="shared" si="1"/>
        <v>0(월근무일수) + 1(휴일근무일수)</v>
      </c>
      <c r="L12" s="74">
        <f>월기본급!I14</f>
        <v>0</v>
      </c>
      <c r="M12" s="380">
        <f>휴일근로!$E$8</f>
        <v>1</v>
      </c>
      <c r="N12" s="381"/>
    </row>
    <row r="13" spans="1:15" ht="23.1" customHeight="1">
      <c r="A13" s="370"/>
      <c r="B13" s="346">
        <f>인집!B12</f>
        <v>0</v>
      </c>
      <c r="C13" s="320"/>
      <c r="D13" s="337"/>
      <c r="E13" s="347">
        <f>인집!E12</f>
        <v>0</v>
      </c>
      <c r="F13" s="375"/>
      <c r="G13" s="378"/>
      <c r="H13" s="816"/>
      <c r="I13" s="255">
        <f t="shared" si="0"/>
        <v>0</v>
      </c>
      <c r="J13" s="80"/>
      <c r="K13" s="379" t="str">
        <f t="shared" si="1"/>
        <v>0(월근무일수) + 1(휴일근무일수)</v>
      </c>
      <c r="L13" s="74">
        <f>월기본급!I15</f>
        <v>0</v>
      </c>
      <c r="M13" s="380">
        <f>휴일근로!$E$8</f>
        <v>1</v>
      </c>
      <c r="N13" s="381"/>
    </row>
    <row r="14" spans="1:15" ht="23.1" customHeight="1">
      <c r="A14" s="370"/>
      <c r="B14" s="346">
        <f>인집!B13</f>
        <v>0</v>
      </c>
      <c r="C14" s="320"/>
      <c r="D14" s="337"/>
      <c r="E14" s="347">
        <f>인집!E13</f>
        <v>0</v>
      </c>
      <c r="F14" s="375"/>
      <c r="G14" s="378"/>
      <c r="H14" s="816"/>
      <c r="I14" s="255">
        <f>TRUNC(G14*H14,0)</f>
        <v>0</v>
      </c>
      <c r="J14" s="80"/>
      <c r="K14" s="379" t="str">
        <f>""&amp;L14&amp;"(월근무일수) + "&amp;M14&amp;"(휴일근무일수)"</f>
        <v>0(월근무일수) + 1(휴일근무일수)</v>
      </c>
      <c r="L14" s="74">
        <f>월기본급!I15</f>
        <v>0</v>
      </c>
      <c r="M14" s="380">
        <f>휴일근로!$E$8</f>
        <v>1</v>
      </c>
      <c r="N14" s="381"/>
    </row>
    <row r="15" spans="1:15" ht="23.1" customHeight="1">
      <c r="A15" s="370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75"/>
      <c r="G15" s="378">
        <f t="shared" ref="G15:G16" si="2">SUM(L15:N15)</f>
        <v>27</v>
      </c>
      <c r="H15" s="816"/>
      <c r="I15" s="255">
        <f t="shared" si="0"/>
        <v>0</v>
      </c>
      <c r="J15" s="80"/>
      <c r="K15" s="379" t="str">
        <f t="shared" si="1"/>
        <v>26(월근무일수) + 1(휴일근무일수)</v>
      </c>
      <c r="L15" s="74">
        <f>월기본급!I17</f>
        <v>26</v>
      </c>
      <c r="M15" s="380">
        <f>휴일근로!$E$8</f>
        <v>1</v>
      </c>
      <c r="N15" s="381"/>
    </row>
    <row r="16" spans="1:15" ht="23.1" customHeight="1">
      <c r="A16" s="370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75"/>
      <c r="G16" s="378">
        <f t="shared" si="2"/>
        <v>27</v>
      </c>
      <c r="H16" s="816"/>
      <c r="I16" s="255">
        <f t="shared" si="0"/>
        <v>0</v>
      </c>
      <c r="J16" s="80"/>
      <c r="K16" s="379" t="str">
        <f t="shared" si="1"/>
        <v>26(월근무일수) + 1(휴일근무일수)</v>
      </c>
      <c r="L16" s="74">
        <f>월기본급!I18</f>
        <v>26</v>
      </c>
      <c r="M16" s="380">
        <f>휴일근로!$E$8</f>
        <v>1</v>
      </c>
      <c r="N16" s="381"/>
    </row>
    <row r="17" spans="1:14" ht="23.1" customHeight="1">
      <c r="A17" s="604"/>
      <c r="B17" s="354" t="str">
        <f>인집!B16</f>
        <v>사무보조원</v>
      </c>
      <c r="C17" s="355"/>
      <c r="D17" s="353"/>
      <c r="E17" s="383" t="str">
        <f>인집!E16</f>
        <v>단순노무종사원</v>
      </c>
      <c r="F17" s="603"/>
      <c r="G17" s="384">
        <f>SUM(L17:N17)</f>
        <v>27</v>
      </c>
      <c r="H17" s="816"/>
      <c r="I17" s="314">
        <f>TRUNC(G17*H17,0)</f>
        <v>0</v>
      </c>
      <c r="J17" s="81"/>
      <c r="K17" s="385" t="str">
        <f>""&amp;L17&amp;"(월근무일수) + "&amp;M17&amp;"(휴일근무일수)"</f>
        <v>26(월근무일수) + 1(휴일근무일수)</v>
      </c>
      <c r="L17" s="74">
        <f>월기본급!I19</f>
        <v>26</v>
      </c>
      <c r="M17" s="380">
        <f>휴일근로!$E$8</f>
        <v>1</v>
      </c>
      <c r="N17" s="381"/>
    </row>
    <row r="18" spans="1:14" ht="20.100000000000001" customHeight="1">
      <c r="A18" s="114" t="str">
        <f>"주 1) 수량 : "&amp;월기본급!A1&amp;월기본급!A2&amp;" 참조"</f>
        <v>주 1) 수량 : &lt; 표 : 5 &gt; M/M당기본급산출표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view="pageBreakPreview" zoomScale="90" zoomScaleNormal="100" workbookViewId="0">
      <selection activeCell="H18" sqref="H18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492</v>
      </c>
    </row>
    <row r="2" spans="1:15" s="365" customFormat="1" ht="39.950000000000003" customHeight="1">
      <c r="A2" s="75" t="s">
        <v>464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61</v>
      </c>
      <c r="C5" s="328"/>
      <c r="D5" s="329"/>
      <c r="E5" s="328" t="s">
        <v>120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461</v>
      </c>
      <c r="M6" s="376"/>
      <c r="N6" s="376"/>
      <c r="O6" s="376"/>
    </row>
    <row r="7" spans="1:15" ht="23.1" customHeight="1">
      <c r="A7" s="370"/>
      <c r="B7" s="346">
        <f>인집!B6</f>
        <v>0</v>
      </c>
      <c r="C7" s="320"/>
      <c r="D7" s="337"/>
      <c r="E7" s="347">
        <f>인집!E6</f>
        <v>0</v>
      </c>
      <c r="F7" s="375"/>
      <c r="G7" s="378">
        <f>TRUNC(L7*M7/N7,2)</f>
        <v>0.16</v>
      </c>
      <c r="H7" s="255">
        <v>0</v>
      </c>
      <c r="I7" s="255">
        <f>TRUNC(G7*H7,0)</f>
        <v>0</v>
      </c>
      <c r="J7" s="80"/>
      <c r="K7" s="379" t="str">
        <f>""&amp;L7&amp;"인 × "&amp;M7&amp;"회/년 ÷ 12개월"</f>
        <v>1인 × 2회/년 ÷ 12개월</v>
      </c>
      <c r="L7" s="74">
        <v>1</v>
      </c>
      <c r="M7" s="380">
        <v>2</v>
      </c>
      <c r="N7" s="381">
        <v>12</v>
      </c>
    </row>
    <row r="8" spans="1:15" ht="23.1" customHeight="1">
      <c r="A8" s="370"/>
      <c r="B8" s="346">
        <f>인집!B7</f>
        <v>0</v>
      </c>
      <c r="C8" s="320"/>
      <c r="D8" s="337"/>
      <c r="E8" s="347">
        <f>인집!E7</f>
        <v>0</v>
      </c>
      <c r="F8" s="375"/>
      <c r="G8" s="378">
        <f t="shared" ref="G8:G16" si="0">TRUNC(L8*M8/N8,2)</f>
        <v>0.16</v>
      </c>
      <c r="H8" s="255">
        <v>0</v>
      </c>
      <c r="I8" s="255">
        <f t="shared" ref="I8:I16" si="1">TRUNC(G8*H8,0)</f>
        <v>0</v>
      </c>
      <c r="J8" s="80"/>
      <c r="K8" s="379" t="str">
        <f t="shared" ref="K8:K16" si="2">""&amp;L8&amp;"인 × "&amp;M8&amp;"회/년 ÷ 12개월"</f>
        <v>1인 × 2회/년 ÷ 12개월</v>
      </c>
      <c r="L8" s="74">
        <v>1</v>
      </c>
      <c r="M8" s="380">
        <v>2</v>
      </c>
      <c r="N8" s="381">
        <v>12</v>
      </c>
    </row>
    <row r="9" spans="1:15" ht="23.1" customHeight="1">
      <c r="A9" s="370"/>
      <c r="B9" s="346">
        <f>인집!B8</f>
        <v>0</v>
      </c>
      <c r="C9" s="320"/>
      <c r="D9" s="337"/>
      <c r="E9" s="347">
        <f>인집!E8</f>
        <v>0</v>
      </c>
      <c r="F9" s="375"/>
      <c r="G9" s="378">
        <f t="shared" si="0"/>
        <v>0.16</v>
      </c>
      <c r="H9" s="255">
        <v>0</v>
      </c>
      <c r="I9" s="255">
        <f t="shared" si="1"/>
        <v>0</v>
      </c>
      <c r="J9" s="80"/>
      <c r="K9" s="379" t="str">
        <f t="shared" si="2"/>
        <v>1인 × 2회/년 ÷ 12개월</v>
      </c>
      <c r="L9" s="74">
        <v>1</v>
      </c>
      <c r="M9" s="380">
        <v>2</v>
      </c>
      <c r="N9" s="381">
        <v>12</v>
      </c>
    </row>
    <row r="10" spans="1:15" ht="23.1" customHeight="1">
      <c r="A10" s="370"/>
      <c r="B10" s="346">
        <f>인집!B9</f>
        <v>0</v>
      </c>
      <c r="C10" s="320"/>
      <c r="D10" s="337"/>
      <c r="E10" s="347">
        <f>인집!E9</f>
        <v>0</v>
      </c>
      <c r="F10" s="375"/>
      <c r="G10" s="378">
        <f t="shared" si="0"/>
        <v>0.16</v>
      </c>
      <c r="H10" s="255">
        <v>0</v>
      </c>
      <c r="I10" s="255">
        <f t="shared" si="1"/>
        <v>0</v>
      </c>
      <c r="J10" s="80"/>
      <c r="K10" s="379" t="str">
        <f t="shared" si="2"/>
        <v>1인 × 2회/년 ÷ 12개월</v>
      </c>
      <c r="L10" s="74">
        <v>1</v>
      </c>
      <c r="M10" s="380">
        <v>2</v>
      </c>
      <c r="N10" s="381">
        <v>12</v>
      </c>
    </row>
    <row r="11" spans="1:15" ht="23.1" customHeight="1">
      <c r="A11" s="370"/>
      <c r="B11" s="346">
        <f>인집!B10</f>
        <v>0</v>
      </c>
      <c r="C11" s="320"/>
      <c r="D11" s="337"/>
      <c r="E11" s="347">
        <f>인집!E10</f>
        <v>0</v>
      </c>
      <c r="F11" s="375"/>
      <c r="G11" s="378">
        <f t="shared" si="0"/>
        <v>0.16</v>
      </c>
      <c r="H11" s="255">
        <v>0</v>
      </c>
      <c r="I11" s="255">
        <f t="shared" si="1"/>
        <v>0</v>
      </c>
      <c r="J11" s="80"/>
      <c r="K11" s="379" t="str">
        <f t="shared" si="2"/>
        <v>1인 × 2회/년 ÷ 12개월</v>
      </c>
      <c r="L11" s="74">
        <v>1</v>
      </c>
      <c r="M11" s="380">
        <v>2</v>
      </c>
      <c r="N11" s="381">
        <v>12</v>
      </c>
    </row>
    <row r="12" spans="1:15" ht="23.1" customHeight="1">
      <c r="A12" s="370"/>
      <c r="B12" s="346">
        <f>인집!B11</f>
        <v>0</v>
      </c>
      <c r="C12" s="320"/>
      <c r="D12" s="337"/>
      <c r="E12" s="347">
        <f>인집!E11</f>
        <v>0</v>
      </c>
      <c r="F12" s="375"/>
      <c r="G12" s="378">
        <f t="shared" si="0"/>
        <v>0.16</v>
      </c>
      <c r="H12" s="255">
        <v>0</v>
      </c>
      <c r="I12" s="255">
        <f t="shared" si="1"/>
        <v>0</v>
      </c>
      <c r="J12" s="80"/>
      <c r="K12" s="379" t="str">
        <f t="shared" si="2"/>
        <v>1인 × 2회/년 ÷ 12개월</v>
      </c>
      <c r="L12" s="74">
        <v>1</v>
      </c>
      <c r="M12" s="380">
        <v>2</v>
      </c>
      <c r="N12" s="381">
        <v>12</v>
      </c>
    </row>
    <row r="13" spans="1:15" ht="23.1" customHeight="1">
      <c r="A13" s="370"/>
      <c r="B13" s="346">
        <f>인집!B12</f>
        <v>0</v>
      </c>
      <c r="C13" s="320"/>
      <c r="D13" s="337"/>
      <c r="E13" s="347">
        <f>인집!E12</f>
        <v>0</v>
      </c>
      <c r="F13" s="375"/>
      <c r="G13" s="378">
        <f t="shared" si="0"/>
        <v>0.16</v>
      </c>
      <c r="H13" s="255">
        <v>0</v>
      </c>
      <c r="I13" s="255">
        <f t="shared" si="1"/>
        <v>0</v>
      </c>
      <c r="J13" s="80"/>
      <c r="K13" s="379" t="str">
        <f t="shared" si="2"/>
        <v>1인 × 2회/년 ÷ 12개월</v>
      </c>
      <c r="L13" s="74">
        <v>1</v>
      </c>
      <c r="M13" s="380">
        <v>2</v>
      </c>
      <c r="N13" s="381">
        <v>12</v>
      </c>
    </row>
    <row r="14" spans="1:15" ht="23.1" customHeight="1">
      <c r="A14" s="370"/>
      <c r="B14" s="346">
        <f>인집!B13</f>
        <v>0</v>
      </c>
      <c r="C14" s="320"/>
      <c r="D14" s="337"/>
      <c r="E14" s="347">
        <f>인집!E13</f>
        <v>0</v>
      </c>
      <c r="F14" s="375"/>
      <c r="G14" s="378">
        <f>TRUNC(L14*M14/N14,2)</f>
        <v>0.16</v>
      </c>
      <c r="H14" s="255">
        <v>0</v>
      </c>
      <c r="I14" s="255">
        <f>TRUNC(G14*H14,0)</f>
        <v>0</v>
      </c>
      <c r="J14" s="80"/>
      <c r="K14" s="379" t="str">
        <f>""&amp;L14&amp;"인 × "&amp;M14&amp;"회/년 ÷ 12개월"</f>
        <v>1인 × 2회/년 ÷ 12개월</v>
      </c>
      <c r="L14" s="74">
        <v>1</v>
      </c>
      <c r="M14" s="380">
        <v>2</v>
      </c>
      <c r="N14" s="381">
        <v>12</v>
      </c>
    </row>
    <row r="15" spans="1:15" ht="23.1" customHeight="1">
      <c r="A15" s="370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75"/>
      <c r="G15" s="378">
        <f t="shared" si="0"/>
        <v>0.16</v>
      </c>
      <c r="H15" s="255">
        <v>0</v>
      </c>
      <c r="I15" s="255">
        <f t="shared" si="1"/>
        <v>0</v>
      </c>
      <c r="J15" s="80"/>
      <c r="K15" s="379" t="str">
        <f t="shared" si="2"/>
        <v>1인 × 2회/년 ÷ 12개월</v>
      </c>
      <c r="L15" s="74">
        <v>1</v>
      </c>
      <c r="M15" s="380">
        <v>2</v>
      </c>
      <c r="N15" s="381">
        <v>12</v>
      </c>
    </row>
    <row r="16" spans="1:15" ht="23.1" customHeight="1">
      <c r="A16" s="370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75"/>
      <c r="G16" s="378">
        <f t="shared" si="0"/>
        <v>0.16</v>
      </c>
      <c r="H16" s="255">
        <v>0</v>
      </c>
      <c r="I16" s="255">
        <f t="shared" si="1"/>
        <v>0</v>
      </c>
      <c r="J16" s="80"/>
      <c r="K16" s="379" t="str">
        <f t="shared" si="2"/>
        <v>1인 × 2회/년 ÷ 12개월</v>
      </c>
      <c r="L16" s="74">
        <v>1</v>
      </c>
      <c r="M16" s="380">
        <v>2</v>
      </c>
      <c r="N16" s="381">
        <v>12</v>
      </c>
    </row>
    <row r="17" spans="1:14" ht="23.1" customHeight="1">
      <c r="A17" s="604"/>
      <c r="B17" s="354" t="str">
        <f>인집!B16</f>
        <v>사무보조원</v>
      </c>
      <c r="C17" s="355"/>
      <c r="D17" s="353"/>
      <c r="E17" s="383" t="str">
        <f>인집!E16</f>
        <v>단순노무종사원</v>
      </c>
      <c r="F17" s="603"/>
      <c r="G17" s="384">
        <f>TRUNC(L17*M17/N17,2)</f>
        <v>0.16</v>
      </c>
      <c r="H17" s="314">
        <v>0</v>
      </c>
      <c r="I17" s="314">
        <f>TRUNC(G17*H17,0)</f>
        <v>0</v>
      </c>
      <c r="J17" s="81"/>
      <c r="K17" s="385" t="str">
        <f>""&amp;L17&amp;"인 × "&amp;M17&amp;"회/년 ÷ 12개월"</f>
        <v>1인 × 2회/년 ÷ 12개월</v>
      </c>
      <c r="L17" s="74">
        <v>1</v>
      </c>
      <c r="M17" s="380">
        <v>2</v>
      </c>
      <c r="N17" s="381">
        <v>12</v>
      </c>
    </row>
    <row r="18" spans="1:14" ht="20.100000000000001" customHeight="1">
      <c r="A18" s="114" t="str">
        <f>"주 1) 수량 : 전문업체 지급실적 참조"</f>
        <v>주 1) 수량 : 전문업체 지급실적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view="pageBreakPreview" zoomScale="90" zoomScaleNormal="100" workbookViewId="0">
      <selection activeCell="H18" sqref="H18"/>
    </sheetView>
  </sheetViews>
  <sheetFormatPr defaultRowHeight="29.25" customHeight="1"/>
  <cols>
    <col min="1" max="1" width="2.7109375" style="105" customWidth="1"/>
    <col min="2" max="2" width="14.7109375" style="116" customWidth="1"/>
    <col min="3" max="3" width="2.7109375" style="105" customWidth="1"/>
    <col min="4" max="4" width="1.7109375" style="106" customWidth="1"/>
    <col min="5" max="5" width="15.7109375" style="85" customWidth="1"/>
    <col min="6" max="6" width="1.7109375" style="106" customWidth="1"/>
    <col min="7" max="8" width="10.7109375" style="106" customWidth="1"/>
    <col min="9" max="9" width="12.7109375" style="106" customWidth="1"/>
    <col min="10" max="10" width="0.85546875" style="106" customWidth="1"/>
    <col min="11" max="11" width="70" style="106" customWidth="1"/>
    <col min="12" max="14" width="0" style="74" hidden="1" customWidth="1"/>
    <col min="15" max="16384" width="9.140625" style="74"/>
  </cols>
  <sheetData>
    <row r="1" spans="1:15" ht="23.25" customHeight="1">
      <c r="A1" s="74" t="s">
        <v>365</v>
      </c>
    </row>
    <row r="2" spans="1:15" s="365" customFormat="1" ht="39.950000000000003" customHeight="1">
      <c r="A2" s="75" t="s">
        <v>460</v>
      </c>
      <c r="B2" s="107"/>
      <c r="C2" s="75"/>
      <c r="D2" s="364"/>
      <c r="E2" s="110"/>
      <c r="F2" s="364"/>
      <c r="G2" s="364"/>
      <c r="H2" s="364"/>
      <c r="I2" s="364"/>
      <c r="J2" s="364"/>
      <c r="K2" s="364"/>
    </row>
    <row r="3" spans="1:15" s="365" customFormat="1" ht="15" customHeight="1">
      <c r="A3" s="75"/>
      <c r="B3" s="107"/>
      <c r="C3" s="75"/>
      <c r="D3" s="364"/>
      <c r="E3" s="110"/>
      <c r="F3" s="364"/>
      <c r="G3" s="364"/>
      <c r="H3" s="364"/>
      <c r="I3" s="364"/>
      <c r="J3" s="364"/>
      <c r="K3" s="364"/>
    </row>
    <row r="4" spans="1:15" ht="20.100000000000001" customHeight="1">
      <c r="A4" s="115"/>
      <c r="K4" s="366" t="s">
        <v>36</v>
      </c>
    </row>
    <row r="5" spans="1:15" ht="42" customHeight="1">
      <c r="A5" s="133" t="s">
        <v>171</v>
      </c>
      <c r="B5" s="328" t="s">
        <v>61</v>
      </c>
      <c r="C5" s="328"/>
      <c r="D5" s="329"/>
      <c r="E5" s="328" t="s">
        <v>120</v>
      </c>
      <c r="F5" s="367"/>
      <c r="G5" s="368" t="s">
        <v>115</v>
      </c>
      <c r="H5" s="368" t="s">
        <v>116</v>
      </c>
      <c r="I5" s="368" t="s">
        <v>34</v>
      </c>
      <c r="J5" s="369" t="s">
        <v>117</v>
      </c>
      <c r="K5" s="367"/>
    </row>
    <row r="6" spans="1:15" s="377" customFormat="1" ht="23.1" customHeight="1">
      <c r="A6" s="370"/>
      <c r="B6" s="116"/>
      <c r="C6" s="371"/>
      <c r="D6" s="370"/>
      <c r="E6" s="372"/>
      <c r="F6" s="116"/>
      <c r="G6" s="370" t="s">
        <v>49</v>
      </c>
      <c r="H6" s="370" t="s">
        <v>10</v>
      </c>
      <c r="I6" s="373"/>
      <c r="J6" s="374"/>
      <c r="K6" s="375"/>
      <c r="L6" s="376" t="s">
        <v>461</v>
      </c>
      <c r="M6" s="376"/>
      <c r="N6" s="376"/>
      <c r="O6" s="376"/>
    </row>
    <row r="7" spans="1:15" ht="23.1" customHeight="1">
      <c r="A7" s="370"/>
      <c r="B7" s="346">
        <f>인집!B6</f>
        <v>0</v>
      </c>
      <c r="C7" s="320"/>
      <c r="D7" s="337"/>
      <c r="E7" s="347">
        <f>인집!E6</f>
        <v>0</v>
      </c>
      <c r="F7" s="375"/>
      <c r="G7" s="378">
        <f>TRUNC(L7*M7/N7,2)</f>
        <v>0.16</v>
      </c>
      <c r="H7" s="255">
        <v>0</v>
      </c>
      <c r="I7" s="255">
        <f>TRUNC(G7*H7,0)</f>
        <v>0</v>
      </c>
      <c r="J7" s="80"/>
      <c r="K7" s="379" t="str">
        <f>""&amp;L7&amp;"인 × "&amp;M7&amp;"착/년 ÷ 12개월"</f>
        <v>1인 × 2착/년 ÷ 12개월</v>
      </c>
      <c r="L7" s="74">
        <v>1</v>
      </c>
      <c r="M7" s="380">
        <v>2</v>
      </c>
      <c r="N7" s="381">
        <v>12</v>
      </c>
    </row>
    <row r="8" spans="1:15" ht="23.1" customHeight="1">
      <c r="A8" s="370"/>
      <c r="B8" s="346">
        <f>인집!B7</f>
        <v>0</v>
      </c>
      <c r="C8" s="320"/>
      <c r="D8" s="337"/>
      <c r="E8" s="347">
        <f>인집!E7</f>
        <v>0</v>
      </c>
      <c r="F8" s="375"/>
      <c r="G8" s="378">
        <f t="shared" ref="G8:G16" si="0">TRUNC(L8*M8/N8,2)</f>
        <v>0.16</v>
      </c>
      <c r="H8" s="255">
        <v>0</v>
      </c>
      <c r="I8" s="255">
        <f t="shared" ref="I8:I16" si="1">TRUNC(G8*H8,0)</f>
        <v>0</v>
      </c>
      <c r="J8" s="80"/>
      <c r="K8" s="379" t="str">
        <f t="shared" ref="K8:K16" si="2">""&amp;L8&amp;"인 × "&amp;M8&amp;"벌/년 ÷ 12개월"</f>
        <v>1인 × 2벌/년 ÷ 12개월</v>
      </c>
      <c r="L8" s="74">
        <v>1</v>
      </c>
      <c r="M8" s="380">
        <v>2</v>
      </c>
      <c r="N8" s="381">
        <v>12</v>
      </c>
    </row>
    <row r="9" spans="1:15" ht="23.1" customHeight="1">
      <c r="A9" s="370"/>
      <c r="B9" s="346">
        <f>인집!B8</f>
        <v>0</v>
      </c>
      <c r="C9" s="320"/>
      <c r="D9" s="337"/>
      <c r="E9" s="347">
        <f>인집!E8</f>
        <v>0</v>
      </c>
      <c r="F9" s="375"/>
      <c r="G9" s="378">
        <f t="shared" si="0"/>
        <v>0.16</v>
      </c>
      <c r="H9" s="255">
        <v>0</v>
      </c>
      <c r="I9" s="255">
        <f t="shared" si="1"/>
        <v>0</v>
      </c>
      <c r="J9" s="80"/>
      <c r="K9" s="379" t="str">
        <f t="shared" si="2"/>
        <v>1인 × 2벌/년 ÷ 12개월</v>
      </c>
      <c r="L9" s="74">
        <v>1</v>
      </c>
      <c r="M9" s="380">
        <v>2</v>
      </c>
      <c r="N9" s="381">
        <v>12</v>
      </c>
    </row>
    <row r="10" spans="1:15" ht="23.1" customHeight="1">
      <c r="A10" s="370"/>
      <c r="B10" s="346">
        <f>인집!B9</f>
        <v>0</v>
      </c>
      <c r="C10" s="320"/>
      <c r="D10" s="337"/>
      <c r="E10" s="347">
        <f>인집!E9</f>
        <v>0</v>
      </c>
      <c r="F10" s="375"/>
      <c r="G10" s="378">
        <f t="shared" si="0"/>
        <v>0.16</v>
      </c>
      <c r="H10" s="255">
        <v>0</v>
      </c>
      <c r="I10" s="255">
        <f t="shared" si="1"/>
        <v>0</v>
      </c>
      <c r="J10" s="80"/>
      <c r="K10" s="379" t="str">
        <f t="shared" si="2"/>
        <v>1인 × 2벌/년 ÷ 12개월</v>
      </c>
      <c r="L10" s="74">
        <v>1</v>
      </c>
      <c r="M10" s="380">
        <v>2</v>
      </c>
      <c r="N10" s="381">
        <v>12</v>
      </c>
    </row>
    <row r="11" spans="1:15" ht="23.1" customHeight="1">
      <c r="A11" s="370"/>
      <c r="B11" s="346">
        <f>인집!B10</f>
        <v>0</v>
      </c>
      <c r="C11" s="320"/>
      <c r="D11" s="337"/>
      <c r="E11" s="347">
        <f>인집!E10</f>
        <v>0</v>
      </c>
      <c r="F11" s="375"/>
      <c r="G11" s="378">
        <f t="shared" si="0"/>
        <v>0.16</v>
      </c>
      <c r="H11" s="255">
        <v>0</v>
      </c>
      <c r="I11" s="255">
        <f t="shared" si="1"/>
        <v>0</v>
      </c>
      <c r="J11" s="80"/>
      <c r="K11" s="379" t="str">
        <f t="shared" si="2"/>
        <v>1인 × 2벌/년 ÷ 12개월</v>
      </c>
      <c r="L11" s="74">
        <v>1</v>
      </c>
      <c r="M11" s="380">
        <v>2</v>
      </c>
      <c r="N11" s="381">
        <v>12</v>
      </c>
    </row>
    <row r="12" spans="1:15" ht="23.1" customHeight="1">
      <c r="A12" s="370"/>
      <c r="B12" s="346">
        <f>인집!B11</f>
        <v>0</v>
      </c>
      <c r="C12" s="320"/>
      <c r="D12" s="337"/>
      <c r="E12" s="347">
        <f>인집!E11</f>
        <v>0</v>
      </c>
      <c r="F12" s="375"/>
      <c r="G12" s="378">
        <f t="shared" si="0"/>
        <v>0.16</v>
      </c>
      <c r="H12" s="255">
        <v>0</v>
      </c>
      <c r="I12" s="255">
        <f t="shared" si="1"/>
        <v>0</v>
      </c>
      <c r="J12" s="80"/>
      <c r="K12" s="379" t="str">
        <f t="shared" si="2"/>
        <v>1인 × 2벌/년 ÷ 12개월</v>
      </c>
      <c r="L12" s="74">
        <v>1</v>
      </c>
      <c r="M12" s="380">
        <v>2</v>
      </c>
      <c r="N12" s="381">
        <v>12</v>
      </c>
    </row>
    <row r="13" spans="1:15" ht="23.1" customHeight="1">
      <c r="A13" s="370"/>
      <c r="B13" s="346">
        <f>인집!B12</f>
        <v>0</v>
      </c>
      <c r="C13" s="320"/>
      <c r="D13" s="337"/>
      <c r="E13" s="347">
        <f>인집!E12</f>
        <v>0</v>
      </c>
      <c r="F13" s="375"/>
      <c r="G13" s="378">
        <f t="shared" si="0"/>
        <v>0.16</v>
      </c>
      <c r="H13" s="255">
        <v>0</v>
      </c>
      <c r="I13" s="255">
        <f t="shared" si="1"/>
        <v>0</v>
      </c>
      <c r="J13" s="80"/>
      <c r="K13" s="379" t="str">
        <f t="shared" si="2"/>
        <v>1인 × 2벌/년 ÷ 12개월</v>
      </c>
      <c r="L13" s="74">
        <v>1</v>
      </c>
      <c r="M13" s="380">
        <v>2</v>
      </c>
      <c r="N13" s="381">
        <v>12</v>
      </c>
    </row>
    <row r="14" spans="1:15" ht="23.1" customHeight="1">
      <c r="A14" s="370"/>
      <c r="B14" s="346">
        <f>인집!B13</f>
        <v>0</v>
      </c>
      <c r="C14" s="320"/>
      <c r="D14" s="337"/>
      <c r="E14" s="347">
        <f>인집!E13</f>
        <v>0</v>
      </c>
      <c r="F14" s="375"/>
      <c r="G14" s="378">
        <f>TRUNC(L14*M14/N14,2)</f>
        <v>0.16</v>
      </c>
      <c r="H14" s="255">
        <v>0</v>
      </c>
      <c r="I14" s="255">
        <f>TRUNC(G14*H14,0)</f>
        <v>0</v>
      </c>
      <c r="J14" s="80"/>
      <c r="K14" s="379" t="str">
        <f>""&amp;L14&amp;"인 × "&amp;M14&amp;"벌/년 ÷ 12개월"</f>
        <v>1인 × 2벌/년 ÷ 12개월</v>
      </c>
      <c r="L14" s="74">
        <v>1</v>
      </c>
      <c r="M14" s="380">
        <v>2</v>
      </c>
      <c r="N14" s="381">
        <v>12</v>
      </c>
    </row>
    <row r="15" spans="1:15" ht="23.1" customHeight="1">
      <c r="A15" s="370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75"/>
      <c r="G15" s="378">
        <f t="shared" si="0"/>
        <v>0.16</v>
      </c>
      <c r="H15" s="255">
        <v>0</v>
      </c>
      <c r="I15" s="255">
        <f t="shared" si="1"/>
        <v>0</v>
      </c>
      <c r="J15" s="80"/>
      <c r="K15" s="379" t="str">
        <f t="shared" si="2"/>
        <v>1인 × 2벌/년 ÷ 12개월</v>
      </c>
      <c r="L15" s="74">
        <v>1</v>
      </c>
      <c r="M15" s="380">
        <v>2</v>
      </c>
      <c r="N15" s="381">
        <v>12</v>
      </c>
    </row>
    <row r="16" spans="1:15" ht="23.1" customHeight="1">
      <c r="A16" s="370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75"/>
      <c r="G16" s="378">
        <f t="shared" si="0"/>
        <v>0.16</v>
      </c>
      <c r="H16" s="255">
        <v>0</v>
      </c>
      <c r="I16" s="255">
        <f t="shared" si="1"/>
        <v>0</v>
      </c>
      <c r="J16" s="80"/>
      <c r="K16" s="379" t="str">
        <f t="shared" si="2"/>
        <v>1인 × 2벌/년 ÷ 12개월</v>
      </c>
      <c r="L16" s="74">
        <v>1</v>
      </c>
      <c r="M16" s="380">
        <v>2</v>
      </c>
      <c r="N16" s="381">
        <v>12</v>
      </c>
    </row>
    <row r="17" spans="1:14" ht="23.1" customHeight="1">
      <c r="A17" s="604"/>
      <c r="B17" s="354" t="str">
        <f>인집!B16</f>
        <v>사무보조원</v>
      </c>
      <c r="C17" s="355"/>
      <c r="D17" s="353"/>
      <c r="E17" s="383" t="str">
        <f>인집!E16</f>
        <v>단순노무종사원</v>
      </c>
      <c r="F17" s="603"/>
      <c r="G17" s="384">
        <f>TRUNC(L17*M17/N17,2)</f>
        <v>0.16</v>
      </c>
      <c r="H17" s="314">
        <v>0</v>
      </c>
      <c r="I17" s="314">
        <f>TRUNC(G17*H17,0)</f>
        <v>0</v>
      </c>
      <c r="J17" s="81"/>
      <c r="K17" s="385" t="str">
        <f>""&amp;L17&amp;"인 × "&amp;M17&amp;"벌/년 ÷ 12개월"</f>
        <v>1인 × 2벌/년 ÷ 12개월</v>
      </c>
      <c r="L17" s="74">
        <v>1</v>
      </c>
      <c r="M17" s="380">
        <v>2</v>
      </c>
      <c r="N17" s="381">
        <v>12</v>
      </c>
    </row>
    <row r="18" spans="1:14" ht="20.100000000000001" customHeight="1">
      <c r="A18" s="114" t="str">
        <f>"주 1) 수량 : 전문업체 지급실적 참조"</f>
        <v>주 1) 수량 : 전문업체 지급실적 참조</v>
      </c>
    </row>
    <row r="19" spans="1:14" ht="20.100000000000001" customHeight="1">
      <c r="A19" s="114" t="s">
        <v>172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L23"/>
  <sheetViews>
    <sheetView showGridLines="0" showZeros="0" view="pageBreakPreview" zoomScaleNormal="100" workbookViewId="0">
      <selection activeCell="G18" sqref="G18"/>
    </sheetView>
  </sheetViews>
  <sheetFormatPr defaultRowHeight="27" customHeight="1"/>
  <cols>
    <col min="1" max="1" width="1.7109375" style="319" customWidth="1"/>
    <col min="2" max="2" width="14.7109375" style="319" customWidth="1"/>
    <col min="3" max="3" width="1.7109375" style="319" customWidth="1"/>
    <col min="4" max="4" width="1.7109375" style="320" customWidth="1"/>
    <col min="5" max="5" width="15.7109375" style="320" customWidth="1"/>
    <col min="6" max="6" width="1.7109375" style="320" customWidth="1"/>
    <col min="7" max="7" width="14.7109375" style="319" customWidth="1"/>
    <col min="8" max="8" width="2.7109375" style="319" customWidth="1"/>
    <col min="9" max="9" width="9.7109375" style="319" customWidth="1"/>
    <col min="10" max="10" width="13.7109375" style="321" customWidth="1"/>
    <col min="11" max="11" width="3.7109375" style="322" customWidth="1"/>
    <col min="12" max="12" width="13.42578125" style="321" customWidth="1"/>
    <col min="13" max="16384" width="9.140625" style="319"/>
  </cols>
  <sheetData>
    <row r="1" spans="1:12" ht="20.100000000000001" customHeight="1">
      <c r="A1" s="317" t="s">
        <v>433</v>
      </c>
      <c r="B1" s="318"/>
      <c r="I1" s="320"/>
    </row>
    <row r="2" spans="1:12" s="313" customFormat="1" ht="39.950000000000003" customHeight="1">
      <c r="A2" s="232" t="s">
        <v>241</v>
      </c>
      <c r="B2" s="232"/>
      <c r="C2" s="232"/>
      <c r="D2" s="312"/>
      <c r="E2" s="312"/>
      <c r="F2" s="312"/>
      <c r="G2" s="232"/>
      <c r="H2" s="232"/>
      <c r="I2" s="232"/>
      <c r="J2" s="232"/>
      <c r="K2" s="312"/>
      <c r="L2" s="232"/>
    </row>
    <row r="3" spans="1:12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312"/>
      <c r="L3" s="232"/>
    </row>
    <row r="4" spans="1:12" ht="20.100000000000001" customHeight="1">
      <c r="A4" s="323"/>
      <c r="B4" s="320"/>
      <c r="C4" s="320"/>
      <c r="G4" s="324"/>
      <c r="H4" s="324"/>
      <c r="I4" s="325"/>
      <c r="J4" s="326"/>
      <c r="K4" s="326"/>
      <c r="L4" s="236" t="s">
        <v>279</v>
      </c>
    </row>
    <row r="5" spans="1:12" s="320" customFormat="1" ht="50.1" customHeight="1">
      <c r="A5" s="327"/>
      <c r="B5" s="328" t="s">
        <v>207</v>
      </c>
      <c r="C5" s="328"/>
      <c r="D5" s="329"/>
      <c r="E5" s="328" t="s">
        <v>239</v>
      </c>
      <c r="F5" s="330"/>
      <c r="G5" s="331" t="s">
        <v>244</v>
      </c>
      <c r="H5" s="332"/>
      <c r="I5" s="333" t="s">
        <v>206</v>
      </c>
      <c r="J5" s="334" t="s">
        <v>240</v>
      </c>
      <c r="K5" s="335"/>
      <c r="L5" s="336" t="s">
        <v>245</v>
      </c>
    </row>
    <row r="6" spans="1:12" s="320" customFormat="1" ht="9.9499999999999993" customHeight="1">
      <c r="A6" s="337"/>
      <c r="B6" s="338"/>
      <c r="C6" s="338"/>
      <c r="D6" s="339"/>
      <c r="E6" s="338"/>
      <c r="F6" s="340"/>
      <c r="G6" s="341"/>
      <c r="H6" s="342"/>
      <c r="I6" s="340"/>
      <c r="J6" s="343"/>
      <c r="K6" s="344"/>
      <c r="L6" s="345"/>
    </row>
    <row r="7" spans="1:12" ht="30" customHeight="1">
      <c r="A7" s="337"/>
      <c r="B7" s="320"/>
      <c r="C7" s="320"/>
      <c r="D7" s="337"/>
      <c r="F7" s="348"/>
      <c r="G7" s="339" t="s">
        <v>208</v>
      </c>
      <c r="H7" s="340"/>
      <c r="I7" s="342" t="s">
        <v>246</v>
      </c>
      <c r="J7" s="343"/>
      <c r="K7" s="344"/>
      <c r="L7" s="345"/>
    </row>
    <row r="8" spans="1:12" ht="30" customHeight="1">
      <c r="A8" s="337"/>
      <c r="B8" s="346">
        <f>인집!B6</f>
        <v>0</v>
      </c>
      <c r="C8" s="320"/>
      <c r="D8" s="337"/>
      <c r="E8" s="347">
        <f>인집!E6</f>
        <v>0</v>
      </c>
      <c r="F8" s="348"/>
      <c r="G8" s="349">
        <f>인집!K6-인집!J6</f>
        <v>0</v>
      </c>
      <c r="H8" s="350"/>
      <c r="I8" s="363">
        <v>0.5</v>
      </c>
      <c r="J8" s="349">
        <f t="shared" ref="J8:J17" si="0">TRUNC(G8*I8%,0)</f>
        <v>0</v>
      </c>
      <c r="K8" s="350"/>
      <c r="L8" s="352"/>
    </row>
    <row r="9" spans="1:12" ht="30" customHeight="1">
      <c r="A9" s="337"/>
      <c r="B9" s="346">
        <f>인집!B7</f>
        <v>0</v>
      </c>
      <c r="C9" s="320"/>
      <c r="D9" s="337"/>
      <c r="E9" s="347">
        <f>인집!E7</f>
        <v>0</v>
      </c>
      <c r="F9" s="348"/>
      <c r="G9" s="349">
        <f>인집!K7-인집!J7</f>
        <v>0</v>
      </c>
      <c r="H9" s="350"/>
      <c r="I9" s="363">
        <f t="shared" ref="I9:I18" si="1">I8</f>
        <v>0.5</v>
      </c>
      <c r="J9" s="349">
        <f t="shared" si="0"/>
        <v>0</v>
      </c>
      <c r="K9" s="350"/>
      <c r="L9" s="352"/>
    </row>
    <row r="10" spans="1:12" ht="30" customHeight="1">
      <c r="A10" s="337"/>
      <c r="B10" s="346">
        <f>인집!B8</f>
        <v>0</v>
      </c>
      <c r="C10" s="320"/>
      <c r="D10" s="337"/>
      <c r="E10" s="347">
        <f>인집!E8</f>
        <v>0</v>
      </c>
      <c r="F10" s="348"/>
      <c r="G10" s="349">
        <f>인집!K8-인집!J8</f>
        <v>0</v>
      </c>
      <c r="H10" s="350"/>
      <c r="I10" s="363">
        <f t="shared" si="1"/>
        <v>0.5</v>
      </c>
      <c r="J10" s="349">
        <f t="shared" si="0"/>
        <v>0</v>
      </c>
      <c r="K10" s="350"/>
      <c r="L10" s="352"/>
    </row>
    <row r="11" spans="1:12" ht="30" customHeight="1">
      <c r="A11" s="337"/>
      <c r="B11" s="346">
        <f>인집!B9</f>
        <v>0</v>
      </c>
      <c r="C11" s="320"/>
      <c r="D11" s="337"/>
      <c r="E11" s="347">
        <f>인집!E9</f>
        <v>0</v>
      </c>
      <c r="F11" s="348"/>
      <c r="G11" s="349">
        <f>인집!K9-인집!J9</f>
        <v>0</v>
      </c>
      <c r="H11" s="350"/>
      <c r="I11" s="363">
        <f t="shared" si="1"/>
        <v>0.5</v>
      </c>
      <c r="J11" s="349">
        <f t="shared" si="0"/>
        <v>0</v>
      </c>
      <c r="K11" s="350"/>
      <c r="L11" s="352"/>
    </row>
    <row r="12" spans="1:12" ht="30" customHeight="1">
      <c r="A12" s="337"/>
      <c r="B12" s="346">
        <f>인집!B10</f>
        <v>0</v>
      </c>
      <c r="C12" s="320"/>
      <c r="D12" s="337"/>
      <c r="E12" s="347">
        <f>인집!E10</f>
        <v>0</v>
      </c>
      <c r="F12" s="348"/>
      <c r="G12" s="349">
        <f>인집!K10-인집!J10</f>
        <v>0</v>
      </c>
      <c r="H12" s="350"/>
      <c r="I12" s="363">
        <f t="shared" si="1"/>
        <v>0.5</v>
      </c>
      <c r="J12" s="349">
        <f t="shared" si="0"/>
        <v>0</v>
      </c>
      <c r="K12" s="350"/>
      <c r="L12" s="352"/>
    </row>
    <row r="13" spans="1:12" ht="30" customHeight="1">
      <c r="A13" s="337"/>
      <c r="B13" s="346">
        <f>인집!B11</f>
        <v>0</v>
      </c>
      <c r="C13" s="320"/>
      <c r="D13" s="337"/>
      <c r="E13" s="347">
        <f>인집!E11</f>
        <v>0</v>
      </c>
      <c r="F13" s="348"/>
      <c r="G13" s="349">
        <f>인집!K11-인집!J11</f>
        <v>0</v>
      </c>
      <c r="H13" s="350"/>
      <c r="I13" s="363">
        <f t="shared" si="1"/>
        <v>0.5</v>
      </c>
      <c r="J13" s="349">
        <f t="shared" si="0"/>
        <v>0</v>
      </c>
      <c r="K13" s="350"/>
      <c r="L13" s="352"/>
    </row>
    <row r="14" spans="1:12" ht="30" customHeight="1">
      <c r="A14" s="337"/>
      <c r="B14" s="346">
        <f>인집!B12</f>
        <v>0</v>
      </c>
      <c r="C14" s="320"/>
      <c r="D14" s="337"/>
      <c r="E14" s="347">
        <f>인집!E12</f>
        <v>0</v>
      </c>
      <c r="F14" s="348"/>
      <c r="G14" s="349">
        <f>인집!K12-인집!J12</f>
        <v>0</v>
      </c>
      <c r="H14" s="350"/>
      <c r="I14" s="363">
        <f t="shared" si="1"/>
        <v>0.5</v>
      </c>
      <c r="J14" s="349">
        <f t="shared" si="0"/>
        <v>0</v>
      </c>
      <c r="K14" s="350"/>
      <c r="L14" s="352"/>
    </row>
    <row r="15" spans="1:12" ht="30" customHeight="1">
      <c r="A15" s="337"/>
      <c r="B15" s="346">
        <f>인집!B13</f>
        <v>0</v>
      </c>
      <c r="C15" s="320"/>
      <c r="D15" s="337"/>
      <c r="E15" s="347">
        <f>인집!E13</f>
        <v>0</v>
      </c>
      <c r="F15" s="348"/>
      <c r="G15" s="349">
        <f>인집!K13-인집!J13</f>
        <v>0</v>
      </c>
      <c r="H15" s="350"/>
      <c r="I15" s="363">
        <f t="shared" si="1"/>
        <v>0.5</v>
      </c>
      <c r="J15" s="349">
        <f>TRUNC(G15*I15%,0)</f>
        <v>0</v>
      </c>
      <c r="K15" s="350"/>
      <c r="L15" s="352"/>
    </row>
    <row r="16" spans="1:12" ht="30" customHeight="1">
      <c r="A16" s="337"/>
      <c r="B16" s="346" t="str">
        <f>인집!B14</f>
        <v>다산홀운영</v>
      </c>
      <c r="C16" s="320"/>
      <c r="D16" s="337"/>
      <c r="E16" s="347" t="str">
        <f>인집!E14</f>
        <v>전기기능사</v>
      </c>
      <c r="F16" s="348"/>
      <c r="G16" s="349">
        <f>인집!K14-인집!J14</f>
        <v>2872069</v>
      </c>
      <c r="H16" s="350"/>
      <c r="I16" s="363">
        <f>I14</f>
        <v>0.5</v>
      </c>
      <c r="J16" s="349">
        <f t="shared" si="0"/>
        <v>14360</v>
      </c>
      <c r="K16" s="350"/>
      <c r="L16" s="352"/>
    </row>
    <row r="17" spans="1:12" ht="30" customHeight="1">
      <c r="A17" s="337"/>
      <c r="B17" s="346" t="str">
        <f>인집!B15</f>
        <v>운 전 원</v>
      </c>
      <c r="C17" s="320"/>
      <c r="D17" s="337"/>
      <c r="E17" s="347" t="str">
        <f>인집!E15</f>
        <v>단순노무종사원</v>
      </c>
      <c r="F17" s="348"/>
      <c r="G17" s="349">
        <f>인집!K15-인집!J15</f>
        <v>2624329</v>
      </c>
      <c r="H17" s="350"/>
      <c r="I17" s="363">
        <f t="shared" si="1"/>
        <v>0.5</v>
      </c>
      <c r="J17" s="349">
        <f t="shared" si="0"/>
        <v>13121</v>
      </c>
      <c r="K17" s="350"/>
      <c r="L17" s="352"/>
    </row>
    <row r="18" spans="1:12" ht="30" customHeight="1">
      <c r="A18" s="337"/>
      <c r="B18" s="346" t="str">
        <f>인집!B16</f>
        <v>사무보조원</v>
      </c>
      <c r="C18" s="320"/>
      <c r="D18" s="337"/>
      <c r="E18" s="347" t="str">
        <f>인집!E16</f>
        <v>단순노무종사원</v>
      </c>
      <c r="F18" s="348"/>
      <c r="G18" s="349">
        <f>인집!K16-인집!J16</f>
        <v>2126301</v>
      </c>
      <c r="H18" s="350"/>
      <c r="I18" s="363">
        <f t="shared" si="1"/>
        <v>0.5</v>
      </c>
      <c r="J18" s="349">
        <f>TRUNC(G18*I18%,0)</f>
        <v>10631</v>
      </c>
      <c r="K18" s="350"/>
      <c r="L18" s="352"/>
    </row>
    <row r="19" spans="1:12" ht="9.9499999999999993" customHeight="1">
      <c r="A19" s="353"/>
      <c r="B19" s="354"/>
      <c r="C19" s="355"/>
      <c r="D19" s="353"/>
      <c r="E19" s="355"/>
      <c r="F19" s="356"/>
      <c r="G19" s="357"/>
      <c r="H19" s="358"/>
      <c r="I19" s="359"/>
      <c r="J19" s="360"/>
      <c r="K19" s="361"/>
      <c r="L19" s="362"/>
    </row>
    <row r="20" spans="1:12" ht="24.95" customHeight="1">
      <c r="A20" s="317" t="str">
        <f>"주 1) 적용대상액(급여액) : "&amp;인집!A1&amp;인집!A2&amp;" 참조"</f>
        <v>주 1) 적용대상액(급여액) : &lt; 표 : 3 &gt; 단위당인건비집계표 참조</v>
      </c>
      <c r="B20" s="317"/>
      <c r="I20" s="320"/>
    </row>
    <row r="21" spans="1:12" ht="24.95" customHeight="1">
      <c r="A21" s="317" t="s">
        <v>517</v>
      </c>
      <c r="B21" s="318"/>
      <c r="I21" s="320"/>
    </row>
    <row r="22" spans="1:12" ht="27" customHeight="1">
      <c r="A22" s="318"/>
      <c r="B22" s="317"/>
      <c r="I22" s="320"/>
    </row>
    <row r="23" spans="1:12" ht="27" customHeight="1">
      <c r="B23" s="317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L21"/>
  <sheetViews>
    <sheetView showGridLines="0" showZeros="0" view="pageBreakPreview" zoomScaleNormal="100" workbookViewId="0">
      <selection activeCell="G19" sqref="G19"/>
    </sheetView>
  </sheetViews>
  <sheetFormatPr defaultRowHeight="27" customHeight="1"/>
  <cols>
    <col min="1" max="1" width="1.7109375" style="319" customWidth="1"/>
    <col min="2" max="2" width="14.7109375" style="319" customWidth="1"/>
    <col min="3" max="3" width="1.7109375" style="319" customWidth="1"/>
    <col min="4" max="4" width="1.7109375" style="320" customWidth="1"/>
    <col min="5" max="5" width="15.7109375" style="320" customWidth="1"/>
    <col min="6" max="6" width="1.7109375" style="320" customWidth="1"/>
    <col min="7" max="7" width="12.7109375" style="319" customWidth="1"/>
    <col min="8" max="8" width="1.7109375" style="319" customWidth="1"/>
    <col min="9" max="9" width="9.7109375" style="319" customWidth="1"/>
    <col min="10" max="10" width="13.7109375" style="321" customWidth="1"/>
    <col min="11" max="11" width="2.7109375" style="322" customWidth="1"/>
    <col min="12" max="12" width="17.5703125" style="321" customWidth="1"/>
    <col min="13" max="16384" width="9.140625" style="319"/>
  </cols>
  <sheetData>
    <row r="1" spans="1:12" ht="20.100000000000001" customHeight="1">
      <c r="A1" s="317" t="s">
        <v>429</v>
      </c>
      <c r="B1" s="318"/>
      <c r="I1" s="320"/>
    </row>
    <row r="2" spans="1:12" s="313" customFormat="1" ht="39.950000000000003" customHeight="1">
      <c r="A2" s="232" t="s">
        <v>263</v>
      </c>
      <c r="B2" s="232"/>
      <c r="C2" s="232"/>
      <c r="D2" s="312"/>
      <c r="E2" s="312"/>
      <c r="F2" s="312"/>
      <c r="G2" s="232"/>
      <c r="H2" s="232"/>
      <c r="I2" s="232"/>
      <c r="J2" s="232"/>
      <c r="K2" s="312"/>
      <c r="L2" s="232"/>
    </row>
    <row r="3" spans="1:12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312"/>
      <c r="L3" s="232"/>
    </row>
    <row r="4" spans="1:12" ht="20.100000000000001" customHeight="1">
      <c r="A4" s="323"/>
      <c r="B4" s="320"/>
      <c r="C4" s="320"/>
      <c r="G4" s="324"/>
      <c r="H4" s="324"/>
      <c r="I4" s="325"/>
      <c r="J4" s="326"/>
      <c r="K4" s="326"/>
      <c r="L4" s="236" t="s">
        <v>279</v>
      </c>
    </row>
    <row r="5" spans="1:12" s="320" customFormat="1" ht="50.1" customHeight="1">
      <c r="A5" s="327"/>
      <c r="B5" s="328" t="s">
        <v>207</v>
      </c>
      <c r="C5" s="328"/>
      <c r="D5" s="329"/>
      <c r="E5" s="328" t="s">
        <v>239</v>
      </c>
      <c r="F5" s="330"/>
      <c r="G5" s="331" t="s">
        <v>265</v>
      </c>
      <c r="H5" s="332"/>
      <c r="I5" s="333" t="s">
        <v>264</v>
      </c>
      <c r="J5" s="334" t="s">
        <v>266</v>
      </c>
      <c r="K5" s="335"/>
      <c r="L5" s="336" t="s">
        <v>245</v>
      </c>
    </row>
    <row r="6" spans="1:12" s="320" customFormat="1" ht="9.9499999999999993" customHeight="1">
      <c r="A6" s="337"/>
      <c r="B6" s="338"/>
      <c r="C6" s="338"/>
      <c r="D6" s="339"/>
      <c r="E6" s="338"/>
      <c r="F6" s="340"/>
      <c r="G6" s="341"/>
      <c r="H6" s="342"/>
      <c r="I6" s="340"/>
      <c r="J6" s="343"/>
      <c r="K6" s="344"/>
      <c r="L6" s="345"/>
    </row>
    <row r="7" spans="1:12" ht="30" customHeight="1">
      <c r="A7" s="337"/>
      <c r="B7" s="346">
        <f>인집!B6</f>
        <v>0</v>
      </c>
      <c r="C7" s="320"/>
      <c r="D7" s="337"/>
      <c r="E7" s="347">
        <f>인집!E6</f>
        <v>0</v>
      </c>
      <c r="F7" s="348"/>
      <c r="G7" s="349">
        <v>0</v>
      </c>
      <c r="H7" s="350"/>
      <c r="I7" s="351">
        <v>12</v>
      </c>
      <c r="J7" s="349">
        <f t="shared" ref="J7:J16" si="0">TRUNC(G7/I7)</f>
        <v>0</v>
      </c>
      <c r="K7" s="350"/>
      <c r="L7" s="352"/>
    </row>
    <row r="8" spans="1:12" ht="30" customHeight="1">
      <c r="A8" s="337"/>
      <c r="B8" s="346">
        <f>인집!B7</f>
        <v>0</v>
      </c>
      <c r="C8" s="320"/>
      <c r="D8" s="337"/>
      <c r="E8" s="347">
        <f>인집!E7</f>
        <v>0</v>
      </c>
      <c r="F8" s="348"/>
      <c r="G8" s="349">
        <v>0</v>
      </c>
      <c r="H8" s="350"/>
      <c r="I8" s="351">
        <f t="shared" ref="I8:I17" si="1">I7</f>
        <v>12</v>
      </c>
      <c r="J8" s="349">
        <f t="shared" si="0"/>
        <v>0</v>
      </c>
      <c r="K8" s="350"/>
      <c r="L8" s="352"/>
    </row>
    <row r="9" spans="1:12" ht="30" customHeight="1">
      <c r="A9" s="337"/>
      <c r="B9" s="346">
        <f>인집!B8</f>
        <v>0</v>
      </c>
      <c r="C9" s="320"/>
      <c r="D9" s="337"/>
      <c r="E9" s="347">
        <f>인집!E8</f>
        <v>0</v>
      </c>
      <c r="F9" s="348"/>
      <c r="G9" s="349">
        <v>0</v>
      </c>
      <c r="H9" s="350"/>
      <c r="I9" s="351">
        <f t="shared" si="1"/>
        <v>12</v>
      </c>
      <c r="J9" s="349">
        <f t="shared" si="0"/>
        <v>0</v>
      </c>
      <c r="K9" s="350"/>
      <c r="L9" s="352"/>
    </row>
    <row r="10" spans="1:12" ht="30" customHeight="1">
      <c r="A10" s="337"/>
      <c r="B10" s="346">
        <f>인집!B9</f>
        <v>0</v>
      </c>
      <c r="C10" s="320"/>
      <c r="D10" s="337"/>
      <c r="E10" s="347">
        <f>인집!E9</f>
        <v>0</v>
      </c>
      <c r="F10" s="348"/>
      <c r="G10" s="349">
        <v>0</v>
      </c>
      <c r="H10" s="350"/>
      <c r="I10" s="351">
        <f t="shared" si="1"/>
        <v>12</v>
      </c>
      <c r="J10" s="349">
        <f t="shared" si="0"/>
        <v>0</v>
      </c>
      <c r="K10" s="350"/>
      <c r="L10" s="352"/>
    </row>
    <row r="11" spans="1:12" ht="30" customHeight="1">
      <c r="A11" s="337"/>
      <c r="B11" s="346">
        <f>인집!B10</f>
        <v>0</v>
      </c>
      <c r="C11" s="320"/>
      <c r="D11" s="337"/>
      <c r="E11" s="347">
        <f>인집!E10</f>
        <v>0</v>
      </c>
      <c r="F11" s="348"/>
      <c r="G11" s="349">
        <v>0</v>
      </c>
      <c r="H11" s="350"/>
      <c r="I11" s="351">
        <f t="shared" si="1"/>
        <v>12</v>
      </c>
      <c r="J11" s="349">
        <f t="shared" si="0"/>
        <v>0</v>
      </c>
      <c r="K11" s="350"/>
      <c r="L11" s="352"/>
    </row>
    <row r="12" spans="1:12" ht="30" customHeight="1">
      <c r="A12" s="337"/>
      <c r="B12" s="346">
        <f>인집!B11</f>
        <v>0</v>
      </c>
      <c r="C12" s="320"/>
      <c r="D12" s="337"/>
      <c r="E12" s="347">
        <f>인집!E11</f>
        <v>0</v>
      </c>
      <c r="F12" s="348"/>
      <c r="G12" s="349">
        <v>0</v>
      </c>
      <c r="H12" s="350"/>
      <c r="I12" s="351">
        <f t="shared" si="1"/>
        <v>12</v>
      </c>
      <c r="J12" s="349">
        <f t="shared" si="0"/>
        <v>0</v>
      </c>
      <c r="K12" s="350"/>
      <c r="L12" s="352"/>
    </row>
    <row r="13" spans="1:12" ht="30" customHeight="1">
      <c r="A13" s="337"/>
      <c r="B13" s="346">
        <f>인집!B12</f>
        <v>0</v>
      </c>
      <c r="C13" s="320"/>
      <c r="D13" s="337"/>
      <c r="E13" s="347">
        <f>인집!E12</f>
        <v>0</v>
      </c>
      <c r="F13" s="348"/>
      <c r="G13" s="349">
        <v>0</v>
      </c>
      <c r="H13" s="350"/>
      <c r="I13" s="351">
        <f t="shared" si="1"/>
        <v>12</v>
      </c>
      <c r="J13" s="349">
        <f t="shared" si="0"/>
        <v>0</v>
      </c>
      <c r="K13" s="350"/>
      <c r="L13" s="352"/>
    </row>
    <row r="14" spans="1:12" ht="30" customHeight="1">
      <c r="A14" s="337"/>
      <c r="B14" s="346">
        <f>인집!B13</f>
        <v>0</v>
      </c>
      <c r="C14" s="320"/>
      <c r="D14" s="337"/>
      <c r="E14" s="347">
        <f>인집!E13</f>
        <v>0</v>
      </c>
      <c r="F14" s="348"/>
      <c r="G14" s="349">
        <v>0</v>
      </c>
      <c r="H14" s="350"/>
      <c r="I14" s="351">
        <f t="shared" si="1"/>
        <v>12</v>
      </c>
      <c r="J14" s="349">
        <f>TRUNC(G14/I14)</f>
        <v>0</v>
      </c>
      <c r="K14" s="350"/>
      <c r="L14" s="352"/>
    </row>
    <row r="15" spans="1:12" ht="30" customHeight="1">
      <c r="A15" s="337"/>
      <c r="B15" s="346" t="str">
        <f>인집!B14</f>
        <v>다산홀운영</v>
      </c>
      <c r="C15" s="320"/>
      <c r="D15" s="337"/>
      <c r="E15" s="347" t="str">
        <f>인집!E14</f>
        <v>전기기능사</v>
      </c>
      <c r="F15" s="348"/>
      <c r="G15" s="349">
        <v>0</v>
      </c>
      <c r="H15" s="350"/>
      <c r="I15" s="351">
        <f>I13</f>
        <v>12</v>
      </c>
      <c r="J15" s="349">
        <f t="shared" si="0"/>
        <v>0</v>
      </c>
      <c r="K15" s="350"/>
      <c r="L15" s="352"/>
    </row>
    <row r="16" spans="1:12" ht="30" customHeight="1">
      <c r="A16" s="337"/>
      <c r="B16" s="346" t="str">
        <f>인집!B15</f>
        <v>운 전 원</v>
      </c>
      <c r="C16" s="320"/>
      <c r="D16" s="337"/>
      <c r="E16" s="347" t="str">
        <f>인집!E15</f>
        <v>단순노무종사원</v>
      </c>
      <c r="F16" s="348"/>
      <c r="G16" s="349">
        <v>0</v>
      </c>
      <c r="H16" s="350"/>
      <c r="I16" s="351">
        <f t="shared" si="1"/>
        <v>12</v>
      </c>
      <c r="J16" s="349">
        <f t="shared" si="0"/>
        <v>0</v>
      </c>
      <c r="K16" s="350"/>
      <c r="L16" s="352"/>
    </row>
    <row r="17" spans="1:12" ht="30" customHeight="1">
      <c r="A17" s="337"/>
      <c r="B17" s="346" t="str">
        <f>인집!B16</f>
        <v>사무보조원</v>
      </c>
      <c r="C17" s="320"/>
      <c r="D17" s="337"/>
      <c r="E17" s="347" t="str">
        <f>인집!E16</f>
        <v>단순노무종사원</v>
      </c>
      <c r="F17" s="348"/>
      <c r="G17" s="349">
        <v>0</v>
      </c>
      <c r="H17" s="350"/>
      <c r="I17" s="351">
        <f t="shared" si="1"/>
        <v>12</v>
      </c>
      <c r="J17" s="349">
        <f>TRUNC(G17/I17)</f>
        <v>0</v>
      </c>
      <c r="K17" s="350"/>
      <c r="L17" s="352"/>
    </row>
    <row r="18" spans="1:12" ht="9.9499999999999993" customHeight="1">
      <c r="A18" s="353"/>
      <c r="B18" s="354"/>
      <c r="C18" s="355"/>
      <c r="D18" s="353"/>
      <c r="E18" s="355"/>
      <c r="F18" s="356"/>
      <c r="G18" s="357"/>
      <c r="H18" s="358"/>
      <c r="I18" s="359"/>
      <c r="J18" s="360"/>
      <c r="K18" s="361"/>
      <c r="L18" s="362"/>
    </row>
    <row r="19" spans="1:12" ht="24.95" customHeight="1">
      <c r="A19" s="317" t="s">
        <v>278</v>
      </c>
      <c r="B19" s="317"/>
      <c r="I19" s="320"/>
    </row>
    <row r="20" spans="1:12" ht="27" customHeight="1">
      <c r="A20" s="318"/>
      <c r="B20" s="317"/>
      <c r="I20" s="320"/>
    </row>
    <row r="21" spans="1:12" ht="27" customHeight="1">
      <c r="B21" s="317"/>
      <c r="I21" s="320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D22"/>
  <sheetViews>
    <sheetView showGridLines="0" showZeros="0" view="pageBreakPreview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78" t="s">
        <v>435</v>
      </c>
      <c r="D8" s="878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3" orientation="portrait" useFirstPageNumber="1" r:id="rId1"/>
  <headerFooter alignWithMargins="0">
    <oddFooter>&amp;C&amp;"바탕체,보통"&amp;10-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showGridLines="0" showZeros="0" view="pageBreakPreview" zoomScale="70" zoomScaleNormal="60" zoomScaleSheetLayoutView="7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78" t="s">
        <v>500</v>
      </c>
      <c r="D5" s="878"/>
    </row>
    <row r="6" spans="1:4" ht="48.75" customHeight="1">
      <c r="A6" s="94"/>
      <c r="B6" s="95"/>
      <c r="C6" s="96"/>
      <c r="D6" s="99"/>
    </row>
    <row r="7" spans="1:4" ht="48.75" customHeight="1">
      <c r="A7" s="94"/>
      <c r="B7" s="95"/>
      <c r="C7" s="100" t="s">
        <v>501</v>
      </c>
      <c r="D7" s="101" t="str">
        <f>일반!A2</f>
        <v>일반관리비산출표</v>
      </c>
    </row>
    <row r="8" spans="1:4" ht="48.75" customHeight="1">
      <c r="A8" s="94"/>
      <c r="B8" s="95"/>
      <c r="C8" s="100" t="s">
        <v>457</v>
      </c>
      <c r="D8" s="101" t="str">
        <f>일반비율!A2</f>
        <v>일반관리비율산출표</v>
      </c>
    </row>
    <row r="9" spans="1:4" ht="48.75" customHeight="1">
      <c r="A9" s="94"/>
      <c r="B9" s="95"/>
      <c r="C9" s="100"/>
      <c r="D9" s="101"/>
    </row>
    <row r="10" spans="1:4" ht="48.75" customHeight="1">
      <c r="A10" s="94"/>
      <c r="B10" s="95"/>
      <c r="C10" s="100"/>
      <c r="D10" s="101"/>
    </row>
    <row r="11" spans="1:4" ht="48.75" customHeight="1">
      <c r="A11" s="94"/>
      <c r="B11" s="95"/>
      <c r="C11" s="100"/>
      <c r="D11" s="101"/>
    </row>
    <row r="12" spans="1:4" ht="42" customHeight="1">
      <c r="A12" s="94"/>
      <c r="B12" s="95"/>
      <c r="C12" s="100"/>
      <c r="D12" s="101"/>
    </row>
    <row r="13" spans="1:4" ht="48.75" customHeight="1">
      <c r="A13" s="94"/>
      <c r="B13" s="95"/>
      <c r="C13" s="100"/>
      <c r="D13" s="101"/>
    </row>
    <row r="14" spans="1:4" ht="48.75" customHeight="1">
      <c r="A14" s="94"/>
      <c r="B14" s="95"/>
      <c r="C14" s="100"/>
      <c r="D14" s="101"/>
    </row>
    <row r="15" spans="1:4" ht="48.75" customHeight="1">
      <c r="A15" s="94"/>
      <c r="B15" s="95"/>
      <c r="C15" s="102"/>
      <c r="D15" s="103"/>
    </row>
    <row r="16" spans="1:4" ht="39.950000000000003" customHeight="1">
      <c r="A16" s="98"/>
      <c r="B16" s="98"/>
      <c r="C16" s="98"/>
      <c r="D16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2" orientation="portrait" useFirstPageNumber="1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/>
  <dimension ref="A1:K25"/>
  <sheetViews>
    <sheetView showGridLines="0" showZeros="0" view="pageBreakPreview" topLeftCell="A7" zoomScaleNormal="100" workbookViewId="0">
      <selection activeCell="M20" sqref="M20"/>
    </sheetView>
  </sheetViews>
  <sheetFormatPr defaultRowHeight="27" customHeight="1"/>
  <cols>
    <col min="1" max="1" width="1.7109375" style="229" customWidth="1"/>
    <col min="2" max="2" width="12.7109375" style="229" customWidth="1"/>
    <col min="3" max="3" width="1.7109375" style="229" customWidth="1"/>
    <col min="4" max="4" width="1.7109375" style="230" customWidth="1"/>
    <col min="5" max="5" width="14.7109375" style="230" customWidth="1"/>
    <col min="6" max="6" width="1.7109375" style="230" customWidth="1"/>
    <col min="7" max="7" width="13.140625" style="229" customWidth="1"/>
    <col min="8" max="8" width="12.7109375" style="229" customWidth="1"/>
    <col min="9" max="9" width="13.7109375" style="229" customWidth="1"/>
    <col min="10" max="10" width="8.7109375" style="229" customWidth="1"/>
    <col min="11" max="11" width="12.7109375" style="231" customWidth="1"/>
    <col min="12" max="16384" width="9.140625" style="229"/>
  </cols>
  <sheetData>
    <row r="1" spans="1:11" ht="20.100000000000001" customHeight="1">
      <c r="A1" s="227" t="s">
        <v>430</v>
      </c>
      <c r="B1" s="228"/>
      <c r="J1" s="230"/>
    </row>
    <row r="2" spans="1:11" s="313" customFormat="1" ht="39.950000000000003" customHeight="1">
      <c r="A2" s="232" t="s">
        <v>118</v>
      </c>
      <c r="B2" s="232"/>
      <c r="C2" s="232"/>
      <c r="D2" s="312"/>
      <c r="E2" s="312"/>
      <c r="F2" s="312"/>
      <c r="G2" s="232"/>
      <c r="H2" s="232"/>
      <c r="I2" s="232"/>
      <c r="J2" s="232"/>
      <c r="K2" s="232"/>
    </row>
    <row r="3" spans="1:11" s="313" customFormat="1" ht="20.100000000000001" customHeight="1">
      <c r="A3" s="232"/>
      <c r="B3" s="232"/>
      <c r="C3" s="232"/>
      <c r="D3" s="312"/>
      <c r="E3" s="312"/>
      <c r="F3" s="312"/>
      <c r="G3" s="232"/>
      <c r="H3" s="232"/>
      <c r="I3" s="232"/>
      <c r="J3" s="232"/>
      <c r="K3" s="232"/>
    </row>
    <row r="4" spans="1:11" ht="20.100000000000001" customHeight="1">
      <c r="A4" s="234"/>
      <c r="B4" s="230"/>
      <c r="C4" s="230"/>
      <c r="G4" s="235"/>
      <c r="H4" s="235"/>
      <c r="I4" s="235"/>
      <c r="J4" s="104"/>
      <c r="K4" s="236" t="s">
        <v>279</v>
      </c>
    </row>
    <row r="5" spans="1:11" s="230" customFormat="1" ht="24.95" customHeight="1">
      <c r="A5" s="237"/>
      <c r="B5" s="997" t="s">
        <v>119</v>
      </c>
      <c r="C5" s="238"/>
      <c r="D5" s="999"/>
      <c r="E5" s="997" t="s">
        <v>120</v>
      </c>
      <c r="F5" s="1001"/>
      <c r="G5" s="240" t="s">
        <v>121</v>
      </c>
      <c r="H5" s="240"/>
      <c r="I5" s="240"/>
      <c r="J5" s="993" t="s">
        <v>206</v>
      </c>
      <c r="K5" s="995" t="s">
        <v>122</v>
      </c>
    </row>
    <row r="6" spans="1:11" s="230" customFormat="1" ht="24.95" customHeight="1">
      <c r="A6" s="241"/>
      <c r="B6" s="998"/>
      <c r="C6" s="242"/>
      <c r="D6" s="1000"/>
      <c r="E6" s="998"/>
      <c r="F6" s="1002"/>
      <c r="G6" s="244" t="s">
        <v>123</v>
      </c>
      <c r="H6" s="244" t="s">
        <v>124</v>
      </c>
      <c r="I6" s="244" t="s">
        <v>14</v>
      </c>
      <c r="J6" s="994"/>
      <c r="K6" s="996"/>
    </row>
    <row r="7" spans="1:11" s="230" customFormat="1" ht="9.9499999999999993" customHeight="1">
      <c r="A7" s="245"/>
      <c r="B7" s="246"/>
      <c r="C7" s="246"/>
      <c r="D7" s="247"/>
      <c r="E7" s="246"/>
      <c r="F7" s="248"/>
      <c r="G7" s="249"/>
      <c r="H7" s="249"/>
      <c r="I7" s="249"/>
      <c r="J7" s="250"/>
      <c r="K7" s="251"/>
    </row>
    <row r="8" spans="1:11" ht="30" customHeight="1">
      <c r="A8" s="245"/>
      <c r="B8" s="230"/>
      <c r="C8" s="230"/>
      <c r="D8" s="245"/>
      <c r="F8" s="252"/>
      <c r="G8" s="250" t="s">
        <v>242</v>
      </c>
      <c r="H8" s="250" t="s">
        <v>1</v>
      </c>
      <c r="I8" s="250"/>
      <c r="J8" s="249" t="s">
        <v>243</v>
      </c>
      <c r="K8" s="251"/>
    </row>
    <row r="9" spans="1:11" ht="30" customHeight="1">
      <c r="A9" s="245"/>
      <c r="B9" s="253">
        <f>인집!B6</f>
        <v>0</v>
      </c>
      <c r="C9" s="230"/>
      <c r="D9" s="245"/>
      <c r="E9" s="254">
        <f>인집!E6</f>
        <v>0</v>
      </c>
      <c r="F9" s="252"/>
      <c r="G9" s="255">
        <f>인집!K6</f>
        <v>0</v>
      </c>
      <c r="H9" s="255">
        <f>경비집계표!E20</f>
        <v>0</v>
      </c>
      <c r="I9" s="255">
        <f t="shared" ref="I9:I18" si="0">SUM(G9:H9)</f>
        <v>0</v>
      </c>
      <c r="J9" s="256"/>
      <c r="K9" s="255">
        <f t="shared" ref="K9:K18" si="1">TRUNC(I9*J9%,0)</f>
        <v>0</v>
      </c>
    </row>
    <row r="10" spans="1:11" ht="30" customHeight="1">
      <c r="A10" s="245"/>
      <c r="B10" s="253">
        <f>인집!B7</f>
        <v>0</v>
      </c>
      <c r="C10" s="230"/>
      <c r="D10" s="245"/>
      <c r="E10" s="254">
        <f>인집!E7</f>
        <v>0</v>
      </c>
      <c r="F10" s="252"/>
      <c r="G10" s="255">
        <f>인집!K7</f>
        <v>0</v>
      </c>
      <c r="H10" s="255">
        <f>경비집계표!F20</f>
        <v>0</v>
      </c>
      <c r="I10" s="255">
        <f t="shared" si="0"/>
        <v>0</v>
      </c>
      <c r="J10" s="256">
        <f t="shared" ref="J10:J16" si="2">J9</f>
        <v>0</v>
      </c>
      <c r="K10" s="255">
        <f t="shared" si="1"/>
        <v>0</v>
      </c>
    </row>
    <row r="11" spans="1:11" ht="30" customHeight="1">
      <c r="A11" s="245"/>
      <c r="B11" s="253">
        <f>인집!B8</f>
        <v>0</v>
      </c>
      <c r="C11" s="230"/>
      <c r="D11" s="245"/>
      <c r="E11" s="254">
        <f>인집!E8</f>
        <v>0</v>
      </c>
      <c r="F11" s="252"/>
      <c r="G11" s="255">
        <f>인집!K8</f>
        <v>0</v>
      </c>
      <c r="H11" s="255">
        <f>경비집계표!G20</f>
        <v>0</v>
      </c>
      <c r="I11" s="255">
        <f t="shared" si="0"/>
        <v>0</v>
      </c>
      <c r="J11" s="256">
        <f t="shared" si="2"/>
        <v>0</v>
      </c>
      <c r="K11" s="255">
        <f t="shared" si="1"/>
        <v>0</v>
      </c>
    </row>
    <row r="12" spans="1:11" ht="30" customHeight="1">
      <c r="A12" s="245"/>
      <c r="B12" s="253">
        <f>인집!B9</f>
        <v>0</v>
      </c>
      <c r="C12" s="230"/>
      <c r="D12" s="245"/>
      <c r="E12" s="258">
        <f>인집!E9</f>
        <v>0</v>
      </c>
      <c r="F12" s="252"/>
      <c r="G12" s="255">
        <f>인집!K9</f>
        <v>0</v>
      </c>
      <c r="H12" s="255">
        <f>경비집계표!H20</f>
        <v>0</v>
      </c>
      <c r="I12" s="255">
        <f t="shared" si="0"/>
        <v>0</v>
      </c>
      <c r="J12" s="256">
        <f t="shared" si="2"/>
        <v>0</v>
      </c>
      <c r="K12" s="255">
        <f t="shared" si="1"/>
        <v>0</v>
      </c>
    </row>
    <row r="13" spans="1:11" ht="30" customHeight="1">
      <c r="A13" s="245"/>
      <c r="B13" s="253">
        <f>인집!B10</f>
        <v>0</v>
      </c>
      <c r="C13" s="230"/>
      <c r="D13" s="245"/>
      <c r="E13" s="258">
        <f>인집!E10</f>
        <v>0</v>
      </c>
      <c r="F13" s="252"/>
      <c r="G13" s="255">
        <f>인집!K10</f>
        <v>0</v>
      </c>
      <c r="H13" s="255">
        <f>경비집계표!E44</f>
        <v>0</v>
      </c>
      <c r="I13" s="255">
        <f t="shared" si="0"/>
        <v>0</v>
      </c>
      <c r="J13" s="256">
        <f t="shared" si="2"/>
        <v>0</v>
      </c>
      <c r="K13" s="255">
        <f t="shared" si="1"/>
        <v>0</v>
      </c>
    </row>
    <row r="14" spans="1:11" ht="30" customHeight="1">
      <c r="A14" s="245"/>
      <c r="B14" s="253">
        <f>인집!B11</f>
        <v>0</v>
      </c>
      <c r="C14" s="230"/>
      <c r="D14" s="245"/>
      <c r="E14" s="258">
        <f>인집!E11</f>
        <v>0</v>
      </c>
      <c r="F14" s="252"/>
      <c r="G14" s="255">
        <f>인집!K11</f>
        <v>0</v>
      </c>
      <c r="H14" s="255">
        <f>경비집계표!F44</f>
        <v>0</v>
      </c>
      <c r="I14" s="255">
        <f t="shared" si="0"/>
        <v>0</v>
      </c>
      <c r="J14" s="256">
        <f t="shared" si="2"/>
        <v>0</v>
      </c>
      <c r="K14" s="255">
        <f t="shared" si="1"/>
        <v>0</v>
      </c>
    </row>
    <row r="15" spans="1:11" ht="30" customHeight="1">
      <c r="A15" s="245"/>
      <c r="B15" s="253">
        <f>인집!B12</f>
        <v>0</v>
      </c>
      <c r="C15" s="230"/>
      <c r="D15" s="245"/>
      <c r="E15" s="258">
        <f>인집!E12</f>
        <v>0</v>
      </c>
      <c r="F15" s="252"/>
      <c r="G15" s="255">
        <f>인집!K12</f>
        <v>0</v>
      </c>
      <c r="H15" s="255">
        <f>경비집계표!G44</f>
        <v>0</v>
      </c>
      <c r="I15" s="255">
        <f t="shared" si="0"/>
        <v>0</v>
      </c>
      <c r="J15" s="256">
        <f t="shared" si="2"/>
        <v>0</v>
      </c>
      <c r="K15" s="255">
        <f t="shared" si="1"/>
        <v>0</v>
      </c>
    </row>
    <row r="16" spans="1:11" ht="30" customHeight="1">
      <c r="A16" s="245"/>
      <c r="B16" s="253">
        <f>인집!B13</f>
        <v>0</v>
      </c>
      <c r="C16" s="230"/>
      <c r="D16" s="245"/>
      <c r="E16" s="258">
        <f>인집!E13</f>
        <v>0</v>
      </c>
      <c r="F16" s="252"/>
      <c r="G16" s="255">
        <f>인집!K13</f>
        <v>0</v>
      </c>
      <c r="H16" s="255">
        <f>경비집계표!H44</f>
        <v>0</v>
      </c>
      <c r="I16" s="255">
        <f>SUM(G16:H16)</f>
        <v>0</v>
      </c>
      <c r="J16" s="256">
        <f t="shared" si="2"/>
        <v>0</v>
      </c>
      <c r="K16" s="255">
        <f>TRUNC(I16*J16%,0)</f>
        <v>0</v>
      </c>
    </row>
    <row r="17" spans="1:11" ht="30" customHeight="1">
      <c r="A17" s="245"/>
      <c r="B17" s="253" t="str">
        <f>인집!B14</f>
        <v>다산홀운영</v>
      </c>
      <c r="C17" s="230"/>
      <c r="D17" s="245"/>
      <c r="E17" s="258" t="str">
        <f>인집!E14</f>
        <v>전기기능사</v>
      </c>
      <c r="F17" s="252"/>
      <c r="G17" s="255">
        <f>인집!K14</f>
        <v>3111408</v>
      </c>
      <c r="H17" s="255">
        <f>경비집계표!E68</f>
        <v>313449</v>
      </c>
      <c r="I17" s="255">
        <f t="shared" si="0"/>
        <v>3424857</v>
      </c>
      <c r="J17" s="256">
        <v>4</v>
      </c>
      <c r="K17" s="255">
        <f t="shared" si="1"/>
        <v>136994</v>
      </c>
    </row>
    <row r="18" spans="1:11" ht="30" customHeight="1">
      <c r="A18" s="245"/>
      <c r="B18" s="253" t="str">
        <f>인집!B15</f>
        <v>운 전 원</v>
      </c>
      <c r="C18" s="230"/>
      <c r="D18" s="245"/>
      <c r="E18" s="258" t="str">
        <f>인집!E15</f>
        <v>단순노무종사원</v>
      </c>
      <c r="F18" s="252"/>
      <c r="G18" s="255">
        <f>인집!K15</f>
        <v>2843023</v>
      </c>
      <c r="H18" s="255">
        <f>경비집계표!F68</f>
        <v>286409</v>
      </c>
      <c r="I18" s="255">
        <f t="shared" si="0"/>
        <v>3129432</v>
      </c>
      <c r="J18" s="256">
        <v>4</v>
      </c>
      <c r="K18" s="255">
        <f t="shared" si="1"/>
        <v>125177</v>
      </c>
    </row>
    <row r="19" spans="1:11" ht="30" customHeight="1">
      <c r="A19" s="245"/>
      <c r="B19" s="253" t="str">
        <f>인집!B16</f>
        <v>사무보조원</v>
      </c>
      <c r="C19" s="230"/>
      <c r="D19" s="245"/>
      <c r="E19" s="258" t="str">
        <f>인집!E16</f>
        <v>단순노무종사원</v>
      </c>
      <c r="F19" s="252"/>
      <c r="G19" s="255">
        <f>인집!K16</f>
        <v>2303492</v>
      </c>
      <c r="H19" s="255">
        <f>경비집계표!G68</f>
        <v>232057</v>
      </c>
      <c r="I19" s="255">
        <f>SUM(G19:H19)</f>
        <v>2535549</v>
      </c>
      <c r="J19" s="256">
        <v>4</v>
      </c>
      <c r="K19" s="255">
        <f>TRUNC(I19*J19%,0)</f>
        <v>101421</v>
      </c>
    </row>
    <row r="20" spans="1:11" ht="9.9499999999999993" customHeight="1">
      <c r="A20" s="241"/>
      <c r="B20" s="259"/>
      <c r="C20" s="260"/>
      <c r="D20" s="241"/>
      <c r="E20" s="260"/>
      <c r="F20" s="261"/>
      <c r="G20" s="314"/>
      <c r="H20" s="314"/>
      <c r="I20" s="314"/>
      <c r="J20" s="315"/>
      <c r="K20" s="316"/>
    </row>
    <row r="21" spans="1:11" ht="24.95" customHeight="1">
      <c r="A21" s="227" t="str">
        <f>"주 1) 인건비 : "&amp;인집!A1&amp;""&amp;인집!A2&amp;" 참조"</f>
        <v>주 1) 인건비 : &lt; 표 : 3 &gt; 단위당인건비집계표 참조</v>
      </c>
      <c r="B21" s="227"/>
      <c r="J21" s="230"/>
    </row>
    <row r="22" spans="1:11" ht="24.95" customHeight="1">
      <c r="A22" s="228" t="str">
        <f>"   2) 경비 : "&amp;경비집계표!A1&amp;""&amp;경비집계표!A2&amp;" 참조"</f>
        <v xml:space="preserve">   2) 경비 : &lt; 표 : 11 &gt; 경비집계표 참조</v>
      </c>
      <c r="B22" s="227"/>
      <c r="J22" s="230"/>
    </row>
    <row r="23" spans="1:11" ht="24.95" customHeight="1">
      <c r="A23" s="227" t="str">
        <f>"   3) 비율(%) : "&amp;일반비율!A1&amp;""&amp;일반비율!A2&amp;" 참조"</f>
        <v xml:space="preserve">   3) 비율(%) : &lt; 표 : 22 &gt; 일반관리비율산출표 참조</v>
      </c>
      <c r="B23" s="228"/>
      <c r="J23" s="230"/>
    </row>
    <row r="24" spans="1:11" ht="27" customHeight="1">
      <c r="A24" s="228"/>
      <c r="B24" s="227"/>
      <c r="J24" s="230"/>
    </row>
    <row r="25" spans="1:11" ht="27" customHeight="1">
      <c r="B25" s="227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0" orientation="portrait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/>
  <dimension ref="A1:I24"/>
  <sheetViews>
    <sheetView showGridLines="0" showZeros="0" view="pageBreakPreview" topLeftCell="A4" zoomScaleNormal="100" workbookViewId="0">
      <selection activeCell="E19" sqref="E19"/>
    </sheetView>
  </sheetViews>
  <sheetFormatPr defaultRowHeight="23.25" customHeight="1"/>
  <cols>
    <col min="1" max="1" width="1.7109375" style="266" customWidth="1"/>
    <col min="2" max="2" width="3.7109375" style="266" customWidth="1"/>
    <col min="3" max="3" width="29.7109375" style="294" customWidth="1"/>
    <col min="4" max="4" width="1.7109375" style="266" customWidth="1"/>
    <col min="5" max="5" width="15.7109375" style="305" customWidth="1"/>
    <col min="6" max="6" width="2.7109375" style="305" customWidth="1"/>
    <col min="7" max="7" width="15.7109375" style="266" customWidth="1"/>
    <col min="8" max="8" width="2.7109375" style="266" customWidth="1"/>
    <col min="9" max="9" width="21.5703125" style="266" customWidth="1"/>
    <col min="10" max="16384" width="9.140625" style="266"/>
  </cols>
  <sheetData>
    <row r="1" spans="1:9" ht="20.100000000000001" customHeight="1">
      <c r="A1" s="264" t="s">
        <v>309</v>
      </c>
      <c r="B1" s="265"/>
      <c r="C1" s="266"/>
      <c r="D1" s="265"/>
      <c r="E1" s="267"/>
      <c r="F1" s="267"/>
    </row>
    <row r="2" spans="1:9" ht="39.950000000000003" customHeight="1">
      <c r="A2" s="268" t="s">
        <v>153</v>
      </c>
      <c r="B2" s="269"/>
      <c r="C2" s="269"/>
      <c r="D2" s="269"/>
      <c r="E2" s="270"/>
      <c r="F2" s="270"/>
      <c r="G2" s="269"/>
      <c r="H2" s="269"/>
      <c r="I2" s="269"/>
    </row>
    <row r="3" spans="1:9" ht="20.100000000000001" customHeight="1">
      <c r="A3" s="271"/>
      <c r="B3" s="269"/>
      <c r="C3" s="269"/>
      <c r="D3" s="269"/>
      <c r="E3" s="270"/>
      <c r="F3" s="270"/>
      <c r="G3" s="269"/>
      <c r="H3" s="269"/>
      <c r="I3" s="269"/>
    </row>
    <row r="4" spans="1:9" ht="20.100000000000001" customHeight="1">
      <c r="A4" s="272" t="s">
        <v>523</v>
      </c>
      <c r="B4" s="273"/>
      <c r="C4" s="269"/>
      <c r="D4" s="273"/>
      <c r="E4" s="274"/>
      <c r="F4" s="274"/>
      <c r="G4" s="269"/>
      <c r="H4" s="269"/>
      <c r="I4" s="269"/>
    </row>
    <row r="5" spans="1:9" ht="50.1" customHeight="1">
      <c r="A5" s="275"/>
      <c r="B5" s="1003" t="s">
        <v>154</v>
      </c>
      <c r="C5" s="1003"/>
      <c r="D5" s="276"/>
      <c r="E5" s="601" t="s">
        <v>516</v>
      </c>
      <c r="F5" s="277"/>
      <c r="G5" s="1004" t="s">
        <v>170</v>
      </c>
      <c r="H5" s="1005"/>
      <c r="I5" s="278" t="s">
        <v>155</v>
      </c>
    </row>
    <row r="6" spans="1:9" ht="24.95" customHeight="1">
      <c r="A6" s="279"/>
      <c r="B6" s="280"/>
      <c r="C6" s="271"/>
      <c r="D6" s="281"/>
      <c r="E6" s="270"/>
      <c r="F6" s="270"/>
      <c r="G6" s="282"/>
      <c r="H6" s="283"/>
      <c r="I6" s="284"/>
    </row>
    <row r="7" spans="1:9" ht="24.95" customHeight="1">
      <c r="A7" s="285"/>
      <c r="B7" s="286" t="s">
        <v>156</v>
      </c>
      <c r="C7" s="287" t="s">
        <v>138</v>
      </c>
      <c r="D7" s="288"/>
      <c r="E7" s="289"/>
      <c r="F7" s="289"/>
      <c r="G7" s="290">
        <f>기업!F7</f>
        <v>5197245</v>
      </c>
      <c r="H7" s="291"/>
      <c r="I7" s="292" t="s">
        <v>157</v>
      </c>
    </row>
    <row r="8" spans="1:9" ht="24.95" customHeight="1">
      <c r="A8" s="285"/>
      <c r="B8" s="286" t="s">
        <v>158</v>
      </c>
      <c r="C8" s="287" t="s">
        <v>159</v>
      </c>
      <c r="D8" s="288"/>
      <c r="E8" s="290"/>
      <c r="F8" s="289"/>
      <c r="G8" s="290">
        <f>G9-G10</f>
        <v>10489491</v>
      </c>
      <c r="H8" s="291"/>
      <c r="I8" s="292"/>
    </row>
    <row r="9" spans="1:9" ht="24.95" customHeight="1">
      <c r="A9" s="285"/>
      <c r="B9" s="293" t="s">
        <v>125</v>
      </c>
      <c r="C9" s="287" t="s">
        <v>139</v>
      </c>
      <c r="D9" s="288"/>
      <c r="E9" s="289"/>
      <c r="F9" s="289"/>
      <c r="G9" s="290">
        <f>기업!F9</f>
        <v>13228114</v>
      </c>
      <c r="H9" s="291"/>
      <c r="I9" s="292"/>
    </row>
    <row r="10" spans="1:9" ht="24.95" customHeight="1">
      <c r="A10" s="285"/>
      <c r="B10" s="293" t="s">
        <v>125</v>
      </c>
      <c r="C10" s="287" t="s">
        <v>160</v>
      </c>
      <c r="D10" s="288"/>
      <c r="E10" s="289"/>
      <c r="F10" s="289"/>
      <c r="G10" s="290">
        <f>SUM(G11:G16)</f>
        <v>2738623</v>
      </c>
      <c r="H10" s="291"/>
      <c r="I10" s="292"/>
    </row>
    <row r="11" spans="1:9" ht="24.95" customHeight="1">
      <c r="A11" s="285"/>
      <c r="B11" s="293"/>
      <c r="C11" s="294" t="s">
        <v>161</v>
      </c>
      <c r="D11" s="288"/>
      <c r="E11" s="289"/>
      <c r="F11" s="289"/>
      <c r="G11" s="290">
        <f>기업!F17</f>
        <v>134225</v>
      </c>
      <c r="H11" s="291"/>
      <c r="I11" s="292"/>
    </row>
    <row r="12" spans="1:9" ht="24.95" customHeight="1">
      <c r="A12" s="285"/>
      <c r="B12" s="293"/>
      <c r="C12" s="294" t="s">
        <v>162</v>
      </c>
      <c r="D12" s="288"/>
      <c r="E12" s="289"/>
      <c r="F12" s="289"/>
      <c r="G12" s="290">
        <f>기업!F18</f>
        <v>161745</v>
      </c>
      <c r="H12" s="291"/>
      <c r="I12" s="292"/>
    </row>
    <row r="13" spans="1:9" ht="24.95" customHeight="1">
      <c r="A13" s="285"/>
      <c r="B13" s="293"/>
      <c r="C13" s="294" t="s">
        <v>163</v>
      </c>
      <c r="D13" s="288"/>
      <c r="E13" s="289"/>
      <c r="F13" s="289"/>
      <c r="G13" s="290">
        <f>기업!F21</f>
        <v>72006</v>
      </c>
      <c r="H13" s="291"/>
      <c r="I13" s="292"/>
    </row>
    <row r="14" spans="1:9" ht="24.95" customHeight="1">
      <c r="A14" s="285"/>
      <c r="B14" s="293"/>
      <c r="C14" s="294" t="s">
        <v>164</v>
      </c>
      <c r="D14" s="288"/>
      <c r="E14" s="289"/>
      <c r="F14" s="289"/>
      <c r="G14" s="290">
        <f>기업!F22</f>
        <v>58681</v>
      </c>
      <c r="H14" s="291"/>
      <c r="I14" s="292"/>
    </row>
    <row r="15" spans="1:9" ht="24.95" customHeight="1">
      <c r="A15" s="285"/>
      <c r="B15" s="293"/>
      <c r="C15" s="294" t="s">
        <v>165</v>
      </c>
      <c r="D15" s="288"/>
      <c r="E15" s="289"/>
      <c r="F15" s="289"/>
      <c r="G15" s="290">
        <f>기업!F23</f>
        <v>17916</v>
      </c>
      <c r="H15" s="291"/>
      <c r="I15" s="292"/>
    </row>
    <row r="16" spans="1:9" ht="24.95" customHeight="1">
      <c r="A16" s="285"/>
      <c r="B16" s="293"/>
      <c r="C16" s="294" t="s">
        <v>166</v>
      </c>
      <c r="D16" s="288"/>
      <c r="E16" s="289"/>
      <c r="F16" s="289"/>
      <c r="G16" s="290">
        <f>기업!F26</f>
        <v>2294050</v>
      </c>
      <c r="H16" s="291"/>
      <c r="I16" s="292"/>
    </row>
    <row r="17" spans="1:9" ht="24.95" customHeight="1">
      <c r="A17" s="285"/>
      <c r="B17" s="293"/>
      <c r="D17" s="288"/>
      <c r="E17" s="289"/>
      <c r="F17" s="289"/>
      <c r="G17" s="295"/>
      <c r="H17" s="288"/>
      <c r="I17" s="292"/>
    </row>
    <row r="18" spans="1:9" ht="45" customHeight="1">
      <c r="A18" s="296"/>
      <c r="B18" s="297" t="s">
        <v>167</v>
      </c>
      <c r="C18" s="298" t="s">
        <v>168</v>
      </c>
      <c r="D18" s="299"/>
      <c r="E18" s="300">
        <v>3</v>
      </c>
      <c r="F18" s="301"/>
      <c r="G18" s="300">
        <f>TRUNC(G8/G7*100,2)</f>
        <v>201.82</v>
      </c>
      <c r="H18" s="302"/>
      <c r="I18" s="303" t="s">
        <v>169</v>
      </c>
    </row>
    <row r="19" spans="1:9" ht="24.95" customHeight="1">
      <c r="A19" s="304" t="str">
        <f>"주 1) 금액 : "&amp;기업!A1&amp;기업!A2&amp;" 참조"</f>
        <v>주 1) 금액 : &lt; 표 : 25 &gt; 기업경영분석자료 참조</v>
      </c>
      <c r="B19" s="304"/>
      <c r="C19" s="264"/>
      <c r="D19" s="265"/>
      <c r="E19" s="267"/>
      <c r="F19" s="267"/>
    </row>
    <row r="20" spans="1:9" ht="24.95" customHeight="1">
      <c r="A20" s="264" t="s">
        <v>230</v>
      </c>
      <c r="B20" s="304"/>
    </row>
    <row r="21" spans="1:9" ht="24.95" customHeight="1">
      <c r="A21" s="306" t="s">
        <v>231</v>
      </c>
      <c r="B21" s="306"/>
      <c r="C21" s="307"/>
    </row>
    <row r="22" spans="1:9" s="310" customFormat="1" ht="24.95" customHeight="1">
      <c r="A22" s="308" t="str">
        <f>"   행정안전부예규에 의한 '용역 및 서비스업'의 일반관리비율 적용 한도율은 "&amp;E18&amp;"%이며, 기업경영"</f>
        <v xml:space="preserve">   행정안전부예규에 의한 '용역 및 서비스업'의 일반관리비율 적용 한도율은 3%이며, 기업경영</v>
      </c>
      <c r="B22" s="309"/>
      <c r="C22" s="309"/>
    </row>
    <row r="23" spans="1:9" s="310" customFormat="1" ht="24.95" customHeight="1">
      <c r="A23" s="308" t="str">
        <f>"   분석자료 비율은 "&amp;G18&amp;"%로 발생되어 본 원가산출시 적용 일반관리비율은 "&amp;MIN(E18:G18)&amp;"%를 적용하였다."</f>
        <v xml:space="preserve">   분석자료 비율은 201.82%로 발생되어 본 원가산출시 적용 일반관리비율은 3%를 적용하였다.</v>
      </c>
      <c r="B23" s="308"/>
      <c r="C23" s="308"/>
    </row>
    <row r="24" spans="1:9" ht="23.25" customHeight="1">
      <c r="A24" s="306"/>
      <c r="B24" s="311"/>
      <c r="C24" s="306"/>
    </row>
  </sheetData>
  <mergeCells count="2">
    <mergeCell ref="B5:C5"/>
    <mergeCell ref="G5:H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78" t="s">
        <v>502</v>
      </c>
      <c r="D5" s="878"/>
    </row>
    <row r="6" spans="1:4" ht="41.25" customHeight="1">
      <c r="A6" s="94"/>
      <c r="B6" s="95"/>
      <c r="C6" s="96"/>
      <c r="D6" s="99"/>
    </row>
    <row r="7" spans="1:4" ht="41.25" customHeight="1">
      <c r="A7" s="94"/>
      <c r="B7" s="95"/>
      <c r="C7" s="100" t="s">
        <v>503</v>
      </c>
      <c r="D7" s="101" t="str">
        <f>이윤!A2</f>
        <v>이윤산출표</v>
      </c>
    </row>
    <row r="8" spans="1:4" ht="41.25" customHeight="1">
      <c r="A8" s="94"/>
      <c r="B8" s="95"/>
      <c r="C8" s="100" t="s">
        <v>458</v>
      </c>
      <c r="D8" s="101" t="str">
        <f>이윤율!A2</f>
        <v>이윤비율표</v>
      </c>
    </row>
    <row r="9" spans="1:4" ht="41.25" customHeight="1">
      <c r="A9" s="94"/>
      <c r="B9" s="95"/>
      <c r="C9" s="100"/>
      <c r="D9" s="101"/>
    </row>
    <row r="10" spans="1:4" ht="41.25" customHeight="1">
      <c r="A10" s="94"/>
      <c r="B10" s="95"/>
      <c r="C10" s="100"/>
      <c r="D10" s="101"/>
    </row>
    <row r="11" spans="1:4" ht="41.25" customHeight="1">
      <c r="A11" s="94"/>
      <c r="B11" s="95"/>
      <c r="C11" s="100"/>
      <c r="D11" s="101"/>
    </row>
    <row r="12" spans="1:4" ht="59.25" customHeight="1">
      <c r="A12" s="94"/>
      <c r="B12" s="95"/>
      <c r="C12" s="100"/>
      <c r="D12" s="101"/>
    </row>
    <row r="13" spans="1:4" ht="41.25" customHeight="1">
      <c r="A13" s="94"/>
      <c r="B13" s="95"/>
      <c r="C13" s="100"/>
      <c r="D13" s="101"/>
    </row>
    <row r="14" spans="1:4" ht="41.25" customHeight="1">
      <c r="A14" s="94"/>
      <c r="B14" s="95"/>
      <c r="C14" s="100"/>
      <c r="D14" s="101"/>
    </row>
    <row r="15" spans="1:4" ht="41.25" customHeight="1">
      <c r="A15" s="94"/>
      <c r="B15" s="95"/>
      <c r="C15" s="100"/>
      <c r="D15" s="101"/>
    </row>
    <row r="16" spans="1:4" ht="41.2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5" orientation="portrait" useFirstPageNumber="1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7"/>
  <dimension ref="A1:L26"/>
  <sheetViews>
    <sheetView showGridLines="0" showZeros="0" view="pageBreakPreview" topLeftCell="A10" zoomScaleNormal="100" workbookViewId="0">
      <selection activeCell="K10" sqref="K10"/>
    </sheetView>
  </sheetViews>
  <sheetFormatPr defaultRowHeight="27" customHeight="1"/>
  <cols>
    <col min="1" max="1" width="1.7109375" style="229" customWidth="1"/>
    <col min="2" max="2" width="12.140625" style="229" customWidth="1"/>
    <col min="3" max="3" width="1.7109375" style="229" customWidth="1"/>
    <col min="4" max="4" width="0.85546875" style="229" customWidth="1"/>
    <col min="5" max="5" width="14.7109375" style="229" customWidth="1"/>
    <col min="6" max="6" width="0.85546875" style="229" customWidth="1"/>
    <col min="7" max="7" width="11.7109375" style="229" customWidth="1"/>
    <col min="8" max="9" width="10.7109375" style="229" customWidth="1"/>
    <col min="10" max="10" width="11.7109375" style="229" customWidth="1"/>
    <col min="11" max="11" width="7.7109375" style="229" customWidth="1"/>
    <col min="12" max="12" width="10.7109375" style="231" customWidth="1"/>
    <col min="13" max="16384" width="9.140625" style="229"/>
  </cols>
  <sheetData>
    <row r="1" spans="1:12" ht="20.100000000000001" customHeight="1">
      <c r="A1" s="227" t="s">
        <v>493</v>
      </c>
      <c r="B1" s="228"/>
      <c r="K1" s="230"/>
    </row>
    <row r="2" spans="1:12" ht="39.950000000000003" customHeight="1">
      <c r="A2" s="232" t="s">
        <v>140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0.100000000000001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0.100000000000001" customHeight="1">
      <c r="A4" s="234"/>
      <c r="B4" s="230"/>
      <c r="C4" s="230"/>
      <c r="D4" s="230"/>
      <c r="E4" s="230"/>
      <c r="F4" s="230"/>
      <c r="G4" s="235"/>
      <c r="H4" s="235"/>
      <c r="I4" s="235"/>
      <c r="J4" s="235"/>
      <c r="K4" s="104"/>
      <c r="L4" s="236" t="s">
        <v>279</v>
      </c>
    </row>
    <row r="5" spans="1:12" s="230" customFormat="1" ht="24.95" customHeight="1">
      <c r="A5" s="237"/>
      <c r="B5" s="997" t="s">
        <v>141</v>
      </c>
      <c r="C5" s="238"/>
      <c r="D5" s="999"/>
      <c r="E5" s="997" t="s">
        <v>142</v>
      </c>
      <c r="F5" s="239"/>
      <c r="G5" s="240" t="s">
        <v>143</v>
      </c>
      <c r="H5" s="240"/>
      <c r="I5" s="240"/>
      <c r="J5" s="240"/>
      <c r="K5" s="993" t="s">
        <v>206</v>
      </c>
      <c r="L5" s="995" t="s">
        <v>144</v>
      </c>
    </row>
    <row r="6" spans="1:12" s="230" customFormat="1" ht="24.95" customHeight="1">
      <c r="A6" s="241"/>
      <c r="B6" s="998"/>
      <c r="C6" s="242"/>
      <c r="D6" s="1000"/>
      <c r="E6" s="998"/>
      <c r="F6" s="243"/>
      <c r="G6" s="244" t="s">
        <v>145</v>
      </c>
      <c r="H6" s="244" t="s">
        <v>146</v>
      </c>
      <c r="I6" s="244" t="s">
        <v>147</v>
      </c>
      <c r="J6" s="244" t="s">
        <v>148</v>
      </c>
      <c r="K6" s="994"/>
      <c r="L6" s="996"/>
    </row>
    <row r="7" spans="1:12" s="230" customFormat="1" ht="9.9499999999999993" customHeight="1">
      <c r="A7" s="245"/>
      <c r="B7" s="246"/>
      <c r="C7" s="246"/>
      <c r="D7" s="247"/>
      <c r="E7" s="246"/>
      <c r="F7" s="248"/>
      <c r="G7" s="249"/>
      <c r="H7" s="249"/>
      <c r="I7" s="249"/>
      <c r="J7" s="249"/>
      <c r="K7" s="250"/>
      <c r="L7" s="251"/>
    </row>
    <row r="8" spans="1:12" ht="30" customHeight="1">
      <c r="A8" s="245"/>
      <c r="B8" s="230"/>
      <c r="C8" s="230"/>
      <c r="D8" s="245"/>
      <c r="E8" s="230"/>
      <c r="F8" s="252"/>
      <c r="G8" s="250" t="s">
        <v>149</v>
      </c>
      <c r="H8" s="250" t="s">
        <v>150</v>
      </c>
      <c r="I8" s="250" t="s">
        <v>151</v>
      </c>
      <c r="J8" s="250"/>
      <c r="K8" s="249" t="s">
        <v>152</v>
      </c>
      <c r="L8" s="251"/>
    </row>
    <row r="9" spans="1:12" ht="30" customHeight="1">
      <c r="A9" s="245"/>
      <c r="B9" s="253">
        <f>일반!B9</f>
        <v>0</v>
      </c>
      <c r="C9" s="230"/>
      <c r="D9" s="245"/>
      <c r="E9" s="254">
        <f>일반!E9</f>
        <v>0</v>
      </c>
      <c r="F9" s="252"/>
      <c r="G9" s="255">
        <f>일반!G9</f>
        <v>0</v>
      </c>
      <c r="H9" s="255">
        <f>일반!H9</f>
        <v>0</v>
      </c>
      <c r="I9" s="255">
        <f>일반!K9</f>
        <v>0</v>
      </c>
      <c r="J9" s="255">
        <f t="shared" ref="J9:J18" si="0">SUM(G9:I9)</f>
        <v>0</v>
      </c>
      <c r="K9" s="256">
        <v>6</v>
      </c>
      <c r="L9" s="255">
        <f t="shared" ref="L9:L18" si="1">TRUNC(J9*K9%,0)</f>
        <v>0</v>
      </c>
    </row>
    <row r="10" spans="1:12" ht="30" customHeight="1">
      <c r="A10" s="245"/>
      <c r="B10" s="253">
        <f>일반!B10</f>
        <v>0</v>
      </c>
      <c r="C10" s="230"/>
      <c r="D10" s="245"/>
      <c r="E10" s="254">
        <f>일반!E10</f>
        <v>0</v>
      </c>
      <c r="F10" s="252"/>
      <c r="G10" s="255">
        <f>일반!G10</f>
        <v>0</v>
      </c>
      <c r="H10" s="255">
        <f>일반!H10</f>
        <v>0</v>
      </c>
      <c r="I10" s="255">
        <f>일반!K10</f>
        <v>0</v>
      </c>
      <c r="J10" s="255">
        <f t="shared" si="0"/>
        <v>0</v>
      </c>
      <c r="K10" s="257">
        <f>K9</f>
        <v>6</v>
      </c>
      <c r="L10" s="255">
        <f t="shared" si="1"/>
        <v>0</v>
      </c>
    </row>
    <row r="11" spans="1:12" ht="30" customHeight="1">
      <c r="A11" s="245"/>
      <c r="B11" s="253">
        <f>일반!B11</f>
        <v>0</v>
      </c>
      <c r="C11" s="230"/>
      <c r="D11" s="245"/>
      <c r="E11" s="254">
        <f>일반!E11</f>
        <v>0</v>
      </c>
      <c r="F11" s="252"/>
      <c r="G11" s="255">
        <f>일반!G11</f>
        <v>0</v>
      </c>
      <c r="H11" s="255">
        <f>일반!H11</f>
        <v>0</v>
      </c>
      <c r="I11" s="255">
        <f>일반!K11</f>
        <v>0</v>
      </c>
      <c r="J11" s="255">
        <f t="shared" si="0"/>
        <v>0</v>
      </c>
      <c r="K11" s="257">
        <f t="shared" ref="K11:K19" si="2">K10</f>
        <v>6</v>
      </c>
      <c r="L11" s="255">
        <f t="shared" si="1"/>
        <v>0</v>
      </c>
    </row>
    <row r="12" spans="1:12" ht="30" customHeight="1">
      <c r="A12" s="245"/>
      <c r="B12" s="253">
        <f>일반!B12</f>
        <v>0</v>
      </c>
      <c r="C12" s="230"/>
      <c r="D12" s="245"/>
      <c r="E12" s="258">
        <f>일반!E12</f>
        <v>0</v>
      </c>
      <c r="F12" s="252"/>
      <c r="G12" s="255">
        <f>일반!G12</f>
        <v>0</v>
      </c>
      <c r="H12" s="255">
        <f>일반!H12</f>
        <v>0</v>
      </c>
      <c r="I12" s="255">
        <f>일반!K12</f>
        <v>0</v>
      </c>
      <c r="J12" s="255">
        <f t="shared" si="0"/>
        <v>0</v>
      </c>
      <c r="K12" s="257">
        <f t="shared" si="2"/>
        <v>6</v>
      </c>
      <c r="L12" s="255">
        <f t="shared" si="1"/>
        <v>0</v>
      </c>
    </row>
    <row r="13" spans="1:12" ht="30" customHeight="1">
      <c r="A13" s="245"/>
      <c r="B13" s="253">
        <f>일반!B13</f>
        <v>0</v>
      </c>
      <c r="C13" s="230"/>
      <c r="D13" s="245"/>
      <c r="E13" s="258">
        <f>일반!E13</f>
        <v>0</v>
      </c>
      <c r="F13" s="252"/>
      <c r="G13" s="255">
        <f>일반!G13</f>
        <v>0</v>
      </c>
      <c r="H13" s="255">
        <f>일반!H13</f>
        <v>0</v>
      </c>
      <c r="I13" s="255">
        <f>일반!K13</f>
        <v>0</v>
      </c>
      <c r="J13" s="255">
        <f t="shared" si="0"/>
        <v>0</v>
      </c>
      <c r="K13" s="257">
        <f t="shared" si="2"/>
        <v>6</v>
      </c>
      <c r="L13" s="255">
        <f t="shared" si="1"/>
        <v>0</v>
      </c>
    </row>
    <row r="14" spans="1:12" ht="30" customHeight="1">
      <c r="A14" s="245"/>
      <c r="B14" s="253">
        <f>일반!B14</f>
        <v>0</v>
      </c>
      <c r="C14" s="230"/>
      <c r="D14" s="245"/>
      <c r="E14" s="258">
        <f>일반!E14</f>
        <v>0</v>
      </c>
      <c r="F14" s="252"/>
      <c r="G14" s="255">
        <f>일반!G14</f>
        <v>0</v>
      </c>
      <c r="H14" s="255">
        <f>일반!H14</f>
        <v>0</v>
      </c>
      <c r="I14" s="255">
        <f>일반!K14</f>
        <v>0</v>
      </c>
      <c r="J14" s="255">
        <f t="shared" si="0"/>
        <v>0</v>
      </c>
      <c r="K14" s="257">
        <f t="shared" si="2"/>
        <v>6</v>
      </c>
      <c r="L14" s="255">
        <f t="shared" si="1"/>
        <v>0</v>
      </c>
    </row>
    <row r="15" spans="1:12" ht="30" customHeight="1">
      <c r="A15" s="245"/>
      <c r="B15" s="253">
        <f>일반!B15</f>
        <v>0</v>
      </c>
      <c r="C15" s="230"/>
      <c r="D15" s="245"/>
      <c r="E15" s="258">
        <f>일반!E15</f>
        <v>0</v>
      </c>
      <c r="F15" s="252"/>
      <c r="G15" s="255">
        <f>일반!G15</f>
        <v>0</v>
      </c>
      <c r="H15" s="255">
        <f>일반!H15</f>
        <v>0</v>
      </c>
      <c r="I15" s="255">
        <f>일반!K15</f>
        <v>0</v>
      </c>
      <c r="J15" s="255">
        <f t="shared" si="0"/>
        <v>0</v>
      </c>
      <c r="K15" s="257">
        <f t="shared" si="2"/>
        <v>6</v>
      </c>
      <c r="L15" s="255">
        <f t="shared" si="1"/>
        <v>0</v>
      </c>
    </row>
    <row r="16" spans="1:12" ht="30" customHeight="1">
      <c r="A16" s="245"/>
      <c r="B16" s="253">
        <f>일반!B16</f>
        <v>0</v>
      </c>
      <c r="C16" s="230"/>
      <c r="D16" s="245"/>
      <c r="E16" s="258">
        <f>일반!E16</f>
        <v>0</v>
      </c>
      <c r="F16" s="252"/>
      <c r="G16" s="255">
        <f>일반!G16</f>
        <v>0</v>
      </c>
      <c r="H16" s="255">
        <f>일반!H16</f>
        <v>0</v>
      </c>
      <c r="I16" s="255">
        <f>일반!K16</f>
        <v>0</v>
      </c>
      <c r="J16" s="255">
        <f>SUM(G16:I16)</f>
        <v>0</v>
      </c>
      <c r="K16" s="257">
        <f t="shared" si="2"/>
        <v>6</v>
      </c>
      <c r="L16" s="255">
        <f>TRUNC(J16*K16%,0)</f>
        <v>0</v>
      </c>
    </row>
    <row r="17" spans="1:12" ht="30" customHeight="1">
      <c r="A17" s="245"/>
      <c r="B17" s="253" t="str">
        <f>일반!B17</f>
        <v>다산홀운영</v>
      </c>
      <c r="C17" s="230"/>
      <c r="D17" s="245"/>
      <c r="E17" s="258" t="str">
        <f>일반!E17</f>
        <v>전기기능사</v>
      </c>
      <c r="F17" s="252"/>
      <c r="G17" s="255">
        <f>일반!G17</f>
        <v>3111408</v>
      </c>
      <c r="H17" s="255">
        <f>일반!H17</f>
        <v>313449</v>
      </c>
      <c r="I17" s="255">
        <f>일반!K17</f>
        <v>136994</v>
      </c>
      <c r="J17" s="255">
        <f t="shared" si="0"/>
        <v>3561851</v>
      </c>
      <c r="K17" s="257">
        <f>K15</f>
        <v>6</v>
      </c>
      <c r="L17" s="255">
        <f t="shared" si="1"/>
        <v>213711</v>
      </c>
    </row>
    <row r="18" spans="1:12" ht="30" customHeight="1">
      <c r="A18" s="245"/>
      <c r="B18" s="253" t="str">
        <f>일반!B18</f>
        <v>운 전 원</v>
      </c>
      <c r="C18" s="230"/>
      <c r="D18" s="245"/>
      <c r="E18" s="258" t="str">
        <f>일반!E18</f>
        <v>단순노무종사원</v>
      </c>
      <c r="F18" s="252"/>
      <c r="G18" s="255">
        <f>일반!G18</f>
        <v>2843023</v>
      </c>
      <c r="H18" s="255">
        <f>일반!H18</f>
        <v>286409</v>
      </c>
      <c r="I18" s="255">
        <f>일반!K18</f>
        <v>125177</v>
      </c>
      <c r="J18" s="255">
        <f t="shared" si="0"/>
        <v>3254609</v>
      </c>
      <c r="K18" s="257">
        <f t="shared" si="2"/>
        <v>6</v>
      </c>
      <c r="L18" s="255">
        <f t="shared" si="1"/>
        <v>195276</v>
      </c>
    </row>
    <row r="19" spans="1:12" ht="30" customHeight="1">
      <c r="A19" s="245"/>
      <c r="B19" s="253" t="str">
        <f>일반!B19</f>
        <v>사무보조원</v>
      </c>
      <c r="C19" s="230"/>
      <c r="D19" s="245"/>
      <c r="E19" s="258" t="str">
        <f>일반!E19</f>
        <v>단순노무종사원</v>
      </c>
      <c r="F19" s="252"/>
      <c r="G19" s="255">
        <f>일반!G19</f>
        <v>2303492</v>
      </c>
      <c r="H19" s="255">
        <f>일반!H19</f>
        <v>232057</v>
      </c>
      <c r="I19" s="255">
        <f>일반!K19</f>
        <v>101421</v>
      </c>
      <c r="J19" s="255">
        <f>SUM(G19:I19)</f>
        <v>2636970</v>
      </c>
      <c r="K19" s="257">
        <f t="shared" si="2"/>
        <v>6</v>
      </c>
      <c r="L19" s="255">
        <f>TRUNC(J19*K19%,0)</f>
        <v>158218</v>
      </c>
    </row>
    <row r="20" spans="1:12" ht="9.9499999999999993" customHeight="1">
      <c r="A20" s="241"/>
      <c r="B20" s="259"/>
      <c r="C20" s="260"/>
      <c r="D20" s="241"/>
      <c r="E20" s="260"/>
      <c r="F20" s="261"/>
      <c r="G20" s="262"/>
      <c r="H20" s="262"/>
      <c r="I20" s="262"/>
      <c r="J20" s="262"/>
      <c r="K20" s="242"/>
      <c r="L20" s="263"/>
    </row>
    <row r="21" spans="1:12" ht="24.95" customHeight="1">
      <c r="A21" s="227" t="str">
        <f>"주 1) 인건비 : "&amp;인집!A1&amp;인집!A2&amp;" 참조"</f>
        <v>주 1) 인건비 : &lt; 표 : 3 &gt; 단위당인건비집계표 참조</v>
      </c>
      <c r="B21" s="227"/>
      <c r="K21" s="230"/>
    </row>
    <row r="22" spans="1:12" ht="24.95" customHeight="1">
      <c r="A22" s="228" t="str">
        <f>"   2) 경비 : "&amp;경비집계표!A1&amp;" "&amp;경비집계표!A2&amp;" 참조"</f>
        <v xml:space="preserve">   2) 경비 : &lt; 표 : 11 &gt;  경비집계표 참조</v>
      </c>
      <c r="B22" s="227"/>
      <c r="K22" s="230"/>
    </row>
    <row r="23" spans="1:12" ht="24.95" customHeight="1">
      <c r="A23" s="227" t="str">
        <f>"   3) 일반관리비 : "&amp;일반!A1&amp;일반!A2&amp;" 참조"</f>
        <v xml:space="preserve">   3) 일반관리비 : &lt; 표 : 21 &gt; 일반관리비산출표 참조</v>
      </c>
      <c r="B23" s="227"/>
      <c r="K23" s="230"/>
    </row>
    <row r="24" spans="1:12" ht="24.95" customHeight="1">
      <c r="A24" s="227" t="str">
        <f>"   4) 비율(%) : "&amp;이윤율!A1&amp;이윤율!A2&amp;" 참조"</f>
        <v xml:space="preserve">   4) 비율(%) : &lt; 표 : 24 &gt; 이윤비율표 참조</v>
      </c>
      <c r="B24" s="228"/>
      <c r="K24" s="230"/>
    </row>
    <row r="25" spans="1:12" ht="27" customHeight="1">
      <c r="A25" s="228"/>
      <c r="B25" s="227"/>
      <c r="K25" s="230"/>
    </row>
    <row r="26" spans="1:12" ht="27" customHeight="1">
      <c r="B26" s="227"/>
    </row>
  </sheetData>
  <mergeCells count="5">
    <mergeCell ref="L5:L6"/>
    <mergeCell ref="B5:B6"/>
    <mergeCell ref="D5:D6"/>
    <mergeCell ref="E5:E6"/>
    <mergeCell ref="K5:K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3" orientation="portrait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G13"/>
  <sheetViews>
    <sheetView showGridLines="0" showZeros="0" view="pageBreakPreview" zoomScaleNormal="100" workbookViewId="0">
      <selection activeCell="E9" sqref="E9"/>
    </sheetView>
  </sheetViews>
  <sheetFormatPr defaultColWidth="11.42578125" defaultRowHeight="12"/>
  <cols>
    <col min="1" max="1" width="5.7109375" style="204" customWidth="1"/>
    <col min="2" max="2" width="25.7109375" style="204" customWidth="1"/>
    <col min="3" max="3" width="5.7109375" style="204" customWidth="1"/>
    <col min="4" max="5" width="17.7109375" style="204" customWidth="1"/>
    <col min="6" max="6" width="22.7109375" style="204" customWidth="1"/>
    <col min="7" max="16384" width="11.42578125" style="204"/>
  </cols>
  <sheetData>
    <row r="1" spans="1:7" ht="20.100000000000001" customHeight="1">
      <c r="A1" s="203" t="s">
        <v>494</v>
      </c>
    </row>
    <row r="2" spans="1:7" s="208" customFormat="1" ht="39.950000000000003" customHeight="1">
      <c r="A2" s="205" t="s">
        <v>126</v>
      </c>
      <c r="B2" s="206"/>
      <c r="C2" s="206"/>
      <c r="D2" s="206"/>
      <c r="E2" s="206"/>
      <c r="F2" s="206"/>
      <c r="G2" s="207"/>
    </row>
    <row r="3" spans="1:7" s="208" customFormat="1" ht="20.100000000000001" customHeight="1">
      <c r="A3" s="205"/>
      <c r="B3" s="206"/>
      <c r="C3" s="206"/>
      <c r="D3" s="206"/>
      <c r="E3" s="206"/>
      <c r="F3" s="206"/>
    </row>
    <row r="4" spans="1:7" ht="20.100000000000001" customHeight="1"/>
    <row r="5" spans="1:7" ht="50.1" customHeight="1">
      <c r="A5" s="209"/>
      <c r="B5" s="210" t="s">
        <v>127</v>
      </c>
      <c r="C5" s="211"/>
      <c r="D5" s="212" t="s">
        <v>514</v>
      </c>
      <c r="E5" s="212" t="s">
        <v>128</v>
      </c>
      <c r="F5" s="213" t="s">
        <v>129</v>
      </c>
    </row>
    <row r="6" spans="1:7" ht="20.100000000000001" customHeight="1">
      <c r="A6" s="214"/>
      <c r="B6" s="215"/>
      <c r="C6" s="216"/>
      <c r="D6" s="217"/>
      <c r="E6" s="217"/>
      <c r="F6" s="217"/>
    </row>
    <row r="7" spans="1:7" ht="60" customHeight="1">
      <c r="A7" s="218"/>
      <c r="B7" s="219" t="s">
        <v>130</v>
      </c>
      <c r="C7" s="217"/>
      <c r="D7" s="220">
        <v>15</v>
      </c>
      <c r="E7" s="220"/>
      <c r="F7" s="217"/>
    </row>
    <row r="8" spans="1:7" ht="60" customHeight="1">
      <c r="A8" s="218"/>
      <c r="B8" s="219" t="s">
        <v>131</v>
      </c>
      <c r="C8" s="217"/>
      <c r="D8" s="220">
        <v>25</v>
      </c>
      <c r="E8" s="220"/>
      <c r="F8" s="221"/>
    </row>
    <row r="9" spans="1:7" ht="60" customHeight="1">
      <c r="A9" s="218"/>
      <c r="B9" s="219" t="s">
        <v>132</v>
      </c>
      <c r="C9" s="217"/>
      <c r="D9" s="220">
        <v>10</v>
      </c>
      <c r="E9" s="220">
        <v>6</v>
      </c>
      <c r="F9" s="221"/>
    </row>
    <row r="10" spans="1:7" ht="60" customHeight="1">
      <c r="A10" s="218"/>
      <c r="B10" s="219" t="s">
        <v>133</v>
      </c>
      <c r="C10" s="217"/>
      <c r="D10" s="220">
        <v>10</v>
      </c>
      <c r="E10" s="220"/>
      <c r="F10" s="221"/>
    </row>
    <row r="11" spans="1:7" ht="20.100000000000001" customHeight="1">
      <c r="A11" s="222"/>
      <c r="B11" s="223"/>
      <c r="C11" s="224"/>
      <c r="D11" s="225"/>
      <c r="E11" s="225"/>
      <c r="F11" s="225"/>
    </row>
    <row r="12" spans="1:7" ht="24.95" customHeight="1">
      <c r="A12" s="226" t="s">
        <v>515</v>
      </c>
    </row>
    <row r="13" spans="1:7" ht="24.95" customHeight="1">
      <c r="A13" s="204" t="s">
        <v>134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="85" zoomScaleNormal="60" zoomScaleSheetLayoutView="85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78" t="s">
        <v>504</v>
      </c>
      <c r="D5" s="878"/>
    </row>
    <row r="6" spans="1:4" ht="45.75" customHeight="1">
      <c r="A6" s="94"/>
      <c r="B6" s="95"/>
      <c r="C6" s="96"/>
      <c r="D6" s="99"/>
    </row>
    <row r="7" spans="1:4" ht="45.75" customHeight="1">
      <c r="A7" s="94"/>
      <c r="B7" s="95"/>
      <c r="C7" s="100" t="s">
        <v>505</v>
      </c>
      <c r="D7" s="101" t="str">
        <f>기업!A2</f>
        <v>기업경영분석자료</v>
      </c>
    </row>
    <row r="8" spans="1:4" ht="45.75" customHeight="1">
      <c r="A8" s="94"/>
      <c r="B8" s="95"/>
      <c r="C8" s="100"/>
      <c r="D8" s="101"/>
    </row>
    <row r="9" spans="1:4" ht="18" customHeight="1">
      <c r="A9" s="94"/>
      <c r="B9" s="95"/>
      <c r="C9" s="100"/>
      <c r="D9" s="101"/>
    </row>
    <row r="10" spans="1:4" ht="45.75" customHeight="1">
      <c r="A10" s="94"/>
      <c r="B10" s="95"/>
      <c r="C10" s="100"/>
      <c r="D10" s="101"/>
    </row>
    <row r="11" spans="1:4" ht="45.75" customHeight="1">
      <c r="A11" s="94"/>
      <c r="B11" s="95"/>
      <c r="C11" s="100"/>
      <c r="D11" s="101"/>
    </row>
    <row r="12" spans="1:4" ht="45.75" customHeight="1">
      <c r="A12" s="94"/>
      <c r="B12" s="95"/>
      <c r="C12" s="100"/>
      <c r="D12" s="101"/>
    </row>
    <row r="13" spans="1:4" ht="45.75" customHeight="1">
      <c r="A13" s="94"/>
      <c r="B13" s="95"/>
      <c r="C13" s="100"/>
      <c r="D13" s="101"/>
    </row>
    <row r="14" spans="1:4" ht="45.75" customHeight="1">
      <c r="A14" s="94"/>
      <c r="B14" s="95"/>
      <c r="C14" s="100"/>
      <c r="D14" s="101"/>
    </row>
    <row r="15" spans="1:4" ht="45.75" customHeight="1">
      <c r="A15" s="94"/>
      <c r="B15" s="95"/>
      <c r="C15" s="100"/>
      <c r="D15" s="101"/>
    </row>
    <row r="16" spans="1:4" ht="45.7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68" orientation="portrait" useFirstPageNumber="1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9"/>
  <dimension ref="A1:M54"/>
  <sheetViews>
    <sheetView showGridLines="0" showZeros="0" view="pageBreakPreview" topLeftCell="A4" zoomScaleNormal="100" workbookViewId="0"/>
  </sheetViews>
  <sheetFormatPr defaultRowHeight="17.25" customHeight="1"/>
  <cols>
    <col min="1" max="1" width="3.140625" style="138" customWidth="1"/>
    <col min="2" max="2" width="10.5703125" style="138" customWidth="1"/>
    <col min="3" max="3" width="1.85546875" style="138" customWidth="1"/>
    <col min="4" max="4" width="27.5703125" style="138" customWidth="1"/>
    <col min="5" max="5" width="1.85546875" style="138" customWidth="1"/>
    <col min="6" max="6" width="16.5703125" style="138" customWidth="1"/>
    <col min="7" max="7" width="14.85546875" style="138" customWidth="1"/>
    <col min="8" max="8" width="18.7109375" style="138" customWidth="1"/>
    <col min="9" max="9" width="9.140625" style="138"/>
    <col min="10" max="10" width="14.42578125" style="138" bestFit="1" customWidth="1"/>
    <col min="11" max="16384" width="9.140625" style="138"/>
  </cols>
  <sheetData>
    <row r="1" spans="1:13" ht="17.25" customHeight="1">
      <c r="A1" s="137" t="s">
        <v>495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44" customFormat="1" ht="38.25" customHeight="1">
      <c r="A2" s="139" t="s">
        <v>310</v>
      </c>
      <c r="B2" s="140"/>
      <c r="C2" s="141"/>
      <c r="D2" s="141"/>
      <c r="E2" s="141"/>
      <c r="F2" s="142"/>
      <c r="G2" s="142"/>
      <c r="H2" s="143"/>
    </row>
    <row r="3" spans="1:13" ht="7.5" customHeight="1"/>
    <row r="4" spans="1:13" s="146" customFormat="1" ht="17.25" customHeight="1">
      <c r="A4" s="145" t="s">
        <v>311</v>
      </c>
      <c r="C4" s="147"/>
      <c r="D4" s="148"/>
      <c r="F4" s="149"/>
      <c r="G4" s="150"/>
      <c r="H4" s="151" t="s">
        <v>312</v>
      </c>
    </row>
    <row r="5" spans="1:13" s="160" customFormat="1" ht="21.75" customHeight="1">
      <c r="A5" s="152" t="s">
        <v>135</v>
      </c>
      <c r="B5" s="153"/>
      <c r="C5" s="154"/>
      <c r="D5" s="155" t="s">
        <v>313</v>
      </c>
      <c r="E5" s="156"/>
      <c r="F5" s="157" t="s">
        <v>136</v>
      </c>
      <c r="G5" s="158" t="s">
        <v>314</v>
      </c>
      <c r="H5" s="159" t="s">
        <v>117</v>
      </c>
    </row>
    <row r="6" spans="1:13" s="168" customFormat="1" ht="12" customHeight="1">
      <c r="A6" s="161"/>
      <c r="B6" s="162">
        <v>21</v>
      </c>
      <c r="C6" s="161"/>
      <c r="D6" s="163" t="s">
        <v>315</v>
      </c>
      <c r="E6" s="164"/>
      <c r="F6" s="165">
        <v>19353405</v>
      </c>
      <c r="G6" s="166">
        <f>SUM(F6/$F$6%)</f>
        <v>100</v>
      </c>
      <c r="H6" s="167"/>
    </row>
    <row r="7" spans="1:13" s="168" customFormat="1" ht="12" customHeight="1">
      <c r="A7" s="161"/>
      <c r="B7" s="162">
        <v>22</v>
      </c>
      <c r="C7" s="161"/>
      <c r="D7" s="163" t="s">
        <v>316</v>
      </c>
      <c r="E7" s="164"/>
      <c r="F7" s="165">
        <v>5197245</v>
      </c>
      <c r="G7" s="166">
        <f t="shared" ref="G7:G52" si="0">SUM(F7/$F$6%)</f>
        <v>26.854421741290487</v>
      </c>
      <c r="H7" s="167"/>
    </row>
    <row r="8" spans="1:13" s="168" customFormat="1" ht="12" customHeight="1">
      <c r="A8" s="161"/>
      <c r="B8" s="162">
        <v>23</v>
      </c>
      <c r="C8" s="161"/>
      <c r="D8" s="163" t="s">
        <v>317</v>
      </c>
      <c r="E8" s="164"/>
      <c r="F8" s="165">
        <v>14156160</v>
      </c>
      <c r="G8" s="166">
        <f t="shared" si="0"/>
        <v>73.14557825870952</v>
      </c>
      <c r="H8" s="167"/>
    </row>
    <row r="9" spans="1:13" s="168" customFormat="1" ht="12" customHeight="1">
      <c r="A9" s="161"/>
      <c r="B9" s="162">
        <v>241</v>
      </c>
      <c r="C9" s="161"/>
      <c r="D9" s="163" t="s">
        <v>318</v>
      </c>
      <c r="E9" s="164"/>
      <c r="F9" s="165">
        <v>13228114</v>
      </c>
      <c r="G9" s="166">
        <f t="shared" si="0"/>
        <v>68.350318716525592</v>
      </c>
      <c r="H9" s="167"/>
    </row>
    <row r="10" spans="1:13" s="168" customFormat="1" ht="12" customHeight="1">
      <c r="A10" s="169"/>
      <c r="B10" s="170">
        <v>24101</v>
      </c>
      <c r="C10" s="169"/>
      <c r="D10" s="171" t="s">
        <v>319</v>
      </c>
      <c r="E10" s="172"/>
      <c r="F10" s="173">
        <v>7700965</v>
      </c>
      <c r="G10" s="174">
        <f t="shared" si="0"/>
        <v>39.791266704747827</v>
      </c>
      <c r="H10" s="175"/>
    </row>
    <row r="11" spans="1:13" s="168" customFormat="1" ht="12" customHeight="1">
      <c r="A11" s="176"/>
      <c r="B11" s="177">
        <v>24102</v>
      </c>
      <c r="C11" s="176"/>
      <c r="D11" s="178" t="s">
        <v>320</v>
      </c>
      <c r="E11" s="179"/>
      <c r="F11" s="180">
        <v>377061</v>
      </c>
      <c r="G11" s="181">
        <f t="shared" si="0"/>
        <v>1.9482928197906262</v>
      </c>
      <c r="H11" s="182"/>
    </row>
    <row r="12" spans="1:13" s="168" customFormat="1" ht="12" customHeight="1">
      <c r="A12" s="176"/>
      <c r="B12" s="177">
        <v>24103</v>
      </c>
      <c r="C12" s="176"/>
      <c r="D12" s="178" t="s">
        <v>321</v>
      </c>
      <c r="E12" s="179"/>
      <c r="F12" s="180">
        <v>584675</v>
      </c>
      <c r="G12" s="181">
        <f t="shared" si="0"/>
        <v>3.0210446172133536</v>
      </c>
      <c r="H12" s="182"/>
    </row>
    <row r="13" spans="1:13" s="168" customFormat="1" ht="12" customHeight="1">
      <c r="A13" s="176"/>
      <c r="B13" s="177">
        <v>24104</v>
      </c>
      <c r="C13" s="176"/>
      <c r="D13" s="178" t="s">
        <v>322</v>
      </c>
      <c r="E13" s="179"/>
      <c r="F13" s="180">
        <v>79470</v>
      </c>
      <c r="G13" s="181">
        <f t="shared" si="0"/>
        <v>0.41062541707777006</v>
      </c>
      <c r="H13" s="182"/>
    </row>
    <row r="14" spans="1:13" s="168" customFormat="1" ht="12" customHeight="1">
      <c r="A14" s="176"/>
      <c r="B14" s="177">
        <v>24105</v>
      </c>
      <c r="C14" s="176"/>
      <c r="D14" s="178" t="s">
        <v>323</v>
      </c>
      <c r="E14" s="179"/>
      <c r="F14" s="180">
        <v>192594</v>
      </c>
      <c r="G14" s="181">
        <f t="shared" si="0"/>
        <v>0.99514271519662822</v>
      </c>
      <c r="H14" s="182"/>
    </row>
    <row r="15" spans="1:13" s="168" customFormat="1" ht="12" customHeight="1">
      <c r="A15" s="176"/>
      <c r="B15" s="177">
        <v>24106</v>
      </c>
      <c r="C15" s="176"/>
      <c r="D15" s="178" t="s">
        <v>324</v>
      </c>
      <c r="E15" s="179"/>
      <c r="F15" s="180">
        <v>214640</v>
      </c>
      <c r="G15" s="181">
        <f t="shared" si="0"/>
        <v>1.1090554866185047</v>
      </c>
      <c r="H15" s="182"/>
    </row>
    <row r="16" spans="1:13" s="168" customFormat="1" ht="12" customHeight="1">
      <c r="A16" s="176"/>
      <c r="B16" s="177">
        <v>24107</v>
      </c>
      <c r="C16" s="176"/>
      <c r="D16" s="178" t="s">
        <v>325</v>
      </c>
      <c r="E16" s="179"/>
      <c r="F16" s="180">
        <v>127177</v>
      </c>
      <c r="G16" s="181">
        <f t="shared" si="0"/>
        <v>0.6571298435598284</v>
      </c>
      <c r="H16" s="182"/>
    </row>
    <row r="17" spans="1:8" s="168" customFormat="1" ht="12" customHeight="1">
      <c r="A17" s="176"/>
      <c r="B17" s="177">
        <v>24108</v>
      </c>
      <c r="C17" s="176"/>
      <c r="D17" s="178" t="s">
        <v>326</v>
      </c>
      <c r="E17" s="179"/>
      <c r="F17" s="183">
        <v>134225</v>
      </c>
      <c r="G17" s="181">
        <f t="shared" si="0"/>
        <v>0.69354720784275437</v>
      </c>
      <c r="H17" s="184" t="s">
        <v>327</v>
      </c>
    </row>
    <row r="18" spans="1:8" s="168" customFormat="1" ht="12" customHeight="1">
      <c r="A18" s="176"/>
      <c r="B18" s="177">
        <v>24109</v>
      </c>
      <c r="C18" s="176"/>
      <c r="D18" s="178" t="s">
        <v>328</v>
      </c>
      <c r="E18" s="179"/>
      <c r="F18" s="183">
        <v>161745</v>
      </c>
      <c r="G18" s="181">
        <f t="shared" si="0"/>
        <v>0.83574440776700543</v>
      </c>
      <c r="H18" s="184" t="s">
        <v>137</v>
      </c>
    </row>
    <row r="19" spans="1:8" s="168" customFormat="1" ht="12" customHeight="1">
      <c r="A19" s="176"/>
      <c r="B19" s="177">
        <v>24110</v>
      </c>
      <c r="C19" s="176"/>
      <c r="D19" s="178" t="s">
        <v>329</v>
      </c>
      <c r="E19" s="179"/>
      <c r="F19" s="183">
        <v>1167</v>
      </c>
      <c r="G19" s="181">
        <f t="shared" si="0"/>
        <v>6.0299466682994544E-3</v>
      </c>
      <c r="H19" s="184"/>
    </row>
    <row r="20" spans="1:8" s="168" customFormat="1" ht="12" customHeight="1">
      <c r="A20" s="176"/>
      <c r="B20" s="177">
        <v>24111</v>
      </c>
      <c r="C20" s="176"/>
      <c r="D20" s="178" t="s">
        <v>330</v>
      </c>
      <c r="E20" s="179"/>
      <c r="F20" s="183">
        <v>173143</v>
      </c>
      <c r="G20" s="181">
        <f t="shared" si="0"/>
        <v>0.89463843700888812</v>
      </c>
      <c r="H20" s="184"/>
    </row>
    <row r="21" spans="1:8" s="168" customFormat="1" ht="12" customHeight="1">
      <c r="A21" s="176"/>
      <c r="B21" s="177">
        <v>24112</v>
      </c>
      <c r="C21" s="176"/>
      <c r="D21" s="178" t="s">
        <v>331</v>
      </c>
      <c r="E21" s="179"/>
      <c r="F21" s="183">
        <v>72006</v>
      </c>
      <c r="G21" s="181">
        <f t="shared" si="0"/>
        <v>0.37205856023784967</v>
      </c>
      <c r="H21" s="184" t="s">
        <v>327</v>
      </c>
    </row>
    <row r="22" spans="1:8" s="168" customFormat="1" ht="12" customHeight="1">
      <c r="A22" s="176"/>
      <c r="B22" s="177">
        <v>24113</v>
      </c>
      <c r="C22" s="176"/>
      <c r="D22" s="178" t="s">
        <v>332</v>
      </c>
      <c r="E22" s="179"/>
      <c r="F22" s="183">
        <v>58681</v>
      </c>
      <c r="G22" s="181">
        <f t="shared" si="0"/>
        <v>0.30320762677161978</v>
      </c>
      <c r="H22" s="184" t="s">
        <v>333</v>
      </c>
    </row>
    <row r="23" spans="1:8" s="168" customFormat="1" ht="12" customHeight="1">
      <c r="A23" s="176"/>
      <c r="B23" s="177">
        <v>24114</v>
      </c>
      <c r="C23" s="176"/>
      <c r="D23" s="178" t="s">
        <v>334</v>
      </c>
      <c r="E23" s="179"/>
      <c r="F23" s="183">
        <v>17916</v>
      </c>
      <c r="G23" s="181">
        <f t="shared" si="0"/>
        <v>9.2572857334407052E-2</v>
      </c>
      <c r="H23" s="184" t="s">
        <v>333</v>
      </c>
    </row>
    <row r="24" spans="1:8" s="168" customFormat="1" ht="12" customHeight="1">
      <c r="A24" s="176"/>
      <c r="B24" s="177">
        <v>241141</v>
      </c>
      <c r="C24" s="176"/>
      <c r="D24" s="178" t="s">
        <v>335</v>
      </c>
      <c r="E24" s="179"/>
      <c r="F24" s="183">
        <v>186</v>
      </c>
      <c r="G24" s="181">
        <f t="shared" si="0"/>
        <v>9.6107119134849919E-4</v>
      </c>
      <c r="H24" s="184"/>
    </row>
    <row r="25" spans="1:8" s="168" customFormat="1" ht="12" customHeight="1">
      <c r="A25" s="176"/>
      <c r="B25" s="177">
        <v>24115</v>
      </c>
      <c r="C25" s="176"/>
      <c r="D25" s="178" t="s">
        <v>336</v>
      </c>
      <c r="E25" s="179"/>
      <c r="F25" s="183">
        <v>1038601</v>
      </c>
      <c r="G25" s="181">
        <f t="shared" si="0"/>
        <v>5.366502690353455</v>
      </c>
      <c r="H25" s="184"/>
    </row>
    <row r="26" spans="1:8" s="168" customFormat="1" ht="12" customHeight="1">
      <c r="A26" s="185"/>
      <c r="B26" s="186">
        <v>24116</v>
      </c>
      <c r="C26" s="185"/>
      <c r="D26" s="187" t="s">
        <v>337</v>
      </c>
      <c r="E26" s="188"/>
      <c r="F26" s="189">
        <v>2294050</v>
      </c>
      <c r="G26" s="190">
        <f t="shared" si="0"/>
        <v>11.853469712435617</v>
      </c>
      <c r="H26" s="184" t="s">
        <v>327</v>
      </c>
    </row>
    <row r="27" spans="1:8" s="168" customFormat="1" ht="12" customHeight="1">
      <c r="A27" s="161"/>
      <c r="B27" s="162">
        <v>24</v>
      </c>
      <c r="C27" s="161"/>
      <c r="D27" s="163" t="s">
        <v>338</v>
      </c>
      <c r="E27" s="164"/>
      <c r="F27" s="191">
        <v>928047</v>
      </c>
      <c r="G27" s="166">
        <f t="shared" si="0"/>
        <v>4.7952647092333365</v>
      </c>
      <c r="H27" s="167"/>
    </row>
    <row r="28" spans="1:8" s="168" customFormat="1" ht="12" customHeight="1">
      <c r="A28" s="161"/>
      <c r="B28" s="162">
        <v>251</v>
      </c>
      <c r="C28" s="161"/>
      <c r="D28" s="163" t="s">
        <v>339</v>
      </c>
      <c r="E28" s="164"/>
      <c r="F28" s="191">
        <v>664103</v>
      </c>
      <c r="G28" s="166">
        <f t="shared" si="0"/>
        <v>3.4314530182156577</v>
      </c>
      <c r="H28" s="167"/>
    </row>
    <row r="29" spans="1:8" s="168" customFormat="1" ht="12" customHeight="1">
      <c r="A29" s="169"/>
      <c r="B29" s="170">
        <v>25101</v>
      </c>
      <c r="C29" s="169"/>
      <c r="D29" s="171" t="s">
        <v>340</v>
      </c>
      <c r="E29" s="172"/>
      <c r="F29" s="192">
        <v>157891</v>
      </c>
      <c r="G29" s="174">
        <f t="shared" si="0"/>
        <v>0.81583059931831126</v>
      </c>
      <c r="H29" s="175"/>
    </row>
    <row r="30" spans="1:8" s="168" customFormat="1" ht="12" customHeight="1">
      <c r="A30" s="176"/>
      <c r="B30" s="177">
        <v>25102</v>
      </c>
      <c r="C30" s="176"/>
      <c r="D30" s="178" t="s">
        <v>341</v>
      </c>
      <c r="E30" s="179"/>
      <c r="F30" s="183">
        <v>1406</v>
      </c>
      <c r="G30" s="181">
        <f t="shared" si="0"/>
        <v>7.2648714786881178E-3</v>
      </c>
      <c r="H30" s="182"/>
    </row>
    <row r="31" spans="1:8" s="168" customFormat="1" ht="12" customHeight="1">
      <c r="A31" s="176"/>
      <c r="B31" s="177">
        <v>25103</v>
      </c>
      <c r="C31" s="176"/>
      <c r="D31" s="178" t="s">
        <v>342</v>
      </c>
      <c r="E31" s="179"/>
      <c r="F31" s="180">
        <v>16075</v>
      </c>
      <c r="G31" s="181">
        <f t="shared" si="0"/>
        <v>8.3060319359823248E-2</v>
      </c>
      <c r="H31" s="182"/>
    </row>
    <row r="32" spans="1:8" s="168" customFormat="1" ht="12" customHeight="1">
      <c r="A32" s="176"/>
      <c r="B32" s="177">
        <v>25104</v>
      </c>
      <c r="C32" s="176"/>
      <c r="D32" s="178" t="s">
        <v>343</v>
      </c>
      <c r="E32" s="179"/>
      <c r="F32" s="180">
        <v>179656</v>
      </c>
      <c r="G32" s="181">
        <f t="shared" si="0"/>
        <v>0.92829142985433322</v>
      </c>
      <c r="H32" s="182"/>
    </row>
    <row r="33" spans="1:8" s="168" customFormat="1" ht="12" customHeight="1">
      <c r="A33" s="176"/>
      <c r="B33" s="177">
        <v>25105</v>
      </c>
      <c r="C33" s="176"/>
      <c r="D33" s="178" t="s">
        <v>344</v>
      </c>
      <c r="E33" s="179"/>
      <c r="F33" s="180">
        <v>0</v>
      </c>
      <c r="G33" s="181">
        <f t="shared" si="0"/>
        <v>0</v>
      </c>
      <c r="H33" s="182"/>
    </row>
    <row r="34" spans="1:8" s="168" customFormat="1" ht="12" customHeight="1">
      <c r="A34" s="176"/>
      <c r="B34" s="177">
        <v>25106</v>
      </c>
      <c r="C34" s="176"/>
      <c r="D34" s="178" t="s">
        <v>345</v>
      </c>
      <c r="E34" s="179"/>
      <c r="F34" s="180">
        <v>0</v>
      </c>
      <c r="G34" s="181">
        <f t="shared" si="0"/>
        <v>0</v>
      </c>
      <c r="H34" s="182"/>
    </row>
    <row r="35" spans="1:8" s="193" customFormat="1" ht="12" customHeight="1">
      <c r="A35" s="176"/>
      <c r="B35" s="177">
        <v>25107</v>
      </c>
      <c r="C35" s="176"/>
      <c r="D35" s="178" t="s">
        <v>346</v>
      </c>
      <c r="E35" s="179"/>
      <c r="F35" s="180">
        <v>68425</v>
      </c>
      <c r="G35" s="181">
        <f t="shared" si="0"/>
        <v>0.3535553562796831</v>
      </c>
      <c r="H35" s="182"/>
    </row>
    <row r="36" spans="1:8" s="193" customFormat="1" ht="12" customHeight="1">
      <c r="A36" s="176"/>
      <c r="B36" s="177">
        <v>25108</v>
      </c>
      <c r="C36" s="176"/>
      <c r="D36" s="178" t="s">
        <v>347</v>
      </c>
      <c r="E36" s="179"/>
      <c r="F36" s="180">
        <v>15347</v>
      </c>
      <c r="G36" s="181">
        <f t="shared" si="0"/>
        <v>7.9298707385082892E-2</v>
      </c>
      <c r="H36" s="182"/>
    </row>
    <row r="37" spans="1:8" s="193" customFormat="1" ht="12" customHeight="1">
      <c r="A37" s="185"/>
      <c r="B37" s="177">
        <v>25109</v>
      </c>
      <c r="C37" s="185"/>
      <c r="D37" s="187" t="s">
        <v>348</v>
      </c>
      <c r="E37" s="188"/>
      <c r="F37" s="180">
        <v>225304</v>
      </c>
      <c r="G37" s="190">
        <f t="shared" si="0"/>
        <v>1.164156901589152</v>
      </c>
      <c r="H37" s="194"/>
    </row>
    <row r="38" spans="1:8" s="168" customFormat="1" ht="12" customHeight="1">
      <c r="A38" s="161"/>
      <c r="B38" s="162">
        <v>252</v>
      </c>
      <c r="C38" s="161"/>
      <c r="D38" s="163" t="s">
        <v>349</v>
      </c>
      <c r="E38" s="164"/>
      <c r="F38" s="165">
        <v>648011</v>
      </c>
      <c r="G38" s="166">
        <f t="shared" si="0"/>
        <v>3.3483048590157649</v>
      </c>
      <c r="H38" s="167"/>
    </row>
    <row r="39" spans="1:8" s="168" customFormat="1" ht="12" customHeight="1">
      <c r="A39" s="169"/>
      <c r="B39" s="170">
        <v>25201</v>
      </c>
      <c r="C39" s="169"/>
      <c r="D39" s="171" t="s">
        <v>350</v>
      </c>
      <c r="E39" s="172"/>
      <c r="F39" s="173">
        <v>143759</v>
      </c>
      <c r="G39" s="174">
        <f t="shared" si="0"/>
        <v>0.74280985697348867</v>
      </c>
      <c r="H39" s="175"/>
    </row>
    <row r="40" spans="1:8" s="168" customFormat="1" ht="12" customHeight="1">
      <c r="A40" s="176"/>
      <c r="B40" s="177">
        <v>25202</v>
      </c>
      <c r="C40" s="176"/>
      <c r="D40" s="178" t="s">
        <v>351</v>
      </c>
      <c r="E40" s="179"/>
      <c r="F40" s="180">
        <v>194289</v>
      </c>
      <c r="G40" s="181">
        <f t="shared" si="0"/>
        <v>1.0039008639564977</v>
      </c>
      <c r="H40" s="182"/>
    </row>
    <row r="41" spans="1:8" s="168" customFormat="1" ht="12" customHeight="1">
      <c r="A41" s="176"/>
      <c r="B41" s="177">
        <v>25203</v>
      </c>
      <c r="C41" s="176"/>
      <c r="D41" s="178" t="s">
        <v>352</v>
      </c>
      <c r="E41" s="179"/>
      <c r="F41" s="180">
        <v>1275</v>
      </c>
      <c r="G41" s="181">
        <f t="shared" si="0"/>
        <v>6.5879880052114861E-3</v>
      </c>
      <c r="H41" s="182"/>
    </row>
    <row r="42" spans="1:8" s="168" customFormat="1" ht="12" customHeight="1">
      <c r="A42" s="176"/>
      <c r="B42" s="177">
        <v>25204</v>
      </c>
      <c r="C42" s="176"/>
      <c r="D42" s="178" t="s">
        <v>353</v>
      </c>
      <c r="E42" s="179"/>
      <c r="F42" s="180">
        <v>0</v>
      </c>
      <c r="G42" s="181">
        <f t="shared" si="0"/>
        <v>0</v>
      </c>
      <c r="H42" s="182"/>
    </row>
    <row r="43" spans="1:8" s="168" customFormat="1" ht="12" customHeight="1">
      <c r="A43" s="176"/>
      <c r="B43" s="177">
        <v>25205</v>
      </c>
      <c r="C43" s="176"/>
      <c r="D43" s="178" t="s">
        <v>354</v>
      </c>
      <c r="E43" s="179"/>
      <c r="F43" s="180">
        <v>0</v>
      </c>
      <c r="G43" s="181">
        <f t="shared" si="0"/>
        <v>0</v>
      </c>
      <c r="H43" s="182"/>
    </row>
    <row r="44" spans="1:8" s="193" customFormat="1" ht="12" customHeight="1">
      <c r="A44" s="176"/>
      <c r="B44" s="177">
        <v>25206</v>
      </c>
      <c r="C44" s="176"/>
      <c r="D44" s="178" t="s">
        <v>355</v>
      </c>
      <c r="E44" s="179"/>
      <c r="F44" s="180">
        <v>13974</v>
      </c>
      <c r="G44" s="181">
        <f t="shared" si="0"/>
        <v>7.2204348537117893E-2</v>
      </c>
      <c r="H44" s="182"/>
    </row>
    <row r="45" spans="1:8" s="193" customFormat="1" ht="12" customHeight="1">
      <c r="A45" s="176"/>
      <c r="B45" s="177">
        <v>25207</v>
      </c>
      <c r="C45" s="176"/>
      <c r="D45" s="178" t="s">
        <v>356</v>
      </c>
      <c r="E45" s="179"/>
      <c r="F45" s="180">
        <v>80120</v>
      </c>
      <c r="G45" s="181">
        <f t="shared" si="0"/>
        <v>0.41398399919807394</v>
      </c>
      <c r="H45" s="182"/>
    </row>
    <row r="46" spans="1:8" s="193" customFormat="1" ht="12" customHeight="1">
      <c r="A46" s="176"/>
      <c r="B46" s="177">
        <v>25208</v>
      </c>
      <c r="C46" s="176"/>
      <c r="D46" s="178" t="s">
        <v>357</v>
      </c>
      <c r="E46" s="179"/>
      <c r="F46" s="180">
        <v>0</v>
      </c>
      <c r="G46" s="181">
        <f t="shared" si="0"/>
        <v>0</v>
      </c>
      <c r="H46" s="182"/>
    </row>
    <row r="47" spans="1:8" s="168" customFormat="1" ht="12" customHeight="1">
      <c r="A47" s="185"/>
      <c r="B47" s="177">
        <v>25209</v>
      </c>
      <c r="C47" s="185"/>
      <c r="D47" s="187" t="s">
        <v>358</v>
      </c>
      <c r="E47" s="188"/>
      <c r="F47" s="195">
        <v>214594</v>
      </c>
      <c r="G47" s="190">
        <f t="shared" si="0"/>
        <v>1.1088178023453754</v>
      </c>
      <c r="H47" s="194"/>
    </row>
    <row r="48" spans="1:8" s="168" customFormat="1" ht="12" customHeight="1">
      <c r="A48" s="161"/>
      <c r="B48" s="162">
        <v>25</v>
      </c>
      <c r="C48" s="161"/>
      <c r="D48" s="163" t="s">
        <v>359</v>
      </c>
      <c r="E48" s="164"/>
      <c r="F48" s="196">
        <v>944139</v>
      </c>
      <c r="G48" s="166">
        <f t="shared" si="0"/>
        <v>4.8784128684332293</v>
      </c>
      <c r="H48" s="167"/>
    </row>
    <row r="49" spans="1:8" s="168" customFormat="1" ht="12" customHeight="1">
      <c r="A49" s="161"/>
      <c r="B49" s="162">
        <v>261</v>
      </c>
      <c r="C49" s="161"/>
      <c r="D49" s="163" t="s">
        <v>360</v>
      </c>
      <c r="E49" s="164"/>
      <c r="F49" s="165">
        <v>170947</v>
      </c>
      <c r="G49" s="166">
        <f t="shared" si="0"/>
        <v>0.88329159649167688</v>
      </c>
      <c r="H49" s="167"/>
    </row>
    <row r="50" spans="1:8" s="168" customFormat="1" ht="12" customHeight="1">
      <c r="A50" s="161"/>
      <c r="B50" s="162">
        <v>26</v>
      </c>
      <c r="C50" s="161"/>
      <c r="D50" s="163" t="s">
        <v>361</v>
      </c>
      <c r="E50" s="164"/>
      <c r="F50" s="196">
        <v>773192</v>
      </c>
      <c r="G50" s="166">
        <f t="shared" si="0"/>
        <v>3.9951212719415525</v>
      </c>
      <c r="H50" s="167"/>
    </row>
    <row r="51" spans="1:8" s="168" customFormat="1" ht="12" customHeight="1">
      <c r="A51" s="161"/>
      <c r="B51" s="162">
        <v>27</v>
      </c>
      <c r="C51" s="161"/>
      <c r="D51" s="163" t="s">
        <v>362</v>
      </c>
      <c r="E51" s="164"/>
      <c r="F51" s="196">
        <v>0</v>
      </c>
      <c r="G51" s="166">
        <f t="shared" si="0"/>
        <v>0</v>
      </c>
      <c r="H51" s="167"/>
    </row>
    <row r="52" spans="1:8" s="168" customFormat="1" ht="12" customHeight="1">
      <c r="A52" s="161"/>
      <c r="B52" s="162">
        <v>28</v>
      </c>
      <c r="C52" s="161"/>
      <c r="D52" s="163" t="s">
        <v>363</v>
      </c>
      <c r="E52" s="164"/>
      <c r="F52" s="196">
        <v>773192</v>
      </c>
      <c r="G52" s="166">
        <f t="shared" si="0"/>
        <v>3.9951212719415525</v>
      </c>
      <c r="H52" s="167"/>
    </row>
    <row r="53" spans="1:8" s="160" customFormat="1" ht="12.2" customHeight="1">
      <c r="A53" s="197" t="s">
        <v>428</v>
      </c>
      <c r="C53" s="198"/>
      <c r="D53" s="199"/>
      <c r="E53" s="200"/>
      <c r="F53" s="201"/>
      <c r="G53" s="202"/>
      <c r="H53" s="200"/>
    </row>
    <row r="54" spans="1:8" s="160" customFormat="1" ht="12.2" customHeight="1">
      <c r="A54" s="197" t="s">
        <v>364</v>
      </c>
      <c r="C54" s="198"/>
      <c r="D54" s="199"/>
      <c r="E54" s="200"/>
      <c r="F54" s="201"/>
      <c r="G54" s="202"/>
      <c r="H54" s="200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96" orientation="portrait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D22"/>
  <sheetViews>
    <sheetView showGridLines="0" showZeros="0" view="pageBreakPreview" topLeftCell="A4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78" t="s">
        <v>436</v>
      </c>
      <c r="D8" s="878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6" orientation="portrait" useFirstPageNumber="1" r:id="rId1"/>
  <headerFooter alignWithMargins="0">
    <oddFooter>&amp;C&amp;"바탕체,보통"&amp;10-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showGridLines="0" showZeros="0" view="pageBreakPreview" topLeftCell="A7" zoomScaleNormal="10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42578125" style="86" customWidth="1"/>
    <col min="3" max="3" width="9.85546875" style="86" customWidth="1"/>
    <col min="4" max="4" width="48.710937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0"/>
      <c r="C4" s="90"/>
      <c r="D4" s="90"/>
    </row>
    <row r="5" spans="1:4" s="92" customFormat="1" ht="30" customHeight="1">
      <c r="A5" s="90"/>
      <c r="B5" s="90"/>
      <c r="C5" s="90"/>
      <c r="D5" s="90"/>
    </row>
    <row r="6" spans="1:4" ht="30" customHeight="1">
      <c r="A6" s="90"/>
      <c r="B6" s="90"/>
      <c r="C6" s="90"/>
      <c r="D6" s="90"/>
    </row>
    <row r="7" spans="1:4" ht="30" customHeight="1">
      <c r="A7" s="90"/>
      <c r="B7" s="93"/>
      <c r="C7" s="93"/>
      <c r="D7" s="93"/>
    </row>
    <row r="8" spans="1:4" ht="39.950000000000003" customHeight="1">
      <c r="A8" s="94"/>
      <c r="B8" s="95"/>
      <c r="C8" s="878" t="s">
        <v>471</v>
      </c>
      <c r="D8" s="878"/>
    </row>
    <row r="9" spans="1:4" ht="30" customHeight="1">
      <c r="A9" s="94"/>
      <c r="B9" s="95"/>
      <c r="C9" s="96"/>
      <c r="D9" s="97"/>
    </row>
    <row r="10" spans="1:4" ht="30" customHeight="1">
      <c r="A10" s="94"/>
      <c r="B10" s="95"/>
      <c r="C10" s="96"/>
      <c r="D10" s="97"/>
    </row>
    <row r="11" spans="1:4" ht="30" customHeight="1">
      <c r="A11" s="94"/>
      <c r="B11" s="95"/>
      <c r="C11" s="96"/>
      <c r="D11" s="97"/>
    </row>
    <row r="12" spans="1:4" ht="30" customHeight="1">
      <c r="A12" s="94"/>
      <c r="B12" s="95"/>
      <c r="C12" s="96"/>
      <c r="D12" s="97"/>
    </row>
    <row r="13" spans="1:4" ht="30" customHeight="1">
      <c r="A13" s="94"/>
      <c r="B13" s="95"/>
      <c r="C13" s="96"/>
      <c r="D13" s="97"/>
    </row>
    <row r="14" spans="1:4" ht="30" customHeight="1">
      <c r="A14" s="94"/>
      <c r="B14" s="95"/>
      <c r="C14" s="96"/>
      <c r="D14" s="97"/>
    </row>
    <row r="15" spans="1:4" ht="30" customHeight="1">
      <c r="A15" s="94"/>
      <c r="B15" s="95"/>
      <c r="C15" s="96"/>
      <c r="D15" s="97"/>
    </row>
    <row r="16" spans="1:4" ht="30" customHeight="1">
      <c r="A16" s="94"/>
      <c r="B16" s="95"/>
      <c r="C16" s="96"/>
      <c r="D16" s="97"/>
    </row>
    <row r="17" spans="1:4" ht="30" customHeight="1">
      <c r="A17" s="94"/>
      <c r="B17" s="95"/>
      <c r="C17" s="96"/>
      <c r="D17" s="97"/>
    </row>
    <row r="18" spans="1:4" ht="30" customHeight="1">
      <c r="A18" s="94"/>
      <c r="B18" s="95"/>
      <c r="C18" s="96"/>
      <c r="D18" s="97"/>
    </row>
    <row r="19" spans="1:4" ht="30" customHeight="1">
      <c r="A19" s="94"/>
      <c r="B19" s="95"/>
      <c r="C19" s="96"/>
      <c r="D19" s="97"/>
    </row>
    <row r="20" spans="1:4" ht="30" customHeight="1">
      <c r="A20" s="94"/>
      <c r="B20" s="95"/>
      <c r="C20" s="96"/>
      <c r="D20" s="97"/>
    </row>
    <row r="21" spans="1:4" ht="30" customHeight="1">
      <c r="A21" s="94"/>
      <c r="B21" s="95"/>
      <c r="C21" s="96"/>
      <c r="D21" s="97"/>
    </row>
    <row r="22" spans="1:4" ht="39.950000000000003" customHeight="1">
      <c r="A22" s="98"/>
      <c r="B22" s="98"/>
      <c r="C22" s="98"/>
      <c r="D22" s="98"/>
    </row>
  </sheetData>
  <mergeCells count="2">
    <mergeCell ref="A1:D1"/>
    <mergeCell ref="C8:D8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0" orientation="portrait" useFirstPageNumber="1" r:id="rId1"/>
  <headerFooter alignWithMargins="0">
    <oddFooter>&amp;C&amp;"바탕체,보통"&amp;10-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22"/>
  <sheetViews>
    <sheetView showGridLines="0" showZeros="0" tabSelected="1" view="pageBreakPreview" zoomScaleNormal="100" zoomScaleSheetLayoutView="100" workbookViewId="0">
      <selection activeCell="L21" sqref="L21"/>
    </sheetView>
  </sheetViews>
  <sheetFormatPr defaultRowHeight="12"/>
  <cols>
    <col min="1" max="1" width="5.7109375" style="24" customWidth="1"/>
    <col min="2" max="2" width="1.7109375" style="24" customWidth="1"/>
    <col min="3" max="3" width="12.7109375" style="25" customWidth="1"/>
    <col min="4" max="5" width="1.7109375" style="25" customWidth="1"/>
    <col min="6" max="6" width="14.7109375" style="25" customWidth="1"/>
    <col min="7" max="7" width="1.7109375" style="25" customWidth="1"/>
    <col min="8" max="8" width="5.7109375" style="74" customWidth="1"/>
    <col min="9" max="9" width="1.140625" style="25" customWidth="1"/>
    <col min="10" max="10" width="12.7109375" style="25" customWidth="1"/>
    <col min="11" max="11" width="12.7109375" style="11" customWidth="1"/>
    <col min="12" max="12" width="6.7109375" style="11" customWidth="1"/>
    <col min="13" max="13" width="1.7109375" style="12" customWidth="1"/>
    <col min="14" max="14" width="14.7109375" style="12" customWidth="1"/>
    <col min="15" max="15" width="17.85546875" style="24" bestFit="1" customWidth="1"/>
    <col min="16" max="16" width="16.5703125" style="24" customWidth="1"/>
    <col min="17" max="17" width="9.140625" style="24"/>
    <col min="18" max="18" width="15.28515625" style="24" bestFit="1" customWidth="1"/>
    <col min="19" max="16384" width="9.140625" style="24"/>
  </cols>
  <sheetData>
    <row r="1" spans="1:19" ht="20.100000000000001" customHeight="1">
      <c r="A1" s="28"/>
    </row>
    <row r="2" spans="1:19" ht="39.950000000000003" customHeight="1">
      <c r="A2" s="18" t="s">
        <v>472</v>
      </c>
      <c r="B2" s="18"/>
      <c r="C2" s="19"/>
      <c r="D2" s="19"/>
      <c r="E2" s="19"/>
      <c r="F2" s="19"/>
      <c r="G2" s="19"/>
      <c r="H2" s="75"/>
      <c r="I2" s="19"/>
      <c r="J2" s="19"/>
      <c r="K2" s="19"/>
      <c r="L2" s="19"/>
      <c r="M2" s="18"/>
      <c r="N2" s="18"/>
    </row>
    <row r="3" spans="1:19" ht="20.100000000000001" customHeight="1">
      <c r="A3" s="20"/>
      <c r="B3" s="20"/>
      <c r="C3" s="35"/>
      <c r="D3" s="35"/>
      <c r="E3" s="35"/>
      <c r="F3" s="35"/>
      <c r="G3" s="35"/>
      <c r="H3" s="76"/>
      <c r="I3" s="35"/>
      <c r="J3" s="35"/>
      <c r="K3" s="35"/>
      <c r="L3" s="35"/>
      <c r="M3" s="20"/>
      <c r="N3" s="20"/>
    </row>
    <row r="4" spans="1:19" ht="20.100000000000001" customHeight="1">
      <c r="A4" s="821" t="s">
        <v>635</v>
      </c>
      <c r="N4" s="34" t="s">
        <v>183</v>
      </c>
    </row>
    <row r="5" spans="1:19" ht="39.950000000000003" customHeight="1">
      <c r="A5" s="50" t="s">
        <v>252</v>
      </c>
      <c r="B5" s="51" t="s">
        <v>254</v>
      </c>
      <c r="C5" s="51"/>
      <c r="D5" s="51"/>
      <c r="E5" s="5"/>
      <c r="F5" s="4" t="s">
        <v>253</v>
      </c>
      <c r="G5" s="3"/>
      <c r="H5" s="77" t="s">
        <v>381</v>
      </c>
      <c r="I5" s="52"/>
      <c r="J5" s="53" t="s">
        <v>380</v>
      </c>
      <c r="K5" s="48" t="s">
        <v>6</v>
      </c>
      <c r="L5" s="54" t="s">
        <v>7</v>
      </c>
      <c r="M5" s="52"/>
      <c r="N5" s="48" t="s">
        <v>8</v>
      </c>
    </row>
    <row r="6" spans="1:19" ht="28.5" customHeight="1">
      <c r="A6" s="17"/>
      <c r="B6" s="25"/>
      <c r="C6" s="26"/>
      <c r="D6" s="26"/>
      <c r="E6" s="55"/>
      <c r="F6" s="26"/>
      <c r="G6" s="16"/>
      <c r="H6" s="78" t="s">
        <v>9</v>
      </c>
      <c r="I6" s="57"/>
      <c r="J6" s="57" t="s">
        <v>10</v>
      </c>
      <c r="K6" s="53" t="s">
        <v>11</v>
      </c>
      <c r="L6" s="56" t="s">
        <v>12</v>
      </c>
      <c r="M6" s="57"/>
      <c r="N6" s="57" t="s">
        <v>13</v>
      </c>
      <c r="O6" s="105"/>
      <c r="P6" s="105"/>
    </row>
    <row r="7" spans="1:19" ht="28.5" hidden="1" customHeight="1">
      <c r="A7" s="879"/>
      <c r="B7" s="61"/>
      <c r="C7" s="9">
        <f>인집!B6</f>
        <v>0</v>
      </c>
      <c r="D7" s="9"/>
      <c r="E7" s="62"/>
      <c r="F7" s="73">
        <f>인집!E6</f>
        <v>0</v>
      </c>
      <c r="G7" s="63"/>
      <c r="H7" s="79">
        <f>투입인원!F7</f>
        <v>0</v>
      </c>
      <c r="I7" s="64"/>
      <c r="J7" s="65">
        <f>원가!G35</f>
        <v>0</v>
      </c>
      <c r="K7" s="13">
        <f t="shared" ref="K7:K15" si="0">TRUNC(J7*H7,0)</f>
        <v>0</v>
      </c>
      <c r="L7" s="66">
        <v>12</v>
      </c>
      <c r="M7" s="64"/>
      <c r="N7" s="65">
        <f t="shared" ref="N7:N13" si="1">TRUNC(K7*L7,0)</f>
        <v>0</v>
      </c>
      <c r="O7" s="70"/>
      <c r="P7" s="70"/>
    </row>
    <row r="8" spans="1:19" ht="28.5" hidden="1" customHeight="1">
      <c r="A8" s="881"/>
      <c r="B8" s="25"/>
      <c r="C8" s="10">
        <f>인집!B7</f>
        <v>0</v>
      </c>
      <c r="D8" s="10"/>
      <c r="E8" s="58"/>
      <c r="F8" s="59">
        <f>인집!E7</f>
        <v>0</v>
      </c>
      <c r="G8" s="60"/>
      <c r="H8" s="80">
        <f>투입인원!F8</f>
        <v>0</v>
      </c>
      <c r="I8" s="21"/>
      <c r="J8" s="21">
        <f>원가!G70</f>
        <v>0</v>
      </c>
      <c r="K8" s="13">
        <f t="shared" si="0"/>
        <v>0</v>
      </c>
      <c r="L8" s="22">
        <v>12</v>
      </c>
      <c r="M8" s="21"/>
      <c r="N8" s="13">
        <f>TRUNC(K8*L8,0)</f>
        <v>0</v>
      </c>
      <c r="O8" s="70"/>
      <c r="P8" s="70"/>
    </row>
    <row r="9" spans="1:19" ht="28.5" hidden="1" customHeight="1">
      <c r="A9" s="880"/>
      <c r="B9" s="67"/>
      <c r="C9" s="32">
        <f>인집!B8</f>
        <v>0</v>
      </c>
      <c r="D9" s="32"/>
      <c r="E9" s="68"/>
      <c r="F9" s="72">
        <f>인집!E8</f>
        <v>0</v>
      </c>
      <c r="G9" s="69"/>
      <c r="H9" s="81">
        <f>투입인원!F9</f>
        <v>0</v>
      </c>
      <c r="I9" s="49"/>
      <c r="J9" s="49">
        <f>원가!G105</f>
        <v>0</v>
      </c>
      <c r="K9" s="14">
        <f t="shared" si="0"/>
        <v>0</v>
      </c>
      <c r="L9" s="27">
        <v>12</v>
      </c>
      <c r="M9" s="49"/>
      <c r="N9" s="14">
        <f t="shared" si="1"/>
        <v>0</v>
      </c>
      <c r="O9" s="70"/>
      <c r="P9" s="70"/>
    </row>
    <row r="10" spans="1:19" ht="28.5" hidden="1" customHeight="1">
      <c r="A10" s="879"/>
      <c r="B10" s="61"/>
      <c r="C10" s="9">
        <f>인집!B9</f>
        <v>0</v>
      </c>
      <c r="D10" s="9"/>
      <c r="E10" s="62"/>
      <c r="F10" s="9">
        <f>인집!E9</f>
        <v>0</v>
      </c>
      <c r="G10" s="63"/>
      <c r="H10" s="82">
        <f>투입인원!F11</f>
        <v>0</v>
      </c>
      <c r="I10" s="64"/>
      <c r="J10" s="64">
        <f>원가!G140</f>
        <v>0</v>
      </c>
      <c r="K10" s="65">
        <f t="shared" si="0"/>
        <v>0</v>
      </c>
      <c r="L10" s="66">
        <v>12</v>
      </c>
      <c r="M10" s="64"/>
      <c r="N10" s="65">
        <f t="shared" si="1"/>
        <v>0</v>
      </c>
      <c r="O10" s="70"/>
      <c r="P10" s="70"/>
    </row>
    <row r="11" spans="1:19" ht="28.5" hidden="1" customHeight="1">
      <c r="A11" s="880"/>
      <c r="B11" s="67"/>
      <c r="C11" s="32">
        <f>인집!B10</f>
        <v>0</v>
      </c>
      <c r="D11" s="32"/>
      <c r="E11" s="68"/>
      <c r="F11" s="32">
        <f>인집!E10</f>
        <v>0</v>
      </c>
      <c r="G11" s="69"/>
      <c r="H11" s="83">
        <v>5</v>
      </c>
      <c r="I11" s="49"/>
      <c r="J11" s="49">
        <f>원가!G175</f>
        <v>0</v>
      </c>
      <c r="K11" s="14">
        <f t="shared" si="0"/>
        <v>0</v>
      </c>
      <c r="L11" s="27">
        <v>12</v>
      </c>
      <c r="M11" s="49"/>
      <c r="N11" s="14">
        <f t="shared" si="1"/>
        <v>0</v>
      </c>
      <c r="O11" s="70"/>
      <c r="P11" s="70"/>
    </row>
    <row r="12" spans="1:19" ht="28.5" customHeight="1">
      <c r="A12" s="845" t="s">
        <v>582</v>
      </c>
      <c r="B12" s="846"/>
      <c r="C12" s="847" t="s">
        <v>579</v>
      </c>
      <c r="D12" s="8"/>
      <c r="E12" s="848"/>
      <c r="F12" s="8" t="str">
        <f>인집!E14</f>
        <v>전기기능사</v>
      </c>
      <c r="G12" s="849"/>
      <c r="H12" s="84">
        <f>투입인원!F26</f>
        <v>1</v>
      </c>
      <c r="I12" s="30"/>
      <c r="J12" s="30">
        <f>원가집계!J35</f>
        <v>4153118</v>
      </c>
      <c r="K12" s="15">
        <f t="shared" si="0"/>
        <v>4153118</v>
      </c>
      <c r="L12" s="23">
        <v>12</v>
      </c>
      <c r="M12" s="30"/>
      <c r="N12" s="15">
        <f t="shared" si="1"/>
        <v>49837416</v>
      </c>
      <c r="O12" s="70"/>
      <c r="P12" s="70"/>
    </row>
    <row r="13" spans="1:19" ht="28.5" customHeight="1">
      <c r="A13" s="843" t="s">
        <v>583</v>
      </c>
      <c r="B13" s="67"/>
      <c r="C13" s="842" t="s">
        <v>580</v>
      </c>
      <c r="D13" s="32"/>
      <c r="E13" s="68"/>
      <c r="F13" s="32" t="str">
        <f>인집!E15</f>
        <v>단순노무종사원</v>
      </c>
      <c r="G13" s="69"/>
      <c r="H13" s="83">
        <f>투입인원!F28</f>
        <v>2</v>
      </c>
      <c r="I13" s="49"/>
      <c r="J13" s="49">
        <f>원가집계!H35</f>
        <v>3794873</v>
      </c>
      <c r="K13" s="14">
        <f t="shared" si="0"/>
        <v>7589746</v>
      </c>
      <c r="L13" s="27">
        <v>12</v>
      </c>
      <c r="M13" s="49"/>
      <c r="N13" s="14">
        <f t="shared" si="1"/>
        <v>91076952</v>
      </c>
      <c r="O13" s="70"/>
      <c r="P13" s="70"/>
    </row>
    <row r="14" spans="1:19" ht="28.5" customHeight="1">
      <c r="A14" s="844" t="s">
        <v>584</v>
      </c>
      <c r="B14" s="61"/>
      <c r="C14" s="841" t="s">
        <v>581</v>
      </c>
      <c r="D14" s="9"/>
      <c r="E14" s="62"/>
      <c r="F14" s="9" t="str">
        <f>인집!E16</f>
        <v>단순노무종사원</v>
      </c>
      <c r="G14" s="63"/>
      <c r="H14" s="82"/>
      <c r="I14" s="64"/>
      <c r="J14" s="64">
        <f>원가집계!G35</f>
        <v>0</v>
      </c>
      <c r="K14" s="65">
        <f t="shared" si="0"/>
        <v>0</v>
      </c>
      <c r="L14" s="66"/>
      <c r="M14" s="64"/>
      <c r="N14" s="65">
        <f>TRUNC(K14*L14,0)</f>
        <v>0</v>
      </c>
      <c r="O14" s="70"/>
      <c r="P14" s="70"/>
    </row>
    <row r="15" spans="1:19" ht="28.5" hidden="1" customHeight="1">
      <c r="A15" s="6" t="s">
        <v>379</v>
      </c>
      <c r="B15" s="61"/>
      <c r="C15" s="9" t="str">
        <f>인집!B16</f>
        <v>사무보조원</v>
      </c>
      <c r="D15" s="9"/>
      <c r="E15" s="62"/>
      <c r="F15" s="9" t="str">
        <f>인집!E16</f>
        <v>단순노무종사원</v>
      </c>
      <c r="G15" s="63"/>
      <c r="H15" s="82">
        <f>투입인원!F29</f>
        <v>1</v>
      </c>
      <c r="I15" s="64"/>
      <c r="J15" s="64">
        <f>원가집계!L35</f>
        <v>0</v>
      </c>
      <c r="K15" s="65">
        <f t="shared" si="0"/>
        <v>0</v>
      </c>
      <c r="L15" s="66">
        <v>12</v>
      </c>
      <c r="M15" s="64"/>
      <c r="N15" s="65">
        <f>TRUNC(K15*L15,0)</f>
        <v>0</v>
      </c>
      <c r="O15" s="70"/>
      <c r="P15" s="70"/>
    </row>
    <row r="16" spans="1:19" ht="36" customHeight="1">
      <c r="A16" s="48" t="s">
        <v>14</v>
      </c>
      <c r="B16" s="31"/>
      <c r="C16" s="31"/>
      <c r="D16" s="31"/>
      <c r="E16" s="2"/>
      <c r="F16" s="8"/>
      <c r="G16" s="1"/>
      <c r="H16" s="84">
        <f>SUM(H12:H14)</f>
        <v>3</v>
      </c>
      <c r="I16" s="30"/>
      <c r="J16" s="30"/>
      <c r="K16" s="15"/>
      <c r="L16" s="23"/>
      <c r="M16" s="30"/>
      <c r="N16" s="15">
        <f>SUM(N12:N14)</f>
        <v>140914368</v>
      </c>
      <c r="O16" s="70"/>
      <c r="P16" s="70"/>
      <c r="Q16" s="70"/>
      <c r="R16" s="70"/>
      <c r="S16" s="807"/>
    </row>
    <row r="17" spans="1:15" ht="24.95" customHeight="1">
      <c r="A17" s="29" t="str">
        <f>"주 1) 투입인원 : "&amp;투입인원!A1&amp;투입인원!A2&amp;" 참조"</f>
        <v>주 1) 투입인원 : &lt; 표 : 10 &gt; 적용직종 및 소요인원산정표 참조</v>
      </c>
      <c r="B17" s="29"/>
      <c r="C17" s="29"/>
      <c r="D17" s="29"/>
      <c r="E17" s="7"/>
      <c r="F17" s="10"/>
      <c r="G17" s="7"/>
      <c r="H17" s="85"/>
      <c r="I17" s="7"/>
      <c r="J17" s="7"/>
      <c r="M17" s="11"/>
      <c r="N17" s="11"/>
      <c r="O17" s="70"/>
    </row>
    <row r="18" spans="1:15" ht="24.95" customHeight="1">
      <c r="A18" s="29" t="str">
        <f>"   2) 단위(1인)당월간용역비 : "&amp;원가집계!A1&amp;원가집계!A2&amp;" 참조"</f>
        <v xml:space="preserve">   2) 단위(1인)당월간용역비 : &lt; 표 : 1 &gt; 용역원가계산서 참조</v>
      </c>
      <c r="B18" s="29"/>
      <c r="C18" s="29"/>
      <c r="D18" s="29"/>
      <c r="E18" s="7"/>
      <c r="F18" s="10"/>
      <c r="G18" s="7"/>
      <c r="H18" s="85"/>
      <c r="I18" s="7"/>
      <c r="J18" s="7"/>
      <c r="M18" s="11"/>
      <c r="N18" s="71"/>
    </row>
    <row r="19" spans="1:15" ht="24.95" customHeight="1">
      <c r="A19" s="33" t="s">
        <v>383</v>
      </c>
      <c r="B19" s="33"/>
      <c r="C19" s="29"/>
      <c r="D19" s="29"/>
      <c r="E19" s="7"/>
      <c r="F19" s="10"/>
      <c r="G19" s="7"/>
      <c r="H19" s="85"/>
      <c r="I19" s="7"/>
      <c r="J19" s="7"/>
      <c r="M19" s="11"/>
      <c r="N19" s="71"/>
    </row>
    <row r="20" spans="1:15" ht="24.95" customHeight="1">
      <c r="A20" s="822" t="s">
        <v>634</v>
      </c>
      <c r="B20" s="33"/>
      <c r="C20" s="29"/>
      <c r="D20" s="29"/>
      <c r="E20" s="7"/>
      <c r="F20" s="10"/>
      <c r="G20" s="7"/>
      <c r="H20" s="85"/>
      <c r="I20" s="7"/>
      <c r="J20" s="7"/>
      <c r="M20" s="11"/>
      <c r="N20" s="71"/>
    </row>
    <row r="21" spans="1:15" ht="24.95" customHeight="1">
      <c r="A21" s="33" t="s">
        <v>184</v>
      </c>
      <c r="B21" s="33"/>
      <c r="C21" s="29"/>
      <c r="D21" s="29"/>
      <c r="E21" s="7"/>
      <c r="F21" s="10"/>
      <c r="G21" s="7"/>
      <c r="H21" s="85"/>
      <c r="I21" s="7"/>
      <c r="J21" s="7"/>
      <c r="M21" s="11"/>
      <c r="N21" s="11"/>
    </row>
    <row r="22" spans="1:15" ht="24.95" customHeight="1">
      <c r="A22" s="33" t="s">
        <v>382</v>
      </c>
      <c r="B22" s="33"/>
      <c r="C22" s="29"/>
      <c r="D22" s="29"/>
      <c r="E22" s="7"/>
      <c r="F22" s="10"/>
      <c r="G22" s="7"/>
      <c r="H22" s="85"/>
      <c r="I22" s="7"/>
      <c r="J22" s="7"/>
      <c r="M22" s="11"/>
      <c r="N22" s="11"/>
    </row>
  </sheetData>
  <mergeCells count="2">
    <mergeCell ref="A10:A11"/>
    <mergeCell ref="A7:A9"/>
  </mergeCells>
  <phoneticPr fontId="7" type="noConversion"/>
  <pageMargins left="0.78740157480314965" right="0.78740157480314965" top="0.98425196850393704" bottom="0.98425196850393704" header="0.51181102362204722" footer="0.51181102362204722"/>
  <pageSetup paperSize="9" firstPageNumber="11" orientation="portrait" useFirstPageNumber="1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1:D21"/>
  <sheetViews>
    <sheetView showGridLines="0" showZeros="0" view="pageBreakPreview" topLeftCell="A4" zoomScaleNormal="6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78" t="s">
        <v>456</v>
      </c>
      <c r="D5" s="878"/>
    </row>
    <row r="6" spans="1:4" ht="32.25" customHeight="1">
      <c r="A6" s="94"/>
      <c r="B6" s="95"/>
      <c r="C6" s="96"/>
      <c r="D6" s="99"/>
    </row>
    <row r="7" spans="1:4" ht="32.25" customHeight="1">
      <c r="A7" s="94"/>
      <c r="B7" s="95"/>
      <c r="C7" s="600" t="s">
        <v>473</v>
      </c>
      <c r="D7" s="101" t="s">
        <v>474</v>
      </c>
    </row>
    <row r="8" spans="1:4" ht="32.25" customHeight="1">
      <c r="A8" s="94"/>
      <c r="B8" s="95"/>
      <c r="C8" s="600" t="s">
        <v>466</v>
      </c>
      <c r="D8" s="101" t="s">
        <v>476</v>
      </c>
    </row>
    <row r="9" spans="1:4" ht="32.25" customHeight="1">
      <c r="A9" s="94"/>
      <c r="B9" s="95"/>
      <c r="C9" s="600" t="s">
        <v>467</v>
      </c>
      <c r="D9" s="101" t="s">
        <v>477</v>
      </c>
    </row>
    <row r="10" spans="1:4" ht="32.25" customHeight="1">
      <c r="A10" s="94"/>
      <c r="B10" s="95"/>
      <c r="C10" s="600" t="s">
        <v>468</v>
      </c>
      <c r="D10" s="101" t="s">
        <v>478</v>
      </c>
    </row>
    <row r="11" spans="1:4" ht="32.25" customHeight="1">
      <c r="A11" s="94"/>
      <c r="B11" s="95"/>
      <c r="C11" s="600" t="s">
        <v>469</v>
      </c>
      <c r="D11" s="101" t="s">
        <v>479</v>
      </c>
    </row>
    <row r="12" spans="1:4" ht="32.25" customHeight="1">
      <c r="A12" s="94"/>
      <c r="B12" s="95"/>
      <c r="C12" s="600" t="s">
        <v>470</v>
      </c>
      <c r="D12" s="101" t="s">
        <v>480</v>
      </c>
    </row>
    <row r="13" spans="1:4" ht="32.25" customHeight="1">
      <c r="A13" s="94"/>
      <c r="B13" s="95"/>
      <c r="C13" s="600"/>
      <c r="D13" s="101"/>
    </row>
    <row r="14" spans="1:4" ht="32.25" customHeight="1">
      <c r="A14" s="94"/>
      <c r="B14" s="95"/>
      <c r="C14" s="600"/>
      <c r="D14" s="101"/>
    </row>
    <row r="15" spans="1:4" ht="32.25" customHeight="1">
      <c r="A15" s="94"/>
      <c r="B15" s="95"/>
      <c r="C15" s="600"/>
      <c r="D15" s="101"/>
    </row>
    <row r="16" spans="1:4" ht="32.25" customHeight="1">
      <c r="A16" s="94"/>
      <c r="B16" s="95"/>
      <c r="C16" s="600"/>
      <c r="D16" s="101"/>
    </row>
    <row r="17" spans="1:4" ht="32.25" customHeight="1">
      <c r="A17" s="94"/>
      <c r="B17" s="95"/>
      <c r="C17" s="600"/>
      <c r="D17" s="101"/>
    </row>
    <row r="18" spans="1:4" ht="32.25" customHeight="1">
      <c r="A18" s="94"/>
      <c r="B18" s="95"/>
      <c r="C18" s="600"/>
      <c r="D18" s="101"/>
    </row>
    <row r="19" spans="1:4" ht="32.25" customHeight="1">
      <c r="A19" s="94"/>
      <c r="B19" s="95"/>
      <c r="C19" s="600"/>
      <c r="D19" s="101"/>
    </row>
    <row r="20" spans="1:4" ht="32.25" customHeight="1">
      <c r="A20" s="94"/>
      <c r="B20" s="95"/>
      <c r="C20" s="102"/>
      <c r="D20" s="103"/>
    </row>
    <row r="21" spans="1:4" ht="39.950000000000003" customHeight="1">
      <c r="A21" s="98"/>
      <c r="B21" s="98"/>
      <c r="C21" s="98"/>
      <c r="D21" s="98"/>
    </row>
  </sheetData>
  <mergeCells count="2">
    <mergeCell ref="A1:D1"/>
    <mergeCell ref="C5:D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firstPageNumber="12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showGridLines="0" showZeros="0" view="pageBreakPreview" zoomScaleNormal="60" zoomScaleSheetLayoutView="100" workbookViewId="0">
      <selection sqref="A1:D1"/>
    </sheetView>
  </sheetViews>
  <sheetFormatPr defaultColWidth="8.140625" defaultRowHeight="30" customHeight="1"/>
  <cols>
    <col min="1" max="1" width="11.5703125" style="86" customWidth="1"/>
    <col min="2" max="2" width="24.5703125" style="86" customWidth="1"/>
    <col min="3" max="3" width="15.85546875" style="86" bestFit="1" customWidth="1"/>
    <col min="4" max="4" width="42.5703125" style="86" customWidth="1"/>
    <col min="5" max="16384" width="8.140625" style="86"/>
  </cols>
  <sheetData>
    <row r="1" spans="1:4" ht="39.950000000000003" customHeight="1">
      <c r="A1" s="877" t="str">
        <f>간지!$A$1</f>
        <v>[ 경기문화재단 2016년도 파견용역 ]</v>
      </c>
      <c r="B1" s="877"/>
      <c r="C1" s="877"/>
      <c r="D1" s="877"/>
    </row>
    <row r="2" spans="1:4" s="89" customFormat="1" ht="30" customHeight="1">
      <c r="A2" s="87"/>
      <c r="B2" s="88"/>
      <c r="C2" s="88"/>
      <c r="D2" s="88"/>
    </row>
    <row r="3" spans="1:4" s="91" customFormat="1" ht="30" customHeight="1">
      <c r="A3" s="90"/>
      <c r="B3" s="90"/>
      <c r="C3" s="90"/>
      <c r="D3" s="90"/>
    </row>
    <row r="4" spans="1:4" ht="30" customHeight="1">
      <c r="A4" s="90"/>
      <c r="B4" s="93"/>
      <c r="C4" s="93"/>
      <c r="D4" s="93"/>
    </row>
    <row r="5" spans="1:4" ht="39.950000000000003" customHeight="1">
      <c r="A5" s="94"/>
      <c r="B5" s="95"/>
      <c r="C5" s="878" t="s">
        <v>496</v>
      </c>
      <c r="D5" s="878"/>
    </row>
    <row r="6" spans="1:4" ht="42.75" customHeight="1">
      <c r="A6" s="94"/>
      <c r="B6" s="95"/>
      <c r="C6" s="96"/>
      <c r="D6" s="99"/>
    </row>
    <row r="7" spans="1:4" ht="42.75" customHeight="1">
      <c r="A7" s="94"/>
      <c r="B7" s="95"/>
      <c r="C7" s="100" t="s">
        <v>497</v>
      </c>
      <c r="D7" s="101" t="str">
        <f>원가집계!A2</f>
        <v>용역원가계산서</v>
      </c>
    </row>
    <row r="8" spans="1:4" ht="42.75" customHeight="1">
      <c r="A8" s="94"/>
      <c r="B8" s="95"/>
      <c r="C8" s="100" t="s">
        <v>437</v>
      </c>
      <c r="D8" s="101" t="str">
        <f>원가!A2</f>
        <v>직종별용역원가계산서</v>
      </c>
    </row>
    <row r="9" spans="1:4" ht="42.75" customHeight="1">
      <c r="A9" s="94"/>
      <c r="B9" s="95"/>
      <c r="C9" s="100"/>
      <c r="D9" s="101"/>
    </row>
    <row r="10" spans="1:4" ht="42.75" customHeight="1">
      <c r="A10" s="94"/>
      <c r="B10" s="95"/>
      <c r="C10" s="100"/>
      <c r="D10" s="101"/>
    </row>
    <row r="11" spans="1:4" ht="42.75" customHeight="1">
      <c r="A11" s="94"/>
      <c r="B11" s="95"/>
      <c r="C11" s="100"/>
      <c r="D11" s="101"/>
    </row>
    <row r="12" spans="1:4" ht="42.75" customHeight="1">
      <c r="A12" s="94"/>
      <c r="B12" s="95"/>
      <c r="C12" s="100"/>
      <c r="D12" s="101"/>
    </row>
    <row r="13" spans="1:4" ht="42.75" customHeight="1">
      <c r="A13" s="94"/>
      <c r="B13" s="95"/>
      <c r="C13" s="100"/>
      <c r="D13" s="101"/>
    </row>
    <row r="14" spans="1:4" ht="42.75" customHeight="1">
      <c r="A14" s="94"/>
      <c r="B14" s="95"/>
      <c r="C14" s="100"/>
      <c r="D14" s="101"/>
    </row>
    <row r="15" spans="1:4" ht="42.75" customHeight="1">
      <c r="A15" s="94"/>
      <c r="B15" s="95"/>
      <c r="C15" s="100"/>
      <c r="D15" s="101"/>
    </row>
    <row r="16" spans="1:4" ht="42.75" customHeight="1">
      <c r="A16" s="94"/>
      <c r="B16" s="95"/>
      <c r="C16" s="102"/>
      <c r="D16" s="103"/>
    </row>
    <row r="17" spans="1:4" ht="39.950000000000003" customHeight="1">
      <c r="A17" s="98"/>
      <c r="B17" s="98"/>
      <c r="C17" s="98"/>
      <c r="D17" s="98"/>
    </row>
  </sheetData>
  <mergeCells count="2">
    <mergeCell ref="A1:D1"/>
    <mergeCell ref="C5:D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35"/>
  <sheetViews>
    <sheetView showGridLines="0" showZeros="0" topLeftCell="A4" zoomScaleNormal="100" zoomScaleSheetLayoutView="100" workbookViewId="0">
      <selection activeCell="G35" sqref="G35"/>
    </sheetView>
  </sheetViews>
  <sheetFormatPr defaultRowHeight="12"/>
  <cols>
    <col min="1" max="1" width="1.7109375" style="105" customWidth="1"/>
    <col min="2" max="2" width="3.7109375" style="116" customWidth="1"/>
    <col min="3" max="3" width="8.28515625" style="105" customWidth="1"/>
    <col min="4" max="4" width="1.7109375" style="105" customWidth="1"/>
    <col min="5" max="5" width="21" style="116" customWidth="1"/>
    <col min="6" max="6" width="1.7109375" style="116" customWidth="1"/>
    <col min="7" max="8" width="15.28515625" style="85" customWidth="1"/>
    <col min="9" max="9" width="15.28515625" style="85" hidden="1" customWidth="1"/>
    <col min="10" max="10" width="15.28515625" style="85" customWidth="1"/>
    <col min="11" max="11" width="15.28515625" style="660" hidden="1" customWidth="1"/>
    <col min="12" max="12" width="15.28515625" style="85" hidden="1" customWidth="1"/>
    <col min="13" max="13" width="16.7109375" style="105" bestFit="1" customWidth="1"/>
    <col min="14" max="16384" width="9.140625" style="105"/>
  </cols>
  <sheetData>
    <row r="1" spans="1:14" ht="20.100000000000001" customHeight="1">
      <c r="A1" s="104" t="s">
        <v>276</v>
      </c>
      <c r="B1" s="104"/>
      <c r="C1" s="104"/>
      <c r="D1" s="104"/>
      <c r="E1" s="105"/>
      <c r="F1" s="105"/>
      <c r="G1" s="105"/>
      <c r="H1" s="105"/>
      <c r="I1" s="105"/>
      <c r="J1" s="105"/>
      <c r="K1" s="616"/>
      <c r="L1" s="105"/>
      <c r="M1" s="106"/>
      <c r="N1" s="106"/>
    </row>
    <row r="2" spans="1:14" s="76" customFormat="1" ht="39.950000000000003" customHeight="1">
      <c r="A2" s="75" t="s">
        <v>305</v>
      </c>
      <c r="B2" s="107"/>
      <c r="C2" s="108"/>
      <c r="D2" s="108"/>
      <c r="E2" s="109"/>
      <c r="F2" s="109"/>
      <c r="G2" s="110"/>
      <c r="H2" s="110"/>
      <c r="I2" s="110"/>
      <c r="J2" s="110"/>
      <c r="K2" s="747"/>
      <c r="L2" s="110"/>
    </row>
    <row r="3" spans="1:14" ht="20.100000000000001" customHeight="1">
      <c r="A3" s="111"/>
      <c r="B3" s="112"/>
      <c r="C3" s="111"/>
      <c r="D3" s="111"/>
      <c r="E3" s="112"/>
      <c r="F3" s="112"/>
      <c r="G3" s="113"/>
      <c r="H3" s="113"/>
      <c r="I3" s="113"/>
      <c r="J3" s="113"/>
      <c r="K3" s="751"/>
      <c r="L3" s="113"/>
    </row>
    <row r="4" spans="1:14" ht="19.5" customHeight="1">
      <c r="A4" s="74" t="str">
        <f>집계!A4</f>
        <v>건 명 : 경기문화재단 2016년도 파견 용역</v>
      </c>
      <c r="B4" s="114"/>
      <c r="C4" s="115"/>
      <c r="D4" s="115"/>
      <c r="G4" s="117"/>
      <c r="H4" s="118"/>
      <c r="I4" s="118"/>
      <c r="J4" s="118"/>
      <c r="K4" s="661"/>
      <c r="L4" s="118" t="s">
        <v>551</v>
      </c>
    </row>
    <row r="5" spans="1:14" ht="24.95" customHeight="1">
      <c r="A5" s="119"/>
      <c r="B5" s="120"/>
      <c r="C5" s="120"/>
      <c r="D5" s="120"/>
      <c r="E5" s="121" t="s">
        <v>216</v>
      </c>
      <c r="F5" s="121"/>
      <c r="G5" s="122" t="str">
        <f>인집!B16</f>
        <v>사무보조원</v>
      </c>
      <c r="H5" s="122" t="str">
        <f>인집!B15</f>
        <v>운 전 원</v>
      </c>
      <c r="I5" s="122">
        <f>인집!$B$13</f>
        <v>0</v>
      </c>
      <c r="J5" s="122" t="str">
        <f>인집!$B$14</f>
        <v>다산홀운영</v>
      </c>
      <c r="K5" s="779" t="str">
        <f>인집!$B$15</f>
        <v>운 전 원</v>
      </c>
      <c r="L5" s="122" t="str">
        <f>인집!$B$16</f>
        <v>사무보조원</v>
      </c>
    </row>
    <row r="6" spans="1:14" ht="24.95" customHeight="1">
      <c r="A6" s="123" t="s">
        <v>217</v>
      </c>
      <c r="B6" s="124"/>
      <c r="C6" s="125"/>
      <c r="D6" s="125"/>
      <c r="E6" s="125"/>
      <c r="F6" s="125"/>
      <c r="G6" s="126" t="str">
        <f>인집!E16</f>
        <v>단순노무종사원</v>
      </c>
      <c r="H6" s="126" t="str">
        <f>인집!E15</f>
        <v>단순노무종사원</v>
      </c>
      <c r="I6" s="126" t="str">
        <f>"("&amp;인집!$E$13&amp;")"</f>
        <v>(0)</v>
      </c>
      <c r="J6" s="126" t="str">
        <f>"("&amp;인집!$E$14&amp;")"</f>
        <v>(전기기능사)</v>
      </c>
      <c r="K6" s="780" t="str">
        <f>"("&amp;인집!$E$15&amp;")"</f>
        <v>(단순노무종사원)</v>
      </c>
      <c r="L6" s="126" t="str">
        <f>"("&amp;인집!$E$16&amp;")"</f>
        <v>(단순노무종사원)</v>
      </c>
    </row>
    <row r="7" spans="1:14" ht="17.45" customHeight="1">
      <c r="A7" s="889" t="s">
        <v>205</v>
      </c>
      <c r="B7" s="890"/>
      <c r="C7" s="886" t="s">
        <v>218</v>
      </c>
      <c r="D7" s="887"/>
      <c r="E7" s="887"/>
      <c r="F7" s="888"/>
      <c r="G7" s="127">
        <f>원가!G357</f>
        <v>1707524</v>
      </c>
      <c r="H7" s="127">
        <f>원가!G322</f>
        <v>1707524</v>
      </c>
      <c r="I7" s="127">
        <f>원가!G252</f>
        <v>0</v>
      </c>
      <c r="J7" s="127">
        <f>원가!G287</f>
        <v>2231736</v>
      </c>
      <c r="K7" s="781">
        <f>원가!G322</f>
        <v>1707524</v>
      </c>
      <c r="L7" s="127">
        <f>원가!G357</f>
        <v>1707524</v>
      </c>
    </row>
    <row r="8" spans="1:14" ht="17.45" customHeight="1">
      <c r="A8" s="891"/>
      <c r="B8" s="892"/>
      <c r="C8" s="895" t="s">
        <v>280</v>
      </c>
      <c r="D8" s="128"/>
      <c r="E8" s="129" t="s">
        <v>0</v>
      </c>
      <c r="F8" s="130"/>
      <c r="G8" s="127">
        <f>원가!G358</f>
        <v>265932</v>
      </c>
      <c r="H8" s="127">
        <f>원가!G323</f>
        <v>265932</v>
      </c>
      <c r="I8" s="127">
        <f>원가!G253</f>
        <v>0</v>
      </c>
      <c r="J8" s="127">
        <f>원가!G288</f>
        <v>347574</v>
      </c>
      <c r="K8" s="781">
        <f>원가!G323</f>
        <v>265932</v>
      </c>
      <c r="L8" s="127">
        <f>원가!G358</f>
        <v>265932</v>
      </c>
    </row>
    <row r="9" spans="1:14" ht="17.45" customHeight="1">
      <c r="A9" s="891"/>
      <c r="B9" s="892"/>
      <c r="C9" s="896"/>
      <c r="D9" s="128"/>
      <c r="E9" s="129" t="s">
        <v>229</v>
      </c>
      <c r="F9" s="130"/>
      <c r="G9" s="127">
        <f>원가!G359</f>
        <v>0</v>
      </c>
      <c r="H9" s="127">
        <f>원가!G324</f>
        <v>0</v>
      </c>
      <c r="I9" s="127">
        <f>원가!G254</f>
        <v>0</v>
      </c>
      <c r="J9" s="127">
        <f>원가!G289</f>
        <v>0</v>
      </c>
      <c r="K9" s="781">
        <f>원가!G324</f>
        <v>0</v>
      </c>
      <c r="L9" s="127">
        <f>원가!G359</f>
        <v>0</v>
      </c>
    </row>
    <row r="10" spans="1:14" ht="17.45" customHeight="1">
      <c r="A10" s="891"/>
      <c r="B10" s="892"/>
      <c r="C10" s="896"/>
      <c r="D10" s="128"/>
      <c r="E10" s="129" t="s">
        <v>4</v>
      </c>
      <c r="F10" s="130"/>
      <c r="G10" s="127">
        <f>원가!G360</f>
        <v>81699</v>
      </c>
      <c r="H10" s="127">
        <f>원가!G325</f>
        <v>81699</v>
      </c>
      <c r="I10" s="127">
        <f>원가!G255</f>
        <v>0</v>
      </c>
      <c r="J10" s="127">
        <f>원가!G290</f>
        <v>106781</v>
      </c>
      <c r="K10" s="781">
        <f>원가!G325</f>
        <v>81699</v>
      </c>
      <c r="L10" s="127">
        <f>원가!G360</f>
        <v>81699</v>
      </c>
    </row>
    <row r="11" spans="1:14" ht="17.45" customHeight="1">
      <c r="A11" s="891"/>
      <c r="B11" s="892"/>
      <c r="C11" s="896"/>
      <c r="D11" s="128"/>
      <c r="E11" s="129" t="s">
        <v>257</v>
      </c>
      <c r="F11" s="130"/>
      <c r="G11" s="127">
        <f>원가!G186</f>
        <v>0</v>
      </c>
      <c r="H11" s="127">
        <f>원가!G221</f>
        <v>0</v>
      </c>
      <c r="I11" s="127">
        <f>원가!G256</f>
        <v>0</v>
      </c>
      <c r="J11" s="127">
        <f>원가!G291</f>
        <v>0</v>
      </c>
      <c r="K11" s="781">
        <f>원가!G326</f>
        <v>0</v>
      </c>
      <c r="L11" s="127">
        <f>원가!G361</f>
        <v>0</v>
      </c>
    </row>
    <row r="12" spans="1:14" ht="17.45" customHeight="1">
      <c r="A12" s="891"/>
      <c r="B12" s="892"/>
      <c r="C12" s="897"/>
      <c r="D12" s="128"/>
      <c r="E12" s="128" t="s">
        <v>5</v>
      </c>
      <c r="F12" s="131"/>
      <c r="G12" s="127">
        <f>원가!G362</f>
        <v>347631</v>
      </c>
      <c r="H12" s="127">
        <f>원가!G327</f>
        <v>347631</v>
      </c>
      <c r="I12" s="127">
        <f>원가!G257</f>
        <v>0</v>
      </c>
      <c r="J12" s="127">
        <f>원가!G292</f>
        <v>454355</v>
      </c>
      <c r="K12" s="781">
        <f>원가!G327</f>
        <v>347631</v>
      </c>
      <c r="L12" s="127">
        <f>원가!G362</f>
        <v>347631</v>
      </c>
    </row>
    <row r="13" spans="1:14" ht="17.45" customHeight="1">
      <c r="A13" s="891"/>
      <c r="B13" s="892"/>
      <c r="C13" s="886" t="s">
        <v>219</v>
      </c>
      <c r="D13" s="887"/>
      <c r="E13" s="887"/>
      <c r="F13" s="888"/>
      <c r="G13" s="127">
        <f>원가!G363</f>
        <v>71146</v>
      </c>
      <c r="H13" s="127">
        <f>원가!G328</f>
        <v>569174</v>
      </c>
      <c r="I13" s="127">
        <f>원가!G258</f>
        <v>0</v>
      </c>
      <c r="J13" s="127">
        <f>원가!G293</f>
        <v>185978</v>
      </c>
      <c r="K13" s="781">
        <f>원가!G328</f>
        <v>569174</v>
      </c>
      <c r="L13" s="127">
        <f>원가!G363</f>
        <v>71146</v>
      </c>
    </row>
    <row r="14" spans="1:14" ht="17.45" customHeight="1">
      <c r="A14" s="891"/>
      <c r="B14" s="892"/>
      <c r="C14" s="886" t="s">
        <v>220</v>
      </c>
      <c r="D14" s="887"/>
      <c r="E14" s="887"/>
      <c r="F14" s="888"/>
      <c r="G14" s="127">
        <f>원가!G364</f>
        <v>177191</v>
      </c>
      <c r="H14" s="127">
        <f>원가!G329</f>
        <v>218694</v>
      </c>
      <c r="I14" s="127">
        <f>원가!G259</f>
        <v>0</v>
      </c>
      <c r="J14" s="127">
        <f>원가!G294</f>
        <v>239339</v>
      </c>
      <c r="K14" s="781">
        <f>원가!G329</f>
        <v>218694</v>
      </c>
      <c r="L14" s="127">
        <f>원가!G364</f>
        <v>177191</v>
      </c>
    </row>
    <row r="15" spans="1:14" ht="17.45" customHeight="1">
      <c r="A15" s="893"/>
      <c r="B15" s="894"/>
      <c r="C15" s="886" t="s">
        <v>221</v>
      </c>
      <c r="D15" s="887"/>
      <c r="E15" s="887"/>
      <c r="F15" s="888"/>
      <c r="G15" s="127">
        <f>원가!G365</f>
        <v>2303492</v>
      </c>
      <c r="H15" s="127">
        <f>원가!G330</f>
        <v>2843023</v>
      </c>
      <c r="I15" s="127">
        <f>원가!G260</f>
        <v>0</v>
      </c>
      <c r="J15" s="127">
        <f>원가!G295</f>
        <v>3111408</v>
      </c>
      <c r="K15" s="781">
        <f>원가!G330</f>
        <v>2843023</v>
      </c>
      <c r="L15" s="127">
        <f>원가!G365</f>
        <v>2303492</v>
      </c>
    </row>
    <row r="16" spans="1:14" ht="17.45" customHeight="1">
      <c r="A16" s="889" t="s">
        <v>232</v>
      </c>
      <c r="B16" s="890"/>
      <c r="C16" s="895" t="s">
        <v>3</v>
      </c>
      <c r="D16" s="128"/>
      <c r="E16" s="129" t="s">
        <v>27</v>
      </c>
      <c r="F16" s="129"/>
      <c r="G16" s="127">
        <f>원가!G366</f>
        <v>36147</v>
      </c>
      <c r="H16" s="127">
        <f>원가!G331</f>
        <v>44613</v>
      </c>
      <c r="I16" s="127">
        <f>원가!G261</f>
        <v>0</v>
      </c>
      <c r="J16" s="127">
        <f>원가!G296</f>
        <v>48825</v>
      </c>
      <c r="K16" s="781">
        <f>원가!G331</f>
        <v>44613</v>
      </c>
      <c r="L16" s="127">
        <f>원가!G366</f>
        <v>36147</v>
      </c>
    </row>
    <row r="17" spans="1:12" ht="17.45" customHeight="1">
      <c r="A17" s="891"/>
      <c r="B17" s="892"/>
      <c r="C17" s="896"/>
      <c r="D17" s="128"/>
      <c r="E17" s="129" t="s">
        <v>222</v>
      </c>
      <c r="F17" s="129"/>
      <c r="G17" s="127">
        <f>원가!G367</f>
        <v>95683</v>
      </c>
      <c r="H17" s="127">
        <f>원가!G332</f>
        <v>118094</v>
      </c>
      <c r="I17" s="127">
        <f>원가!G262</f>
        <v>0</v>
      </c>
      <c r="J17" s="127">
        <f>원가!G297</f>
        <v>129243</v>
      </c>
      <c r="K17" s="781">
        <f>원가!G332</f>
        <v>118094</v>
      </c>
      <c r="L17" s="127">
        <f>원가!G367</f>
        <v>95683</v>
      </c>
    </row>
    <row r="18" spans="1:12" ht="17.45" customHeight="1">
      <c r="A18" s="891"/>
      <c r="B18" s="892"/>
      <c r="C18" s="896"/>
      <c r="D18" s="128"/>
      <c r="E18" s="129" t="s">
        <v>223</v>
      </c>
      <c r="F18" s="129"/>
      <c r="G18" s="127">
        <f>원가!G368</f>
        <v>19136</v>
      </c>
      <c r="H18" s="127">
        <f>원가!G333</f>
        <v>23618</v>
      </c>
      <c r="I18" s="127">
        <f>원가!G263</f>
        <v>0</v>
      </c>
      <c r="J18" s="127">
        <f>원가!G298</f>
        <v>25848</v>
      </c>
      <c r="K18" s="781">
        <f>원가!G333</f>
        <v>23618</v>
      </c>
      <c r="L18" s="127">
        <f>원가!G368</f>
        <v>19136</v>
      </c>
    </row>
    <row r="19" spans="1:12" ht="17.45" customHeight="1">
      <c r="A19" s="891"/>
      <c r="B19" s="892"/>
      <c r="C19" s="896"/>
      <c r="D19" s="128"/>
      <c r="E19" s="129" t="s">
        <v>224</v>
      </c>
      <c r="F19" s="129"/>
      <c r="G19" s="127">
        <f>원가!G369</f>
        <v>64533</v>
      </c>
      <c r="H19" s="127">
        <f>원가!G334</f>
        <v>79648</v>
      </c>
      <c r="I19" s="127">
        <f>원가!G264</f>
        <v>0</v>
      </c>
      <c r="J19" s="127">
        <f>원가!G299</f>
        <v>87167</v>
      </c>
      <c r="K19" s="781">
        <f>원가!G334</f>
        <v>79648</v>
      </c>
      <c r="L19" s="127">
        <f>원가!G369</f>
        <v>64533</v>
      </c>
    </row>
    <row r="20" spans="1:12" ht="17.45" customHeight="1">
      <c r="A20" s="891"/>
      <c r="B20" s="892"/>
      <c r="C20" s="896"/>
      <c r="D20" s="128"/>
      <c r="E20" s="132" t="s">
        <v>255</v>
      </c>
      <c r="F20" s="129"/>
      <c r="G20" s="127">
        <f>원가!G370</f>
        <v>4226</v>
      </c>
      <c r="H20" s="127">
        <f>원가!G335</f>
        <v>5216</v>
      </c>
      <c r="I20" s="127">
        <f>원가!G265</f>
        <v>0</v>
      </c>
      <c r="J20" s="127">
        <f>원가!G300</f>
        <v>5709</v>
      </c>
      <c r="K20" s="781">
        <f>원가!G335</f>
        <v>5216</v>
      </c>
      <c r="L20" s="127">
        <f>원가!G370</f>
        <v>4226</v>
      </c>
    </row>
    <row r="21" spans="1:12" ht="17.45" customHeight="1">
      <c r="A21" s="891"/>
      <c r="B21" s="892"/>
      <c r="C21" s="896"/>
      <c r="D21" s="128"/>
      <c r="E21" s="129" t="s">
        <v>225</v>
      </c>
      <c r="F21" s="129"/>
      <c r="G21" s="127">
        <f>원가!G371</f>
        <v>1701</v>
      </c>
      <c r="H21" s="127">
        <f>원가!G336</f>
        <v>2099</v>
      </c>
      <c r="I21" s="127">
        <f>원가!G266</f>
        <v>0</v>
      </c>
      <c r="J21" s="127">
        <f>원가!G301</f>
        <v>2297</v>
      </c>
      <c r="K21" s="781">
        <f>원가!G336</f>
        <v>2099</v>
      </c>
      <c r="L21" s="127">
        <f>원가!G371</f>
        <v>1701</v>
      </c>
    </row>
    <row r="22" spans="1:12" ht="17.45" customHeight="1">
      <c r="A22" s="891"/>
      <c r="B22" s="892"/>
      <c r="C22" s="897"/>
      <c r="D22" s="128"/>
      <c r="E22" s="131" t="s">
        <v>5</v>
      </c>
      <c r="F22" s="129"/>
      <c r="G22" s="127">
        <f>원가!G372</f>
        <v>221426</v>
      </c>
      <c r="H22" s="127">
        <f>원가!G337</f>
        <v>273288</v>
      </c>
      <c r="I22" s="127">
        <f>원가!G267</f>
        <v>0</v>
      </c>
      <c r="J22" s="127">
        <f>원가!G302</f>
        <v>299089</v>
      </c>
      <c r="K22" s="781">
        <f>원가!G337</f>
        <v>273288</v>
      </c>
      <c r="L22" s="127">
        <f>원가!G372</f>
        <v>221426</v>
      </c>
    </row>
    <row r="23" spans="1:12" ht="17.45" customHeight="1">
      <c r="A23" s="891"/>
      <c r="B23" s="892"/>
      <c r="C23" s="898" t="s">
        <v>303</v>
      </c>
      <c r="D23" s="128"/>
      <c r="E23" s="129" t="s">
        <v>226</v>
      </c>
      <c r="F23" s="129"/>
      <c r="G23" s="127">
        <f>원가!G373</f>
        <v>0</v>
      </c>
      <c r="H23" s="127">
        <f>원가!G338</f>
        <v>0</v>
      </c>
      <c r="I23" s="127">
        <f>원가!G268</f>
        <v>0</v>
      </c>
      <c r="J23" s="127">
        <f>원가!G303</f>
        <v>0</v>
      </c>
      <c r="K23" s="781">
        <f>원가!G338</f>
        <v>0</v>
      </c>
      <c r="L23" s="127">
        <f>원가!G373</f>
        <v>0</v>
      </c>
    </row>
    <row r="24" spans="1:12" ht="17.45" customHeight="1">
      <c r="A24" s="891"/>
      <c r="B24" s="892"/>
      <c r="C24" s="899"/>
      <c r="D24" s="590"/>
      <c r="E24" s="588" t="s">
        <v>463</v>
      </c>
      <c r="F24" s="588"/>
      <c r="G24" s="127">
        <f>원가!G199</f>
        <v>0</v>
      </c>
      <c r="H24" s="127">
        <f>원가!G234</f>
        <v>0</v>
      </c>
      <c r="I24" s="127">
        <f>원가!G269</f>
        <v>0</v>
      </c>
      <c r="J24" s="127">
        <f>원가!G304</f>
        <v>0</v>
      </c>
      <c r="K24" s="781">
        <f>원가!G339</f>
        <v>0</v>
      </c>
      <c r="L24" s="127">
        <f>원가!G374</f>
        <v>0</v>
      </c>
    </row>
    <row r="25" spans="1:12" ht="17.45" customHeight="1">
      <c r="A25" s="891"/>
      <c r="B25" s="892"/>
      <c r="C25" s="899"/>
      <c r="D25" s="585"/>
      <c r="E25" s="586" t="s">
        <v>459</v>
      </c>
      <c r="F25" s="586"/>
      <c r="G25" s="127">
        <f>원가!G200</f>
        <v>0</v>
      </c>
      <c r="H25" s="127">
        <f>원가!G235</f>
        <v>0</v>
      </c>
      <c r="I25" s="127">
        <f>원가!G270</f>
        <v>0</v>
      </c>
      <c r="J25" s="127">
        <f>원가!G305</f>
        <v>0</v>
      </c>
      <c r="K25" s="781">
        <f>원가!G340</f>
        <v>0</v>
      </c>
      <c r="L25" s="127">
        <f>원가!G375</f>
        <v>0</v>
      </c>
    </row>
    <row r="26" spans="1:12" ht="17.45" customHeight="1">
      <c r="A26" s="891"/>
      <c r="B26" s="892"/>
      <c r="C26" s="900"/>
      <c r="D26" s="128"/>
      <c r="E26" s="131" t="s">
        <v>5</v>
      </c>
      <c r="F26" s="129"/>
      <c r="G26" s="127">
        <f>원가!G376</f>
        <v>0</v>
      </c>
      <c r="H26" s="127">
        <f>원가!G341</f>
        <v>0</v>
      </c>
      <c r="I26" s="127">
        <f>원가!G271</f>
        <v>0</v>
      </c>
      <c r="J26" s="127">
        <f>원가!G306</f>
        <v>0</v>
      </c>
      <c r="K26" s="781">
        <f>원가!G341</f>
        <v>0</v>
      </c>
      <c r="L26" s="127">
        <f>원가!G376</f>
        <v>0</v>
      </c>
    </row>
    <row r="27" spans="1:12" ht="17.45" customHeight="1">
      <c r="A27" s="891"/>
      <c r="B27" s="892"/>
      <c r="C27" s="895" t="s">
        <v>260</v>
      </c>
      <c r="D27" s="128"/>
      <c r="E27" s="129" t="s">
        <v>262</v>
      </c>
      <c r="F27" s="129"/>
      <c r="G27" s="127">
        <f>원가!G377</f>
        <v>10631</v>
      </c>
      <c r="H27" s="127">
        <f>원가!G342</f>
        <v>13121</v>
      </c>
      <c r="I27" s="127">
        <f>원가!G272</f>
        <v>0</v>
      </c>
      <c r="J27" s="127">
        <f>원가!G307</f>
        <v>14360</v>
      </c>
      <c r="K27" s="781">
        <f>원가!G342</f>
        <v>13121</v>
      </c>
      <c r="L27" s="127">
        <f>원가!G377</f>
        <v>10631</v>
      </c>
    </row>
    <row r="28" spans="1:12" ht="17.45" customHeight="1">
      <c r="A28" s="891"/>
      <c r="B28" s="892"/>
      <c r="C28" s="897"/>
      <c r="D28" s="128"/>
      <c r="E28" s="129" t="s">
        <v>261</v>
      </c>
      <c r="F28" s="129"/>
      <c r="G28" s="127">
        <f>원가!G203</f>
        <v>0</v>
      </c>
      <c r="H28" s="127">
        <f>원가!G238</f>
        <v>0</v>
      </c>
      <c r="I28" s="127">
        <f>원가!G273</f>
        <v>0</v>
      </c>
      <c r="J28" s="127">
        <f>원가!G308</f>
        <v>0</v>
      </c>
      <c r="K28" s="781">
        <f>원가!G343</f>
        <v>0</v>
      </c>
      <c r="L28" s="127">
        <f>원가!G378</f>
        <v>0</v>
      </c>
    </row>
    <row r="29" spans="1:12" ht="17.45" customHeight="1">
      <c r="A29" s="893"/>
      <c r="B29" s="894"/>
      <c r="C29" s="886" t="s">
        <v>221</v>
      </c>
      <c r="D29" s="887"/>
      <c r="E29" s="887"/>
      <c r="F29" s="888"/>
      <c r="G29" s="127">
        <f>원가!G379</f>
        <v>232057</v>
      </c>
      <c r="H29" s="127">
        <f>원가!G344</f>
        <v>286409</v>
      </c>
      <c r="I29" s="127">
        <f>원가!G274</f>
        <v>0</v>
      </c>
      <c r="J29" s="127">
        <f>원가!G309</f>
        <v>313449</v>
      </c>
      <c r="K29" s="781">
        <f>원가!G344</f>
        <v>286409</v>
      </c>
      <c r="L29" s="127">
        <f>원가!G379</f>
        <v>232057</v>
      </c>
    </row>
    <row r="30" spans="1:12" ht="17.45" customHeight="1">
      <c r="A30" s="133"/>
      <c r="B30" s="885" t="s">
        <v>182</v>
      </c>
      <c r="C30" s="885"/>
      <c r="D30" s="885"/>
      <c r="E30" s="885"/>
      <c r="F30" s="134"/>
      <c r="G30" s="127">
        <f>원가!G380</f>
        <v>2535549</v>
      </c>
      <c r="H30" s="127">
        <f>원가!G345</f>
        <v>3129432</v>
      </c>
      <c r="I30" s="127">
        <f>원가!G275</f>
        <v>0</v>
      </c>
      <c r="J30" s="127">
        <f>원가!G310</f>
        <v>3424857</v>
      </c>
      <c r="K30" s="781">
        <f>원가!G345</f>
        <v>3129432</v>
      </c>
      <c r="L30" s="127">
        <f>원가!G380</f>
        <v>2535549</v>
      </c>
    </row>
    <row r="31" spans="1:12" ht="17.45" customHeight="1">
      <c r="A31" s="135"/>
      <c r="B31" s="883" t="s">
        <v>633</v>
      </c>
      <c r="C31" s="884"/>
      <c r="D31" s="884"/>
      <c r="E31" s="884"/>
      <c r="F31" s="136"/>
      <c r="G31" s="127">
        <f>원가!G381</f>
        <v>101421</v>
      </c>
      <c r="H31" s="127">
        <f>원가!G346</f>
        <v>125177</v>
      </c>
      <c r="I31" s="127">
        <f>원가!G276</f>
        <v>0</v>
      </c>
      <c r="J31" s="127">
        <f>원가!G311</f>
        <v>136994</v>
      </c>
      <c r="K31" s="781">
        <f>원가!G346</f>
        <v>125177</v>
      </c>
      <c r="L31" s="127">
        <f>원가!G381</f>
        <v>101421</v>
      </c>
    </row>
    <row r="32" spans="1:12" ht="17.45" customHeight="1">
      <c r="A32" s="135"/>
      <c r="B32" s="883" t="s">
        <v>556</v>
      </c>
      <c r="C32" s="884"/>
      <c r="D32" s="884"/>
      <c r="E32" s="884"/>
      <c r="F32" s="136"/>
      <c r="G32" s="127">
        <f>원가!G382</f>
        <v>158218</v>
      </c>
      <c r="H32" s="127">
        <f>원가!G347</f>
        <v>195276</v>
      </c>
      <c r="I32" s="127">
        <f>원가!G277</f>
        <v>0</v>
      </c>
      <c r="J32" s="127">
        <f>원가!G312</f>
        <v>213711</v>
      </c>
      <c r="K32" s="781">
        <f>원가!G347</f>
        <v>195276</v>
      </c>
      <c r="L32" s="127">
        <f>원가!G382</f>
        <v>158218</v>
      </c>
    </row>
    <row r="33" spans="1:12" ht="17.45" customHeight="1">
      <c r="A33" s="135"/>
      <c r="B33" s="882" t="s">
        <v>295</v>
      </c>
      <c r="C33" s="882"/>
      <c r="D33" s="882"/>
      <c r="E33" s="882"/>
      <c r="F33" s="136"/>
      <c r="G33" s="127">
        <f>원가!G383</f>
        <v>2795188</v>
      </c>
      <c r="H33" s="127">
        <f>원가!G348</f>
        <v>3449885</v>
      </c>
      <c r="I33" s="127">
        <f>원가!G278</f>
        <v>0</v>
      </c>
      <c r="J33" s="127">
        <f>원가!G313</f>
        <v>3775562</v>
      </c>
      <c r="K33" s="781">
        <f>원가!G348</f>
        <v>3449885</v>
      </c>
      <c r="L33" s="127">
        <f>원가!G383</f>
        <v>2795188</v>
      </c>
    </row>
    <row r="34" spans="1:12" ht="17.45" customHeight="1">
      <c r="A34" s="135"/>
      <c r="B34" s="882" t="s">
        <v>296</v>
      </c>
      <c r="C34" s="882"/>
      <c r="D34" s="882"/>
      <c r="E34" s="882"/>
      <c r="F34" s="136"/>
      <c r="G34" s="127">
        <f>원가!G384</f>
        <v>279518</v>
      </c>
      <c r="H34" s="127">
        <f>원가!G349</f>
        <v>344988</v>
      </c>
      <c r="I34" s="127">
        <f>원가!G279</f>
        <v>0</v>
      </c>
      <c r="J34" s="127">
        <f>원가!G314</f>
        <v>377556</v>
      </c>
      <c r="K34" s="781">
        <f>원가!G349</f>
        <v>344988</v>
      </c>
      <c r="L34" s="127">
        <f>원가!G384</f>
        <v>279518</v>
      </c>
    </row>
    <row r="35" spans="1:12" ht="17.45" customHeight="1">
      <c r="A35" s="135"/>
      <c r="B35" s="882" t="s">
        <v>297</v>
      </c>
      <c r="C35" s="882"/>
      <c r="D35" s="882"/>
      <c r="E35" s="882"/>
      <c r="F35" s="136"/>
      <c r="G35" s="127">
        <f>원가!G385</f>
        <v>0</v>
      </c>
      <c r="H35" s="127">
        <f>원가!G350</f>
        <v>3794873</v>
      </c>
      <c r="I35" s="127">
        <f>원가!G280</f>
        <v>0</v>
      </c>
      <c r="J35" s="127">
        <f>원가!G315</f>
        <v>4153118</v>
      </c>
      <c r="K35" s="781">
        <f>원가!G350</f>
        <v>3794873</v>
      </c>
      <c r="L35" s="127">
        <f>원가!G385</f>
        <v>0</v>
      </c>
    </row>
  </sheetData>
  <mergeCells count="17">
    <mergeCell ref="C7:F7"/>
    <mergeCell ref="A7:B15"/>
    <mergeCell ref="C16:C22"/>
    <mergeCell ref="C23:C26"/>
    <mergeCell ref="C8:C12"/>
    <mergeCell ref="C13:F13"/>
    <mergeCell ref="C14:F14"/>
    <mergeCell ref="C15:F15"/>
    <mergeCell ref="A16:B29"/>
    <mergeCell ref="C29:F29"/>
    <mergeCell ref="C27:C28"/>
    <mergeCell ref="B34:E34"/>
    <mergeCell ref="B35:E35"/>
    <mergeCell ref="B32:E32"/>
    <mergeCell ref="B33:E33"/>
    <mergeCell ref="B30:E30"/>
    <mergeCell ref="B31:E3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firstPageNumber="17" orientation="landscape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37</vt:i4>
      </vt:variant>
      <vt:variant>
        <vt:lpstr>이름이 지정된 범위</vt:lpstr>
      </vt:variant>
      <vt:variant>
        <vt:i4>30</vt:i4>
      </vt:variant>
    </vt:vector>
  </HeadingPairs>
  <TitlesOfParts>
    <vt:vector size="67" baseType="lpstr">
      <vt:lpstr>목차</vt:lpstr>
      <vt:lpstr>간지</vt:lpstr>
      <vt:lpstr>간지2</vt:lpstr>
      <vt:lpstr>간지3</vt:lpstr>
      <vt:lpstr>간지3 (2)</vt:lpstr>
      <vt:lpstr>집계</vt:lpstr>
      <vt:lpstr>간지6</vt:lpstr>
      <vt:lpstr>간지6 (7)</vt:lpstr>
      <vt:lpstr>원가집계</vt:lpstr>
      <vt:lpstr>원가</vt:lpstr>
      <vt:lpstr>간지6 (6)</vt:lpstr>
      <vt:lpstr>인집</vt:lpstr>
      <vt:lpstr>단위당인건비</vt:lpstr>
      <vt:lpstr>월기본급</vt:lpstr>
      <vt:lpstr>연장근로</vt:lpstr>
      <vt:lpstr>휴일근로</vt:lpstr>
      <vt:lpstr>산정기준</vt:lpstr>
      <vt:lpstr>투입인원</vt:lpstr>
      <vt:lpstr>간지6 (5)</vt:lpstr>
      <vt:lpstr>경비집계표</vt:lpstr>
      <vt:lpstr>보험료</vt:lpstr>
      <vt:lpstr>보험료산출기준</vt:lpstr>
      <vt:lpstr>산재비율</vt:lpstr>
      <vt:lpstr>복리후생비</vt:lpstr>
      <vt:lpstr>식대</vt:lpstr>
      <vt:lpstr>체력단련비</vt:lpstr>
      <vt:lpstr>피복비</vt:lpstr>
      <vt:lpstr>사업소세</vt:lpstr>
      <vt:lpstr>교육비</vt:lpstr>
      <vt:lpstr>간지6 (4)</vt:lpstr>
      <vt:lpstr>일반</vt:lpstr>
      <vt:lpstr>일반비율</vt:lpstr>
      <vt:lpstr>간지6 (3)</vt:lpstr>
      <vt:lpstr>이윤</vt:lpstr>
      <vt:lpstr>이윤율</vt:lpstr>
      <vt:lpstr>간지6 (2)</vt:lpstr>
      <vt:lpstr>기업</vt:lpstr>
      <vt:lpstr>간지6!Print_Area</vt:lpstr>
      <vt:lpstr>'간지6 (2)'!Print_Area</vt:lpstr>
      <vt:lpstr>'간지6 (3)'!Print_Area</vt:lpstr>
      <vt:lpstr>'간지6 (4)'!Print_Area</vt:lpstr>
      <vt:lpstr>'간지6 (5)'!Print_Area</vt:lpstr>
      <vt:lpstr>'간지6 (6)'!Print_Area</vt:lpstr>
      <vt:lpstr>'간지6 (7)'!Print_Area</vt:lpstr>
      <vt:lpstr>경비집계표!Print_Area</vt:lpstr>
      <vt:lpstr>기업!Print_Area</vt:lpstr>
      <vt:lpstr>단위당인건비!Print_Area</vt:lpstr>
      <vt:lpstr>보험료!Print_Area</vt:lpstr>
      <vt:lpstr>보험료산출기준!Print_Area</vt:lpstr>
      <vt:lpstr>복리후생비!Print_Area</vt:lpstr>
      <vt:lpstr>산재비율!Print_Area</vt:lpstr>
      <vt:lpstr>산정기준!Print_Area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이윤율!Print_Area</vt:lpstr>
      <vt:lpstr>인집!Print_Area</vt:lpstr>
      <vt:lpstr>일반비율!Print_Area</vt:lpstr>
      <vt:lpstr>집계!Print_Area</vt:lpstr>
      <vt:lpstr>체력단련비!Print_Area</vt:lpstr>
      <vt:lpstr>투입인원!Print_Area</vt:lpstr>
      <vt:lpstr>피복비!Print_Area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USER</cp:lastModifiedBy>
  <cp:lastPrinted>2014-11-17T04:32:10Z</cp:lastPrinted>
  <dcterms:created xsi:type="dcterms:W3CDTF">2008-01-03T00:35:12Z</dcterms:created>
  <dcterms:modified xsi:type="dcterms:W3CDTF">2015-12-11T00:23:50Z</dcterms:modified>
</cp:coreProperties>
</file>