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90" windowWidth="16440" windowHeight="12045" tabRatio="696" activeTab="9"/>
  </bookViews>
  <sheets>
    <sheet name="표지" sheetId="43" r:id="rId1"/>
    <sheet name="총괄" sheetId="42" r:id="rId2"/>
    <sheet name="내역서 갑지" sheetId="56" r:id="rId3"/>
    <sheet name="내역서" sheetId="44" r:id="rId4"/>
    <sheet name="일위대가" sheetId="59" r:id="rId5"/>
    <sheet name="산출(기계)" sheetId="45" r:id="rId6"/>
    <sheet name="산출(전기)" sheetId="58" r:id="rId7"/>
    <sheet name="산출(기타)" sheetId="61" r:id="rId8"/>
    <sheet name="조사" sheetId="29" r:id="rId9"/>
    <sheet name="대비" sheetId="30" r:id="rId10"/>
    <sheet name="적용" sheetId="21" state="hidden" r:id="rId11"/>
    <sheet name="임율기준" sheetId="22" state="hidden" r:id="rId12"/>
  </sheets>
  <definedNames>
    <definedName name="_xlnm.Print_Area" localSheetId="2">'내역서 갑지'!$A$1:$K$29</definedName>
    <definedName name="_xlnm.Print_Area" localSheetId="9">대비!$A$1:$J$25</definedName>
    <definedName name="_xlnm.Print_Area" localSheetId="5">'산출(기계)'!$A$1:$K$232</definedName>
    <definedName name="_xlnm.Print_Area" localSheetId="4">일위대가!$A$1:$L$145</definedName>
    <definedName name="_xlnm.Print_Area" localSheetId="8">조사!$A$1:$M$25</definedName>
  </definedNames>
  <calcPr calcId="125725" iterate="1"/>
</workbook>
</file>

<file path=xl/calcChain.xml><?xml version="1.0" encoding="utf-8"?>
<calcChain xmlns="http://schemas.openxmlformats.org/spreadsheetml/2006/main">
  <c r="L24" i="29"/>
  <c r="L23"/>
  <c r="L22"/>
  <c r="L21"/>
  <c r="L20"/>
  <c r="L19"/>
  <c r="I12" i="30"/>
  <c r="J12" i="45"/>
  <c r="J42"/>
  <c r="F10" i="58"/>
  <c r="B92" i="44" l="1"/>
  <c r="H17" i="61" l="1"/>
  <c r="F276" i="44"/>
  <c r="E276"/>
  <c r="B276"/>
  <c r="D276" s="1"/>
  <c r="A276"/>
  <c r="F275"/>
  <c r="H275" s="1"/>
  <c r="E275"/>
  <c r="C275"/>
  <c r="B275"/>
  <c r="A275"/>
  <c r="I23" i="30"/>
  <c r="H23"/>
  <c r="D275" i="44" l="1"/>
  <c r="I22" i="30"/>
  <c r="A220" i="21"/>
  <c r="C220"/>
  <c r="A221"/>
  <c r="C221" s="1"/>
  <c r="A222"/>
  <c r="B240" i="44"/>
  <c r="D240" s="1"/>
  <c r="E240"/>
  <c r="F240"/>
  <c r="H22" i="30"/>
  <c r="A219" i="21" s="1"/>
  <c r="I21" i="30"/>
  <c r="H21"/>
  <c r="A218" i="21" s="1"/>
  <c r="A210" i="44"/>
  <c r="B210"/>
  <c r="C210"/>
  <c r="E210"/>
  <c r="K24" i="29"/>
  <c r="F211" i="45"/>
  <c r="J210"/>
  <c r="F210"/>
  <c r="L210"/>
  <c r="C218" i="21" l="1"/>
  <c r="D210" i="44"/>
  <c r="C219" i="21"/>
  <c r="C222"/>
  <c r="H210" i="45"/>
  <c r="F210" i="44" s="1"/>
  <c r="J210" s="1"/>
  <c r="A273"/>
  <c r="B273"/>
  <c r="C273"/>
  <c r="E273"/>
  <c r="F273"/>
  <c r="A274"/>
  <c r="B274"/>
  <c r="D274" s="1"/>
  <c r="E274"/>
  <c r="F274"/>
  <c r="D273" l="1"/>
  <c r="I20" i="30" l="1"/>
  <c r="I19"/>
  <c r="I18"/>
  <c r="I17"/>
  <c r="I16"/>
  <c r="I15"/>
  <c r="I14"/>
  <c r="I13"/>
  <c r="I11"/>
  <c r="I10"/>
  <c r="I9"/>
  <c r="I8"/>
  <c r="I7"/>
  <c r="I6"/>
  <c r="I5"/>
  <c r="I4"/>
  <c r="L18" i="29"/>
  <c r="L17"/>
  <c r="L16"/>
  <c r="L15"/>
  <c r="L14"/>
  <c r="L13"/>
  <c r="L12"/>
  <c r="L11"/>
  <c r="L10"/>
  <c r="L9"/>
  <c r="L8"/>
  <c r="L7"/>
  <c r="L6"/>
  <c r="L5"/>
  <c r="L4"/>
  <c r="D11" i="59" l="1"/>
  <c r="D10"/>
  <c r="H37" i="61" l="1"/>
  <c r="H36"/>
  <c r="B332" i="44" l="1"/>
  <c r="D332" s="1"/>
  <c r="E332"/>
  <c r="F332"/>
  <c r="E331"/>
  <c r="B331"/>
  <c r="C327"/>
  <c r="C328"/>
  <c r="C330"/>
  <c r="D330" s="1"/>
  <c r="I330" s="1"/>
  <c r="C331"/>
  <c r="D331" s="1"/>
  <c r="I331" s="1"/>
  <c r="C329"/>
  <c r="C333"/>
  <c r="D333" s="1"/>
  <c r="B325"/>
  <c r="D325" s="1"/>
  <c r="B324"/>
  <c r="D324" s="1"/>
  <c r="E325"/>
  <c r="B326"/>
  <c r="D326" s="1"/>
  <c r="E326"/>
  <c r="F326"/>
  <c r="B327"/>
  <c r="E327"/>
  <c r="B328"/>
  <c r="E328"/>
  <c r="B330"/>
  <c r="E330"/>
  <c r="F333"/>
  <c r="E333"/>
  <c r="B333"/>
  <c r="H329"/>
  <c r="K329" s="1"/>
  <c r="E324"/>
  <c r="F323"/>
  <c r="E323"/>
  <c r="B323"/>
  <c r="D323" s="1"/>
  <c r="D322"/>
  <c r="D321"/>
  <c r="D320"/>
  <c r="A320"/>
  <c r="H241"/>
  <c r="H40" i="58"/>
  <c r="H38"/>
  <c r="I38" s="1"/>
  <c r="F41" s="1"/>
  <c r="K41" s="1"/>
  <c r="F330" i="44" s="1"/>
  <c r="F40" i="58"/>
  <c r="F39"/>
  <c r="K39" s="1"/>
  <c r="F328" i="44" s="1"/>
  <c r="J328" s="1"/>
  <c r="F38" i="58"/>
  <c r="F37"/>
  <c r="K37"/>
  <c r="F327" i="44" s="1"/>
  <c r="K34" i="58"/>
  <c r="F324" i="44" s="1"/>
  <c r="F35" i="58"/>
  <c r="K35" s="1"/>
  <c r="F325" i="44" s="1"/>
  <c r="F34" i="58"/>
  <c r="I40" l="1"/>
  <c r="F42" s="1"/>
  <c r="K42" s="1"/>
  <c r="F331" i="44" s="1"/>
  <c r="J331" s="1"/>
  <c r="J330"/>
  <c r="D327"/>
  <c r="D328"/>
  <c r="A20" i="21"/>
  <c r="B20" s="1"/>
  <c r="A39"/>
  <c r="A40"/>
  <c r="C40" s="1"/>
  <c r="A41"/>
  <c r="C41" s="1"/>
  <c r="A42"/>
  <c r="C42" s="1"/>
  <c r="A43"/>
  <c r="C43" s="1"/>
  <c r="K8" i="29"/>
  <c r="A19" i="21" s="1"/>
  <c r="K12" i="29"/>
  <c r="A24" i="21" s="1"/>
  <c r="C24" s="1"/>
  <c r="K11" i="29"/>
  <c r="A23" i="21" s="1"/>
  <c r="C236" i="44"/>
  <c r="C237"/>
  <c r="C238"/>
  <c r="C239"/>
  <c r="C242"/>
  <c r="D242" s="1"/>
  <c r="B236"/>
  <c r="E236"/>
  <c r="B237"/>
  <c r="E237"/>
  <c r="B238"/>
  <c r="E238"/>
  <c r="B239"/>
  <c r="E239"/>
  <c r="B242"/>
  <c r="E242"/>
  <c r="K8" i="58"/>
  <c r="F239" i="44" s="1"/>
  <c r="H8" i="58"/>
  <c r="I8" s="1"/>
  <c r="K7"/>
  <c r="F238" i="44" s="1"/>
  <c r="H7" i="58"/>
  <c r="I7" s="1"/>
  <c r="K6"/>
  <c r="F237" i="44" s="1"/>
  <c r="H6" i="58"/>
  <c r="I6" s="1"/>
  <c r="I5"/>
  <c r="K4"/>
  <c r="F236" i="44" s="1"/>
  <c r="K10" i="58" l="1"/>
  <c r="F242" i="44" s="1"/>
  <c r="C23" i="21"/>
  <c r="C19"/>
  <c r="C39"/>
  <c r="D237" i="44"/>
  <c r="C20" i="21"/>
  <c r="D238" i="44"/>
  <c r="D239"/>
  <c r="D236"/>
  <c r="I242"/>
  <c r="J242" l="1"/>
  <c r="K242" s="1"/>
  <c r="A271" l="1"/>
  <c r="B271"/>
  <c r="C271"/>
  <c r="E271"/>
  <c r="F271"/>
  <c r="H271" s="1"/>
  <c r="A272"/>
  <c r="B272"/>
  <c r="C272"/>
  <c r="E272"/>
  <c r="H273"/>
  <c r="D272" l="1"/>
  <c r="D271"/>
  <c r="K23" i="29"/>
  <c r="A37" i="21" s="1"/>
  <c r="A38"/>
  <c r="D319" i="44"/>
  <c r="D318"/>
  <c r="D317"/>
  <c r="D316"/>
  <c r="D315"/>
  <c r="D314"/>
  <c r="K310"/>
  <c r="H307"/>
  <c r="F299"/>
  <c r="H299" s="1"/>
  <c r="E299"/>
  <c r="C299"/>
  <c r="B299"/>
  <c r="A299"/>
  <c r="F298"/>
  <c r="E298"/>
  <c r="B298"/>
  <c r="A298"/>
  <c r="F297"/>
  <c r="E297"/>
  <c r="B297"/>
  <c r="A297"/>
  <c r="E296"/>
  <c r="C296"/>
  <c r="B296"/>
  <c r="A296"/>
  <c r="E295"/>
  <c r="C295"/>
  <c r="B295"/>
  <c r="A295"/>
  <c r="B294"/>
  <c r="A291"/>
  <c r="D131" i="59"/>
  <c r="I131" s="1"/>
  <c r="J131" s="1"/>
  <c r="K131" s="1"/>
  <c r="D130"/>
  <c r="I130" s="1"/>
  <c r="J130" s="1"/>
  <c r="K130" s="1"/>
  <c r="C36" i="22"/>
  <c r="F36"/>
  <c r="C37"/>
  <c r="F37" s="1"/>
  <c r="C38"/>
  <c r="F38"/>
  <c r="C39"/>
  <c r="F39"/>
  <c r="C40"/>
  <c r="F40"/>
  <c r="H35" i="61"/>
  <c r="F296" i="44" s="1"/>
  <c r="H34" i="61"/>
  <c r="F295" i="44" s="1"/>
  <c r="J295" s="1"/>
  <c r="A267"/>
  <c r="B267"/>
  <c r="C267"/>
  <c r="E267"/>
  <c r="A268"/>
  <c r="B268"/>
  <c r="C268"/>
  <c r="E268"/>
  <c r="A269"/>
  <c r="B269"/>
  <c r="C269"/>
  <c r="E269"/>
  <c r="F269"/>
  <c r="A270"/>
  <c r="B270"/>
  <c r="C270"/>
  <c r="E270"/>
  <c r="E266"/>
  <c r="C266"/>
  <c r="B266"/>
  <c r="A266"/>
  <c r="B265"/>
  <c r="A262"/>
  <c r="D290"/>
  <c r="D289"/>
  <c r="D288"/>
  <c r="D287"/>
  <c r="D286"/>
  <c r="D285"/>
  <c r="K281"/>
  <c r="H278"/>
  <c r="J9" i="61"/>
  <c r="J10" s="1"/>
  <c r="F7"/>
  <c r="D121" i="59"/>
  <c r="I121" s="1"/>
  <c r="J121" s="1"/>
  <c r="K121" s="1"/>
  <c r="D120"/>
  <c r="I120" s="1"/>
  <c r="J120" s="1"/>
  <c r="F6" i="61"/>
  <c r="F5"/>
  <c r="K22" i="29"/>
  <c r="A36" i="21" s="1"/>
  <c r="A35"/>
  <c r="K21" i="29"/>
  <c r="A34" i="21" s="1"/>
  <c r="J12" i="61"/>
  <c r="J13" s="1"/>
  <c r="H13" s="1"/>
  <c r="F272" i="44" s="1"/>
  <c r="H272" s="1"/>
  <c r="H12" i="61"/>
  <c r="J124" i="59" l="1"/>
  <c r="C35" i="21"/>
  <c r="C36"/>
  <c r="C37"/>
  <c r="C34"/>
  <c r="C38"/>
  <c r="K134" i="59"/>
  <c r="I296" i="44" s="1"/>
  <c r="J296" s="1"/>
  <c r="J134" i="59"/>
  <c r="D297" i="44"/>
  <c r="H297" s="1"/>
  <c r="D296"/>
  <c r="D295"/>
  <c r="H296"/>
  <c r="D298"/>
  <c r="H298" s="1"/>
  <c r="D268"/>
  <c r="D299"/>
  <c r="D266"/>
  <c r="D270"/>
  <c r="D267"/>
  <c r="D269"/>
  <c r="K120" i="59"/>
  <c r="K124" s="1"/>
  <c r="I268" i="44" s="1"/>
  <c r="H6" i="61"/>
  <c r="F267" i="44" s="1"/>
  <c r="J267" s="1"/>
  <c r="H10" i="61"/>
  <c r="F270" i="44" s="1"/>
  <c r="H270" s="1"/>
  <c r="H7" i="61"/>
  <c r="F268" i="44" s="1"/>
  <c r="H268" s="1"/>
  <c r="H5" i="61"/>
  <c r="F266" i="44" s="1"/>
  <c r="J266" s="1"/>
  <c r="K296" l="1"/>
  <c r="J268"/>
  <c r="K268" s="1"/>
  <c r="B150" l="1"/>
  <c r="C33" i="22" l="1"/>
  <c r="F33" s="1"/>
  <c r="C32"/>
  <c r="F32" s="1"/>
  <c r="F31"/>
  <c r="C31"/>
  <c r="C30"/>
  <c r="F30" s="1"/>
  <c r="C29"/>
  <c r="F29" s="1"/>
  <c r="C28"/>
  <c r="F28" s="1"/>
  <c r="F27"/>
  <c r="C27"/>
  <c r="C26"/>
  <c r="F26" s="1"/>
  <c r="C25"/>
  <c r="F25" s="1"/>
  <c r="C24"/>
  <c r="F24" s="1"/>
  <c r="F23"/>
  <c r="C23"/>
  <c r="C22"/>
  <c r="F22" s="1"/>
  <c r="C21"/>
  <c r="F21" s="1"/>
  <c r="C20"/>
  <c r="F20" s="1"/>
  <c r="F19"/>
  <c r="C19"/>
  <c r="C18"/>
  <c r="F18" s="1"/>
  <c r="C17"/>
  <c r="F17" s="1"/>
  <c r="C16"/>
  <c r="F16" s="1"/>
  <c r="F15"/>
  <c r="C15"/>
  <c r="C14"/>
  <c r="F14" s="1"/>
  <c r="C13"/>
  <c r="F13" s="1"/>
  <c r="C12"/>
  <c r="F12" s="1"/>
  <c r="F11"/>
  <c r="C11"/>
  <c r="C10"/>
  <c r="F10" s="1"/>
  <c r="C9"/>
  <c r="F9" s="1"/>
  <c r="C8"/>
  <c r="F8" s="1"/>
  <c r="F7"/>
  <c r="C7"/>
  <c r="C6"/>
  <c r="F6" s="1"/>
  <c r="C5"/>
  <c r="F5" s="1"/>
  <c r="F4"/>
  <c r="A44" i="21" l="1"/>
  <c r="C44" s="1"/>
  <c r="A45"/>
  <c r="A46"/>
  <c r="C46" s="1"/>
  <c r="A47"/>
  <c r="A48"/>
  <c r="C48" s="1"/>
  <c r="A49"/>
  <c r="C49" s="1"/>
  <c r="A50"/>
  <c r="C50" s="1"/>
  <c r="A51"/>
  <c r="A52"/>
  <c r="C52" s="1"/>
  <c r="A53"/>
  <c r="A33"/>
  <c r="K20" i="29"/>
  <c r="A32" i="21" s="1"/>
  <c r="K19" i="29"/>
  <c r="A31" i="21" s="1"/>
  <c r="K18" i="29"/>
  <c r="A30" i="21" s="1"/>
  <c r="K17" i="29"/>
  <c r="A29" i="21" s="1"/>
  <c r="K16" i="29"/>
  <c r="A28" i="21" s="1"/>
  <c r="K15" i="29"/>
  <c r="A27" i="21" s="1"/>
  <c r="K14" i="29"/>
  <c r="A26" i="21" s="1"/>
  <c r="K13" i="29"/>
  <c r="A25" i="21" s="1"/>
  <c r="I38" i="59"/>
  <c r="D95"/>
  <c r="I95" s="1"/>
  <c r="J95" s="1"/>
  <c r="K95" s="1"/>
  <c r="D94"/>
  <c r="I94" s="1"/>
  <c r="D93"/>
  <c r="D92"/>
  <c r="D91"/>
  <c r="D66"/>
  <c r="I66" s="1"/>
  <c r="D65"/>
  <c r="D64"/>
  <c r="D63"/>
  <c r="D62"/>
  <c r="D39"/>
  <c r="I39" s="1"/>
  <c r="J39" s="1"/>
  <c r="K39" s="1"/>
  <c r="D38"/>
  <c r="D37"/>
  <c r="I37" s="1"/>
  <c r="J37" s="1"/>
  <c r="K37" s="1"/>
  <c r="D36"/>
  <c r="I36" s="1"/>
  <c r="D35"/>
  <c r="D34"/>
  <c r="D33"/>
  <c r="C28" i="21" l="1"/>
  <c r="C29"/>
  <c r="C30"/>
  <c r="C32"/>
  <c r="C25"/>
  <c r="C26"/>
  <c r="C31"/>
  <c r="C33"/>
  <c r="C27"/>
  <c r="C51"/>
  <c r="I65" i="59"/>
  <c r="J65" s="1"/>
  <c r="K65" s="1"/>
  <c r="J94"/>
  <c r="J116" s="1"/>
  <c r="I212" i="44" s="1"/>
  <c r="J36" i="59"/>
  <c r="K36" s="1"/>
  <c r="J66"/>
  <c r="K66" s="1"/>
  <c r="J38"/>
  <c r="K38" s="1"/>
  <c r="C47" i="21"/>
  <c r="C53"/>
  <c r="C45"/>
  <c r="A216" i="44"/>
  <c r="B216"/>
  <c r="C216"/>
  <c r="E216"/>
  <c r="F215"/>
  <c r="E215"/>
  <c r="B215"/>
  <c r="D215" s="1"/>
  <c r="A215"/>
  <c r="C213"/>
  <c r="F214"/>
  <c r="E214"/>
  <c r="C214"/>
  <c r="B214"/>
  <c r="A214"/>
  <c r="E213"/>
  <c r="B213"/>
  <c r="A213"/>
  <c r="E212"/>
  <c r="C212"/>
  <c r="B212"/>
  <c r="A212"/>
  <c r="E211"/>
  <c r="C211"/>
  <c r="B211"/>
  <c r="A211"/>
  <c r="E209"/>
  <c r="C209"/>
  <c r="B209"/>
  <c r="A209"/>
  <c r="E208"/>
  <c r="C208"/>
  <c r="B208"/>
  <c r="A208"/>
  <c r="B207"/>
  <c r="A204"/>
  <c r="F200"/>
  <c r="E200"/>
  <c r="C200"/>
  <c r="B200"/>
  <c r="A200"/>
  <c r="F199"/>
  <c r="E199"/>
  <c r="C199"/>
  <c r="B199"/>
  <c r="A199"/>
  <c r="F198"/>
  <c r="E198"/>
  <c r="C198"/>
  <c r="B198"/>
  <c r="A198"/>
  <c r="F196"/>
  <c r="E196"/>
  <c r="C196"/>
  <c r="B196"/>
  <c r="A196"/>
  <c r="E189"/>
  <c r="C189"/>
  <c r="B189"/>
  <c r="A189"/>
  <c r="F188"/>
  <c r="E188"/>
  <c r="B188"/>
  <c r="D188" s="1"/>
  <c r="A188"/>
  <c r="E187"/>
  <c r="B187"/>
  <c r="D187" s="1"/>
  <c r="A187"/>
  <c r="E186"/>
  <c r="C186"/>
  <c r="B186"/>
  <c r="A186"/>
  <c r="F185"/>
  <c r="H185" s="1"/>
  <c r="E185"/>
  <c r="C185"/>
  <c r="B185"/>
  <c r="A185"/>
  <c r="E184"/>
  <c r="C184"/>
  <c r="B184"/>
  <c r="A184"/>
  <c r="E183"/>
  <c r="B183"/>
  <c r="D183" s="1"/>
  <c r="A183"/>
  <c r="E182"/>
  <c r="C182"/>
  <c r="B182"/>
  <c r="A182"/>
  <c r="E181"/>
  <c r="C181"/>
  <c r="B181"/>
  <c r="A181"/>
  <c r="F180"/>
  <c r="J180" s="1"/>
  <c r="E180"/>
  <c r="C180"/>
  <c r="B180"/>
  <c r="A180"/>
  <c r="E179"/>
  <c r="C179"/>
  <c r="B179"/>
  <c r="A179"/>
  <c r="B178"/>
  <c r="A175"/>
  <c r="F171"/>
  <c r="E171"/>
  <c r="C171"/>
  <c r="B171"/>
  <c r="A171"/>
  <c r="F170"/>
  <c r="E170"/>
  <c r="C170"/>
  <c r="B170"/>
  <c r="A170"/>
  <c r="F169"/>
  <c r="E169"/>
  <c r="C169"/>
  <c r="B169"/>
  <c r="A169"/>
  <c r="F167"/>
  <c r="E167"/>
  <c r="C167"/>
  <c r="B167"/>
  <c r="A167"/>
  <c r="E160"/>
  <c r="C160"/>
  <c r="B160"/>
  <c r="A160"/>
  <c r="F159"/>
  <c r="E159"/>
  <c r="B159"/>
  <c r="D159" s="1"/>
  <c r="A159"/>
  <c r="E158"/>
  <c r="B158"/>
  <c r="D158" s="1"/>
  <c r="A158"/>
  <c r="E157"/>
  <c r="C157"/>
  <c r="B157"/>
  <c r="A157"/>
  <c r="F156"/>
  <c r="H156" s="1"/>
  <c r="E156"/>
  <c r="C156"/>
  <c r="B156"/>
  <c r="A156"/>
  <c r="E155"/>
  <c r="C155"/>
  <c r="B155"/>
  <c r="A155"/>
  <c r="E154"/>
  <c r="B154"/>
  <c r="D154" s="1"/>
  <c r="A154"/>
  <c r="E153"/>
  <c r="C153"/>
  <c r="B153"/>
  <c r="A153"/>
  <c r="E152"/>
  <c r="C152"/>
  <c r="B152"/>
  <c r="A152"/>
  <c r="E151"/>
  <c r="C151"/>
  <c r="B151"/>
  <c r="A151"/>
  <c r="E150"/>
  <c r="C150"/>
  <c r="A150"/>
  <c r="B149"/>
  <c r="A146"/>
  <c r="F142"/>
  <c r="E142"/>
  <c r="C142"/>
  <c r="B142"/>
  <c r="A142"/>
  <c r="F141"/>
  <c r="E141"/>
  <c r="C141"/>
  <c r="B141"/>
  <c r="A141"/>
  <c r="F140"/>
  <c r="E140"/>
  <c r="C140"/>
  <c r="B140"/>
  <c r="A140"/>
  <c r="F138"/>
  <c r="E138"/>
  <c r="C138"/>
  <c r="B138"/>
  <c r="A138"/>
  <c r="E131"/>
  <c r="C131"/>
  <c r="B131"/>
  <c r="A131"/>
  <c r="F130"/>
  <c r="E130"/>
  <c r="B130"/>
  <c r="D130" s="1"/>
  <c r="A130"/>
  <c r="E129"/>
  <c r="B129"/>
  <c r="D129" s="1"/>
  <c r="A129"/>
  <c r="E128"/>
  <c r="C128"/>
  <c r="B128"/>
  <c r="A128"/>
  <c r="F127"/>
  <c r="H127" s="1"/>
  <c r="E127"/>
  <c r="C127"/>
  <c r="B127"/>
  <c r="A127"/>
  <c r="E126"/>
  <c r="C126"/>
  <c r="B126"/>
  <c r="A126"/>
  <c r="E125"/>
  <c r="B125"/>
  <c r="D125" s="1"/>
  <c r="A125"/>
  <c r="E124"/>
  <c r="C124"/>
  <c r="B124"/>
  <c r="A124"/>
  <c r="E123"/>
  <c r="C123"/>
  <c r="B123"/>
  <c r="A123"/>
  <c r="E122"/>
  <c r="C122"/>
  <c r="B122"/>
  <c r="A122"/>
  <c r="E121"/>
  <c r="C121"/>
  <c r="B121"/>
  <c r="A121"/>
  <c r="B120"/>
  <c r="A117"/>
  <c r="F113"/>
  <c r="E113"/>
  <c r="C113"/>
  <c r="B113"/>
  <c r="A113"/>
  <c r="F112"/>
  <c r="E112"/>
  <c r="C112"/>
  <c r="B112"/>
  <c r="A112"/>
  <c r="F111"/>
  <c r="E111"/>
  <c r="C111"/>
  <c r="B111"/>
  <c r="A111"/>
  <c r="F109"/>
  <c r="E109"/>
  <c r="C109"/>
  <c r="B109"/>
  <c r="A109"/>
  <c r="E102"/>
  <c r="C102"/>
  <c r="B102"/>
  <c r="A102"/>
  <c r="F101"/>
  <c r="E101"/>
  <c r="B101"/>
  <c r="D101" s="1"/>
  <c r="A101"/>
  <c r="E100"/>
  <c r="B100"/>
  <c r="D100" s="1"/>
  <c r="A100"/>
  <c r="E99"/>
  <c r="C99"/>
  <c r="B99"/>
  <c r="A99"/>
  <c r="F98"/>
  <c r="H98" s="1"/>
  <c r="E98"/>
  <c r="C98"/>
  <c r="B98"/>
  <c r="A98"/>
  <c r="E97"/>
  <c r="C97"/>
  <c r="B97"/>
  <c r="A97"/>
  <c r="E96"/>
  <c r="B96"/>
  <c r="D96" s="1"/>
  <c r="A96"/>
  <c r="E95"/>
  <c r="C95"/>
  <c r="B95"/>
  <c r="A95"/>
  <c r="E94"/>
  <c r="C94"/>
  <c r="B94"/>
  <c r="A94"/>
  <c r="E93"/>
  <c r="C93"/>
  <c r="B93"/>
  <c r="A93"/>
  <c r="E92"/>
  <c r="C92"/>
  <c r="A92"/>
  <c r="B91"/>
  <c r="A88"/>
  <c r="A73"/>
  <c r="B73"/>
  <c r="C73"/>
  <c r="E73"/>
  <c r="F84"/>
  <c r="E84"/>
  <c r="C84"/>
  <c r="B84"/>
  <c r="A84"/>
  <c r="F83"/>
  <c r="E83"/>
  <c r="C83"/>
  <c r="B83"/>
  <c r="A83"/>
  <c r="F82"/>
  <c r="E82"/>
  <c r="C82"/>
  <c r="B82"/>
  <c r="A82"/>
  <c r="F80"/>
  <c r="E80"/>
  <c r="C80"/>
  <c r="B80"/>
  <c r="A80"/>
  <c r="F72"/>
  <c r="E72"/>
  <c r="B72"/>
  <c r="D72" s="1"/>
  <c r="A72"/>
  <c r="E71"/>
  <c r="B71"/>
  <c r="D71" s="1"/>
  <c r="A71"/>
  <c r="E70"/>
  <c r="C70"/>
  <c r="B70"/>
  <c r="A70"/>
  <c r="F69"/>
  <c r="H69" s="1"/>
  <c r="E69"/>
  <c r="C69"/>
  <c r="B69"/>
  <c r="A69"/>
  <c r="E68"/>
  <c r="C68"/>
  <c r="B68"/>
  <c r="A68"/>
  <c r="E67"/>
  <c r="B67"/>
  <c r="D67" s="1"/>
  <c r="A67"/>
  <c r="E66"/>
  <c r="C66"/>
  <c r="B66"/>
  <c r="A66"/>
  <c r="E65"/>
  <c r="C65"/>
  <c r="B65"/>
  <c r="A65"/>
  <c r="E64"/>
  <c r="C64"/>
  <c r="B64"/>
  <c r="A64"/>
  <c r="E63"/>
  <c r="C63"/>
  <c r="B63"/>
  <c r="A63"/>
  <c r="B62"/>
  <c r="A59"/>
  <c r="A229" i="21"/>
  <c r="A232"/>
  <c r="C232" s="1"/>
  <c r="A233"/>
  <c r="C233" s="1"/>
  <c r="A234"/>
  <c r="C234" s="1"/>
  <c r="A235"/>
  <c r="C235" s="1"/>
  <c r="A236"/>
  <c r="C236" s="1"/>
  <c r="A237"/>
  <c r="A238"/>
  <c r="C238" s="1"/>
  <c r="A239"/>
  <c r="A240"/>
  <c r="C240" s="1"/>
  <c r="A241"/>
  <c r="C241" s="1"/>
  <c r="A242"/>
  <c r="C242" s="1"/>
  <c r="A243"/>
  <c r="C243" s="1"/>
  <c r="A244"/>
  <c r="C244" s="1"/>
  <c r="A245"/>
  <c r="A246"/>
  <c r="C246" s="1"/>
  <c r="A247"/>
  <c r="A248"/>
  <c r="C248" s="1"/>
  <c r="A249"/>
  <c r="C249" s="1"/>
  <c r="A250"/>
  <c r="C250" s="1"/>
  <c r="A251"/>
  <c r="C251" s="1"/>
  <c r="A252"/>
  <c r="C252" s="1"/>
  <c r="A253"/>
  <c r="A254"/>
  <c r="C254" s="1"/>
  <c r="A255"/>
  <c r="A256"/>
  <c r="C256" s="1"/>
  <c r="A257"/>
  <c r="C257" s="1"/>
  <c r="A258"/>
  <c r="C258" s="1"/>
  <c r="A259"/>
  <c r="C259" s="1"/>
  <c r="A260"/>
  <c r="C260" s="1"/>
  <c r="A261"/>
  <c r="A262"/>
  <c r="C262" s="1"/>
  <c r="A263"/>
  <c r="A264"/>
  <c r="C264" s="1"/>
  <c r="A265"/>
  <c r="C265" s="1"/>
  <c r="A266"/>
  <c r="C266" s="1"/>
  <c r="A267"/>
  <c r="C267" s="1"/>
  <c r="A268"/>
  <c r="C268" s="1"/>
  <c r="A269"/>
  <c r="A270"/>
  <c r="C270" s="1"/>
  <c r="A271"/>
  <c r="A272"/>
  <c r="C272" s="1"/>
  <c r="A273"/>
  <c r="C273" s="1"/>
  <c r="A274"/>
  <c r="C274" s="1"/>
  <c r="A275"/>
  <c r="C275" s="1"/>
  <c r="A276"/>
  <c r="C276" s="1"/>
  <c r="A277"/>
  <c r="A278"/>
  <c r="C278" s="1"/>
  <c r="A279"/>
  <c r="A280"/>
  <c r="C280" s="1"/>
  <c r="A281"/>
  <c r="C281" s="1"/>
  <c r="A282"/>
  <c r="C282" s="1"/>
  <c r="A283"/>
  <c r="C283" s="1"/>
  <c r="A284"/>
  <c r="C284" s="1"/>
  <c r="A285"/>
  <c r="A286"/>
  <c r="C286" s="1"/>
  <c r="A287"/>
  <c r="A288"/>
  <c r="C288" s="1"/>
  <c r="A289"/>
  <c r="C289" s="1"/>
  <c r="A290"/>
  <c r="C290" s="1"/>
  <c r="A291"/>
  <c r="C291" s="1"/>
  <c r="A292"/>
  <c r="C292" s="1"/>
  <c r="A293"/>
  <c r="A294"/>
  <c r="C294" s="1"/>
  <c r="A295"/>
  <c r="A296"/>
  <c r="C296" s="1"/>
  <c r="A195"/>
  <c r="C195" s="1"/>
  <c r="A196"/>
  <c r="B196" s="1"/>
  <c r="H13" i="30"/>
  <c r="A210" i="21" s="1"/>
  <c r="C210" s="1"/>
  <c r="H14" i="30"/>
  <c r="A211" i="21" s="1"/>
  <c r="H15" i="30"/>
  <c r="A212" i="21" s="1"/>
  <c r="H16" i="30"/>
  <c r="A213" i="21" s="1"/>
  <c r="H17" i="30"/>
  <c r="A214" i="21" s="1"/>
  <c r="C214" s="1"/>
  <c r="H18" i="30"/>
  <c r="A215" i="21" s="1"/>
  <c r="H19" i="30"/>
  <c r="H20"/>
  <c r="A217" i="21" s="1"/>
  <c r="A223"/>
  <c r="A224"/>
  <c r="C224" s="1"/>
  <c r="A225"/>
  <c r="C225" s="1"/>
  <c r="A226"/>
  <c r="C226" s="1"/>
  <c r="A227"/>
  <c r="C227" s="1"/>
  <c r="A228"/>
  <c r="C228" s="1"/>
  <c r="A230"/>
  <c r="C230" s="1"/>
  <c r="A231"/>
  <c r="H12" i="30"/>
  <c r="A209" i="21" s="1"/>
  <c r="C209" s="1"/>
  <c r="A15" i="44"/>
  <c r="B15"/>
  <c r="C15"/>
  <c r="E15"/>
  <c r="J216" i="45"/>
  <c r="J215"/>
  <c r="F26" i="44"/>
  <c r="E26"/>
  <c r="C26"/>
  <c r="B26"/>
  <c r="A26"/>
  <c r="F25"/>
  <c r="E25"/>
  <c r="C25"/>
  <c r="B25"/>
  <c r="A25"/>
  <c r="F24"/>
  <c r="E24"/>
  <c r="C24"/>
  <c r="B24"/>
  <c r="A24"/>
  <c r="F22"/>
  <c r="E22"/>
  <c r="C22"/>
  <c r="B22"/>
  <c r="A22"/>
  <c r="F14"/>
  <c r="E14"/>
  <c r="B14"/>
  <c r="D14" s="1"/>
  <c r="A14"/>
  <c r="E13"/>
  <c r="B13"/>
  <c r="A13"/>
  <c r="E12"/>
  <c r="C12"/>
  <c r="B12"/>
  <c r="A12"/>
  <c r="F11"/>
  <c r="H11" s="1"/>
  <c r="E11"/>
  <c r="C11"/>
  <c r="B11"/>
  <c r="A11"/>
  <c r="E10"/>
  <c r="C10"/>
  <c r="B10"/>
  <c r="A10"/>
  <c r="E9"/>
  <c r="B9"/>
  <c r="A9"/>
  <c r="E8"/>
  <c r="C8"/>
  <c r="B8"/>
  <c r="A8"/>
  <c r="E7"/>
  <c r="C7"/>
  <c r="B7"/>
  <c r="A7"/>
  <c r="E6"/>
  <c r="C6"/>
  <c r="B6"/>
  <c r="A6"/>
  <c r="E5"/>
  <c r="C5"/>
  <c r="B5"/>
  <c r="A5"/>
  <c r="B4"/>
  <c r="A1"/>
  <c r="F212" i="45"/>
  <c r="E212"/>
  <c r="F209"/>
  <c r="F208"/>
  <c r="F189"/>
  <c r="H189" s="1"/>
  <c r="F102"/>
  <c r="F131"/>
  <c r="J131" s="1"/>
  <c r="F182"/>
  <c r="J182" s="1"/>
  <c r="F190"/>
  <c r="H190" s="1"/>
  <c r="J190" s="1"/>
  <c r="F183"/>
  <c r="J183" s="1"/>
  <c r="F181"/>
  <c r="H181" s="1"/>
  <c r="F181" i="44" s="1"/>
  <c r="J181" s="1"/>
  <c r="F180" i="45"/>
  <c r="H180" s="1"/>
  <c r="F179"/>
  <c r="H179" s="1"/>
  <c r="F179" i="44" s="1"/>
  <c r="J179" s="1"/>
  <c r="J160" i="45"/>
  <c r="J161" s="1"/>
  <c r="H161" s="1"/>
  <c r="F160" i="44" s="1"/>
  <c r="H160" s="1"/>
  <c r="H160" i="45"/>
  <c r="F154"/>
  <c r="J154" s="1"/>
  <c r="F153"/>
  <c r="H153" s="1"/>
  <c r="F153" i="44" s="1"/>
  <c r="J153" s="1"/>
  <c r="F152" i="45"/>
  <c r="J152" s="1"/>
  <c r="F151"/>
  <c r="J151" s="1"/>
  <c r="F150"/>
  <c r="H150" s="1"/>
  <c r="F150" i="44" s="1"/>
  <c r="J150" s="1"/>
  <c r="F132" i="45"/>
  <c r="H132" s="1"/>
  <c r="J132" s="1"/>
  <c r="F125"/>
  <c r="J125" s="1"/>
  <c r="F124"/>
  <c r="H124" s="1"/>
  <c r="F124" i="44" s="1"/>
  <c r="J124" s="1"/>
  <c r="F123" i="45"/>
  <c r="J123" s="1"/>
  <c r="F122"/>
  <c r="J122" s="1"/>
  <c r="F121"/>
  <c r="J121" s="1"/>
  <c r="F96"/>
  <c r="J96" s="1"/>
  <c r="F95"/>
  <c r="H95" s="1"/>
  <c r="F95" i="44" s="1"/>
  <c r="J95" s="1"/>
  <c r="F94" i="45"/>
  <c r="J94" s="1"/>
  <c r="F93"/>
  <c r="J93" s="1"/>
  <c r="F92"/>
  <c r="J92" s="1"/>
  <c r="J74"/>
  <c r="H74"/>
  <c r="F73"/>
  <c r="F67"/>
  <c r="H67" s="1"/>
  <c r="F67" i="44" s="1"/>
  <c r="J67" s="1"/>
  <c r="F66" i="45"/>
  <c r="C217" i="21" l="1"/>
  <c r="H216" i="45"/>
  <c r="F216" i="44" s="1"/>
  <c r="B195" i="21"/>
  <c r="C215"/>
  <c r="K94" i="59"/>
  <c r="A216" i="21"/>
  <c r="C212"/>
  <c r="H330" i="44"/>
  <c r="K330" s="1"/>
  <c r="H323"/>
  <c r="H331"/>
  <c r="K331" s="1"/>
  <c r="C211" i="21"/>
  <c r="D216" i="44"/>
  <c r="D153"/>
  <c r="D109"/>
  <c r="D123"/>
  <c r="D138"/>
  <c r="D82"/>
  <c r="D64"/>
  <c r="D111"/>
  <c r="D184"/>
  <c r="D214"/>
  <c r="D142"/>
  <c r="D211"/>
  <c r="D73"/>
  <c r="D156"/>
  <c r="D180"/>
  <c r="D185"/>
  <c r="D102"/>
  <c r="D189"/>
  <c r="D124"/>
  <c r="D126"/>
  <c r="D171"/>
  <c r="D112"/>
  <c r="D170"/>
  <c r="D68"/>
  <c r="D208"/>
  <c r="D15"/>
  <c r="D97"/>
  <c r="D155"/>
  <c r="D169"/>
  <c r="D182"/>
  <c r="D198"/>
  <c r="D99"/>
  <c r="D127"/>
  <c r="D152"/>
  <c r="D94"/>
  <c r="D121"/>
  <c r="D131"/>
  <c r="D151"/>
  <c r="D209"/>
  <c r="D92"/>
  <c r="D95"/>
  <c r="D98"/>
  <c r="D140"/>
  <c r="D167"/>
  <c r="D181"/>
  <c r="D212"/>
  <c r="J87" i="59"/>
  <c r="I211" i="44" s="1"/>
  <c r="J41" i="59"/>
  <c r="J51" s="1"/>
  <c r="D213" i="44"/>
  <c r="D93"/>
  <c r="D113"/>
  <c r="D141"/>
  <c r="D157"/>
  <c r="D160"/>
  <c r="D186"/>
  <c r="D196"/>
  <c r="D200"/>
  <c r="D199"/>
  <c r="D65"/>
  <c r="D80"/>
  <c r="D122"/>
  <c r="D150"/>
  <c r="D128"/>
  <c r="D179"/>
  <c r="J214"/>
  <c r="H214"/>
  <c r="D66"/>
  <c r="D69"/>
  <c r="D84"/>
  <c r="D70"/>
  <c r="D63"/>
  <c r="D83"/>
  <c r="C295" i="21"/>
  <c r="C287"/>
  <c r="C279"/>
  <c r="C271"/>
  <c r="C263"/>
  <c r="C255"/>
  <c r="C247"/>
  <c r="C239"/>
  <c r="C231"/>
  <c r="C223"/>
  <c r="C293"/>
  <c r="C285"/>
  <c r="C277"/>
  <c r="C269"/>
  <c r="C261"/>
  <c r="C253"/>
  <c r="C245"/>
  <c r="C237"/>
  <c r="C229"/>
  <c r="C213"/>
  <c r="C196"/>
  <c r="D26" i="44"/>
  <c r="D8"/>
  <c r="D13"/>
  <c r="D10"/>
  <c r="D22"/>
  <c r="D25"/>
  <c r="D6"/>
  <c r="D24"/>
  <c r="D9"/>
  <c r="D5"/>
  <c r="D11"/>
  <c r="D12"/>
  <c r="D7"/>
  <c r="J100" i="45"/>
  <c r="J153"/>
  <c r="J189"/>
  <c r="J191" s="1"/>
  <c r="H191" s="1"/>
  <c r="F189" i="44" s="1"/>
  <c r="J133" i="45"/>
  <c r="H133" s="1"/>
  <c r="F131" i="44" s="1"/>
  <c r="J150" i="45"/>
  <c r="J181"/>
  <c r="H123"/>
  <c r="F123" i="44" s="1"/>
  <c r="J123" s="1"/>
  <c r="J129" i="45"/>
  <c r="H129" s="1"/>
  <c r="F129" i="44" s="1"/>
  <c r="J129" s="1"/>
  <c r="J95" i="45"/>
  <c r="J97" s="1"/>
  <c r="H97" s="1"/>
  <c r="F97" i="44" s="1"/>
  <c r="H97" s="1"/>
  <c r="H131" i="45"/>
  <c r="H182"/>
  <c r="F182" i="44" s="1"/>
  <c r="J182" s="1"/>
  <c r="J179" i="45"/>
  <c r="J180"/>
  <c r="H183"/>
  <c r="F183" i="44" s="1"/>
  <c r="J183" s="1"/>
  <c r="J158" i="45"/>
  <c r="H158" s="1"/>
  <c r="F158" i="44" s="1"/>
  <c r="J158" s="1"/>
  <c r="H154" i="45"/>
  <c r="F154" i="44" s="1"/>
  <c r="J154" s="1"/>
  <c r="H151" i="45"/>
  <c r="F151" i="44" s="1"/>
  <c r="J151" s="1"/>
  <c r="H152" i="45"/>
  <c r="F152" i="44" s="1"/>
  <c r="J152" s="1"/>
  <c r="J124" i="45"/>
  <c r="J128" s="1"/>
  <c r="H122"/>
  <c r="F122" i="44" s="1"/>
  <c r="J122" s="1"/>
  <c r="H125" i="45"/>
  <c r="F125" i="44" s="1"/>
  <c r="J125" s="1"/>
  <c r="H121" i="45"/>
  <c r="F121" i="44" s="1"/>
  <c r="J121" s="1"/>
  <c r="H93" i="45"/>
  <c r="F93" i="44" s="1"/>
  <c r="J93" s="1"/>
  <c r="H96" i="45"/>
  <c r="F96" i="44" s="1"/>
  <c r="J96" s="1"/>
  <c r="H94" i="45"/>
  <c r="F94" i="44" s="1"/>
  <c r="J94" s="1"/>
  <c r="H92" i="45"/>
  <c r="F92" i="44" s="1"/>
  <c r="J92" s="1"/>
  <c r="J67" i="45"/>
  <c r="J155" l="1"/>
  <c r="H155" s="1"/>
  <c r="F155" i="44" s="1"/>
  <c r="H155" s="1"/>
  <c r="J157" i="45"/>
  <c r="H157" s="1"/>
  <c r="F157" i="44" s="1"/>
  <c r="H157" s="1"/>
  <c r="J186" i="45"/>
  <c r="H186" s="1"/>
  <c r="F186" i="44" s="1"/>
  <c r="H186" s="1"/>
  <c r="H128" i="45"/>
  <c r="F128" i="44" s="1"/>
  <c r="H128" s="1"/>
  <c r="J99" i="45"/>
  <c r="J53" i="59"/>
  <c r="C216" i="21"/>
  <c r="K323" i="44"/>
  <c r="I53" i="59"/>
  <c r="K214" i="44"/>
  <c r="J52" i="59"/>
  <c r="I216" i="44"/>
  <c r="J216" s="1"/>
  <c r="I213"/>
  <c r="I52" i="59"/>
  <c r="I51"/>
  <c r="J187" i="45"/>
  <c r="H187" s="1"/>
  <c r="F187" i="44" s="1"/>
  <c r="J187" s="1"/>
  <c r="J184" i="45"/>
  <c r="H184" s="1"/>
  <c r="F184" i="44" s="1"/>
  <c r="H184" s="1"/>
  <c r="J126" i="45"/>
  <c r="H126" s="1"/>
  <c r="F126" i="44" s="1"/>
  <c r="H126" s="1"/>
  <c r="F9" i="45" l="1"/>
  <c r="J9" s="1"/>
  <c r="H9" l="1"/>
  <c r="F9" i="44" s="1"/>
  <c r="J9" s="1"/>
  <c r="F8" i="45"/>
  <c r="J8" s="1"/>
  <c r="H15"/>
  <c r="F7"/>
  <c r="J7" s="1"/>
  <c r="F6"/>
  <c r="J6" s="1"/>
  <c r="F5"/>
  <c r="J5" s="1"/>
  <c r="F46"/>
  <c r="J46" s="1"/>
  <c r="F39"/>
  <c r="J13" l="1"/>
  <c r="H13" s="1"/>
  <c r="F13" i="44" s="1"/>
  <c r="J13" s="1"/>
  <c r="H12" i="45"/>
  <c r="F12" i="44" s="1"/>
  <c r="H12" s="1"/>
  <c r="J10" i="45"/>
  <c r="H10" s="1"/>
  <c r="F10" i="44" s="1"/>
  <c r="H10" s="1"/>
  <c r="H6" i="45"/>
  <c r="F6" i="44" s="1"/>
  <c r="J6" s="1"/>
  <c r="J15" i="45"/>
  <c r="J16" s="1"/>
  <c r="H16" s="1"/>
  <c r="F15" i="44" s="1"/>
  <c r="H15" s="1"/>
  <c r="H5" i="45"/>
  <c r="F5" i="44" s="1"/>
  <c r="J5" s="1"/>
  <c r="H7" i="45"/>
  <c r="F7" i="44" s="1"/>
  <c r="J7" s="1"/>
  <c r="H8" i="45"/>
  <c r="F8" i="44" s="1"/>
  <c r="J8" s="1"/>
  <c r="H46" i="45"/>
  <c r="K10" i="29" l="1"/>
  <c r="A22" i="21" s="1"/>
  <c r="K9" i="29"/>
  <c r="A21" i="21" s="1"/>
  <c r="C21" l="1"/>
  <c r="C22"/>
  <c r="A233" i="44"/>
  <c r="D235"/>
  <c r="D234"/>
  <c r="D233"/>
  <c r="A206" i="21" l="1"/>
  <c r="C206" s="1"/>
  <c r="A207"/>
  <c r="C207" s="1"/>
  <c r="C35" i="44" l="1"/>
  <c r="K5" i="29"/>
  <c r="A16" i="21" s="1"/>
  <c r="K6" i="29"/>
  <c r="A17" i="21" s="1"/>
  <c r="K7" i="29"/>
  <c r="A18" i="21" s="1"/>
  <c r="C18" l="1"/>
  <c r="C17"/>
  <c r="C16"/>
  <c r="D227" i="44"/>
  <c r="D228"/>
  <c r="D229"/>
  <c r="D230"/>
  <c r="D231"/>
  <c r="D232"/>
  <c r="H4" i="30"/>
  <c r="A153" i="21"/>
  <c r="C153" s="1"/>
  <c r="A154"/>
  <c r="C154" s="1"/>
  <c r="A155"/>
  <c r="C155" s="1"/>
  <c r="A156"/>
  <c r="B156" s="1"/>
  <c r="A157"/>
  <c r="B157" s="1"/>
  <c r="A158"/>
  <c r="B158" s="1"/>
  <c r="A159"/>
  <c r="B159" s="1"/>
  <c r="A160"/>
  <c r="C160" s="1"/>
  <c r="A161"/>
  <c r="B161" s="1"/>
  <c r="A162"/>
  <c r="C162" s="1"/>
  <c r="A163"/>
  <c r="C163" s="1"/>
  <c r="A164"/>
  <c r="B164" s="1"/>
  <c r="A165"/>
  <c r="B165" s="1"/>
  <c r="A166"/>
  <c r="B166" s="1"/>
  <c r="A167"/>
  <c r="C167" s="1"/>
  <c r="A168"/>
  <c r="B168" s="1"/>
  <c r="A169"/>
  <c r="B169" s="1"/>
  <c r="A170"/>
  <c r="C170" s="1"/>
  <c r="A171"/>
  <c r="C171" s="1"/>
  <c r="A172"/>
  <c r="B172" s="1"/>
  <c r="A173"/>
  <c r="B173" s="1"/>
  <c r="A174"/>
  <c r="B174" s="1"/>
  <c r="A175"/>
  <c r="B175" s="1"/>
  <c r="A176"/>
  <c r="C176" s="1"/>
  <c r="A177"/>
  <c r="B177" s="1"/>
  <c r="A178"/>
  <c r="C178" s="1"/>
  <c r="A179"/>
  <c r="C179" s="1"/>
  <c r="A180"/>
  <c r="B180" s="1"/>
  <c r="A181"/>
  <c r="B181" s="1"/>
  <c r="A182"/>
  <c r="B182" s="1"/>
  <c r="A183"/>
  <c r="C183" s="1"/>
  <c r="A184"/>
  <c r="B184" s="1"/>
  <c r="A185"/>
  <c r="B185" s="1"/>
  <c r="A186"/>
  <c r="C186" s="1"/>
  <c r="A187"/>
  <c r="C187" s="1"/>
  <c r="A297"/>
  <c r="C297" s="1"/>
  <c r="A298"/>
  <c r="C298" s="1"/>
  <c r="A299"/>
  <c r="C299" s="1"/>
  <c r="A300"/>
  <c r="C300" s="1"/>
  <c r="A301"/>
  <c r="A302"/>
  <c r="A303"/>
  <c r="C303" s="1"/>
  <c r="A304"/>
  <c r="C304" s="1"/>
  <c r="A305"/>
  <c r="C305" s="1"/>
  <c r="A306"/>
  <c r="C306" s="1"/>
  <c r="A307"/>
  <c r="C307" s="1"/>
  <c r="A189"/>
  <c r="A190"/>
  <c r="A191"/>
  <c r="H5" i="30"/>
  <c r="A193" i="21" s="1"/>
  <c r="A194"/>
  <c r="H6" i="30"/>
  <c r="A197" i="21" s="1"/>
  <c r="H7" i="30"/>
  <c r="H8"/>
  <c r="A199" i="21" s="1"/>
  <c r="C199" s="1"/>
  <c r="H9" i="30"/>
  <c r="A200" i="21" s="1"/>
  <c r="C200" s="1"/>
  <c r="A201"/>
  <c r="C201" s="1"/>
  <c r="A202"/>
  <c r="C202" s="1"/>
  <c r="A203"/>
  <c r="C203" s="1"/>
  <c r="H10" i="30"/>
  <c r="A204" i="21" s="1"/>
  <c r="C204" s="1"/>
  <c r="H11" i="30"/>
  <c r="A205" i="21" s="1"/>
  <c r="C205" s="1"/>
  <c r="A208"/>
  <c r="C208" s="1"/>
  <c r="K223" i="44"/>
  <c r="J218"/>
  <c r="K218" s="1"/>
  <c r="A46"/>
  <c r="B46"/>
  <c r="C46"/>
  <c r="E46"/>
  <c r="F46"/>
  <c r="A53"/>
  <c r="B53"/>
  <c r="C53"/>
  <c r="E53"/>
  <c r="F53"/>
  <c r="A54"/>
  <c r="B54"/>
  <c r="C54"/>
  <c r="E54"/>
  <c r="F54"/>
  <c r="A55"/>
  <c r="B55"/>
  <c r="C55"/>
  <c r="E55"/>
  <c r="F55"/>
  <c r="A35"/>
  <c r="B35"/>
  <c r="E35"/>
  <c r="A36"/>
  <c r="B36"/>
  <c r="C36"/>
  <c r="E36"/>
  <c r="A37"/>
  <c r="B37"/>
  <c r="C37"/>
  <c r="E37"/>
  <c r="A38"/>
  <c r="B38"/>
  <c r="C38"/>
  <c r="E38"/>
  <c r="A39"/>
  <c r="B39"/>
  <c r="C39"/>
  <c r="E39"/>
  <c r="A40"/>
  <c r="B40"/>
  <c r="C40"/>
  <c r="E40"/>
  <c r="A41"/>
  <c r="B41"/>
  <c r="C41"/>
  <c r="E41"/>
  <c r="F41"/>
  <c r="J41" s="1"/>
  <c r="A42"/>
  <c r="B42"/>
  <c r="C42"/>
  <c r="E42"/>
  <c r="A43"/>
  <c r="B43"/>
  <c r="E43"/>
  <c r="A44"/>
  <c r="B44"/>
  <c r="C44"/>
  <c r="E44"/>
  <c r="F44"/>
  <c r="H44" s="1"/>
  <c r="A45"/>
  <c r="B45"/>
  <c r="C45"/>
  <c r="E45"/>
  <c r="E34"/>
  <c r="C34"/>
  <c r="B34"/>
  <c r="A34"/>
  <c r="B33"/>
  <c r="A30"/>
  <c r="A192" i="21" l="1"/>
  <c r="C192" s="1"/>
  <c r="B221"/>
  <c r="B219"/>
  <c r="B220"/>
  <c r="B218"/>
  <c r="B222"/>
  <c r="B217"/>
  <c r="C189"/>
  <c r="C193"/>
  <c r="C190"/>
  <c r="C194"/>
  <c r="C191"/>
  <c r="C197"/>
  <c r="A198"/>
  <c r="B179"/>
  <c r="C185"/>
  <c r="B155"/>
  <c r="C177"/>
  <c r="B170"/>
  <c r="B167"/>
  <c r="B160"/>
  <c r="B162"/>
  <c r="C159"/>
  <c r="B176"/>
  <c r="B163"/>
  <c r="B153"/>
  <c r="B178"/>
  <c r="C175"/>
  <c r="B183"/>
  <c r="C169"/>
  <c r="C164"/>
  <c r="B154"/>
  <c r="C168"/>
  <c r="B186"/>
  <c r="B171"/>
  <c r="C156"/>
  <c r="C184"/>
  <c r="C180"/>
  <c r="C161"/>
  <c r="B187"/>
  <c r="C172"/>
  <c r="C301"/>
  <c r="C181"/>
  <c r="C173"/>
  <c r="C165"/>
  <c r="C157"/>
  <c r="C302"/>
  <c r="C182"/>
  <c r="C174"/>
  <c r="C166"/>
  <c r="C158"/>
  <c r="D37" i="44"/>
  <c r="D40"/>
  <c r="D46"/>
  <c r="D54"/>
  <c r="H41"/>
  <c r="K41" s="1"/>
  <c r="D44"/>
  <c r="D36"/>
  <c r="J44"/>
  <c r="K44" s="1"/>
  <c r="D41"/>
  <c r="D55"/>
  <c r="D42"/>
  <c r="D53"/>
  <c r="D35"/>
  <c r="D39"/>
  <c r="D45"/>
  <c r="D43"/>
  <c r="D38"/>
  <c r="D9" i="59"/>
  <c r="I9" s="1"/>
  <c r="J9" s="1"/>
  <c r="K9" s="1"/>
  <c r="D8"/>
  <c r="I8" s="1"/>
  <c r="D7"/>
  <c r="I7" s="1"/>
  <c r="J7" s="1"/>
  <c r="K7" s="1"/>
  <c r="D6"/>
  <c r="I6" s="1"/>
  <c r="D5"/>
  <c r="I5" s="1"/>
  <c r="J5" s="1"/>
  <c r="H39" i="45"/>
  <c r="F39" i="44" s="1"/>
  <c r="J39" s="1"/>
  <c r="F38" i="45"/>
  <c r="J38" s="1"/>
  <c r="F37"/>
  <c r="J37" s="1"/>
  <c r="F36"/>
  <c r="J36" s="1"/>
  <c r="F35"/>
  <c r="J35" s="1"/>
  <c r="H73"/>
  <c r="J66"/>
  <c r="F65"/>
  <c r="H65" s="1"/>
  <c r="F65" i="44" s="1"/>
  <c r="J65" s="1"/>
  <c r="F64" i="45"/>
  <c r="J64" s="1"/>
  <c r="F63"/>
  <c r="J63" s="1"/>
  <c r="J45"/>
  <c r="J47" s="1"/>
  <c r="F34"/>
  <c r="H34" s="1"/>
  <c r="F34" i="44" s="1"/>
  <c r="J34" s="1"/>
  <c r="H209" i="45"/>
  <c r="F209" i="44" s="1"/>
  <c r="J209" s="1"/>
  <c r="H208" i="45"/>
  <c r="F208" i="44" s="1"/>
  <c r="J208" s="1"/>
  <c r="J102" i="45"/>
  <c r="F103"/>
  <c r="H103" s="1"/>
  <c r="J103" s="1"/>
  <c r="I10" i="59" l="1"/>
  <c r="J10" s="1"/>
  <c r="K10" s="1"/>
  <c r="C198" i="21"/>
  <c r="J43" i="45"/>
  <c r="H43" s="1"/>
  <c r="F43" i="44" s="1"/>
  <c r="J43" s="1"/>
  <c r="J8" i="59"/>
  <c r="K8" s="1"/>
  <c r="J6"/>
  <c r="K6" s="1"/>
  <c r="K5"/>
  <c r="H38" i="45"/>
  <c r="F38" i="44" s="1"/>
  <c r="J38" s="1"/>
  <c r="H37" i="45"/>
  <c r="F37" i="44" s="1"/>
  <c r="J37" s="1"/>
  <c r="H36" i="45"/>
  <c r="F36" i="44" s="1"/>
  <c r="J36" s="1"/>
  <c r="H35" i="45"/>
  <c r="F35" i="44" s="1"/>
  <c r="J35" s="1"/>
  <c r="H66" i="45"/>
  <c r="F66" i="44" s="1"/>
  <c r="J66" s="1"/>
  <c r="J65" i="45"/>
  <c r="J70" s="1"/>
  <c r="J73"/>
  <c r="H63"/>
  <c r="F63" i="44" s="1"/>
  <c r="J63" s="1"/>
  <c r="H64" i="45"/>
  <c r="F64" i="44" s="1"/>
  <c r="J64" s="1"/>
  <c r="J208" i="45"/>
  <c r="J39"/>
  <c r="J209"/>
  <c r="H45"/>
  <c r="H47"/>
  <c r="F45" i="44" s="1"/>
  <c r="J34" i="45"/>
  <c r="H212"/>
  <c r="F212" i="44" s="1"/>
  <c r="J212" s="1"/>
  <c r="H211" i="45"/>
  <c r="F211" i="44" s="1"/>
  <c r="J211" s="1"/>
  <c r="J104" i="45"/>
  <c r="H104" s="1"/>
  <c r="F102" i="44" s="1"/>
  <c r="H100" i="45"/>
  <c r="F100" i="44" s="1"/>
  <c r="J100" s="1"/>
  <c r="H102" i="45"/>
  <c r="I11" i="59" l="1"/>
  <c r="J11" s="1"/>
  <c r="K11" s="1"/>
  <c r="J213" i="45"/>
  <c r="J71"/>
  <c r="H71" s="1"/>
  <c r="F71" i="44" s="1"/>
  <c r="J71" s="1"/>
  <c r="J75" i="45"/>
  <c r="H75" s="1"/>
  <c r="F73" i="44" s="1"/>
  <c r="H70" i="45"/>
  <c r="F70" i="44" s="1"/>
  <c r="H70" s="1"/>
  <c r="J68" i="45"/>
  <c r="H68" s="1"/>
  <c r="F68" i="44" s="1"/>
  <c r="H68" s="1"/>
  <c r="H45"/>
  <c r="H219"/>
  <c r="H213" i="45"/>
  <c r="F213" i="44" s="1"/>
  <c r="J213" s="1"/>
  <c r="J13" i="59" l="1"/>
  <c r="K13" s="1"/>
  <c r="J16" s="1"/>
  <c r="J18" s="1"/>
  <c r="K18" s="1"/>
  <c r="I270" i="44" s="1"/>
  <c r="J270" s="1"/>
  <c r="K270" s="1"/>
  <c r="J24" i="59"/>
  <c r="J26" s="1"/>
  <c r="K26" s="1"/>
  <c r="J20"/>
  <c r="J22" s="1"/>
  <c r="K22" s="1"/>
  <c r="I70" i="44" l="1"/>
  <c r="J70" s="1"/>
  <c r="K70" s="1"/>
  <c r="I42"/>
  <c r="I12"/>
  <c r="J12" s="1"/>
  <c r="K12" s="1"/>
  <c r="I128"/>
  <c r="J128" s="1"/>
  <c r="K128" s="1"/>
  <c r="I99"/>
  <c r="J17" i="59"/>
  <c r="K17" s="1"/>
  <c r="K16"/>
  <c r="I272" i="44" s="1"/>
  <c r="J272" s="1"/>
  <c r="K272" s="1"/>
  <c r="I157"/>
  <c r="J157" s="1"/>
  <c r="K157" s="1"/>
  <c r="I186"/>
  <c r="J186" s="1"/>
  <c r="K186" s="1"/>
  <c r="J290"/>
  <c r="H13" i="56" s="1"/>
  <c r="I13" s="1"/>
  <c r="I40" i="44"/>
  <c r="I10"/>
  <c r="J10" s="1"/>
  <c r="I184"/>
  <c r="J184" s="1"/>
  <c r="I155"/>
  <c r="J155" s="1"/>
  <c r="K155" s="1"/>
  <c r="I126"/>
  <c r="J126" s="1"/>
  <c r="I97"/>
  <c r="J97" s="1"/>
  <c r="K20" i="59"/>
  <c r="J21"/>
  <c r="K21" s="1"/>
  <c r="J25"/>
  <c r="K25" s="1"/>
  <c r="K24"/>
  <c r="I68" i="44" l="1"/>
  <c r="J68" s="1"/>
  <c r="K68" s="1"/>
  <c r="K126"/>
  <c r="K10"/>
  <c r="K97"/>
  <c r="K184"/>
  <c r="I160"/>
  <c r="J160" s="1"/>
  <c r="I189"/>
  <c r="J189" s="1"/>
  <c r="K189" s="1"/>
  <c r="I73"/>
  <c r="J73" s="1"/>
  <c r="K73" s="1"/>
  <c r="I102"/>
  <c r="J102" s="1"/>
  <c r="K102" s="1"/>
  <c r="I15"/>
  <c r="J15" s="1"/>
  <c r="K15" s="1"/>
  <c r="I131"/>
  <c r="J131" s="1"/>
  <c r="K131" s="1"/>
  <c r="I45"/>
  <c r="J45" s="1"/>
  <c r="J145" l="1"/>
  <c r="H8" i="56" s="1"/>
  <c r="J87" i="44"/>
  <c r="H6" i="56" s="1"/>
  <c r="J174" i="44"/>
  <c r="K160"/>
  <c r="J29"/>
  <c r="H4" i="56" s="1"/>
  <c r="J203" i="44"/>
  <c r="H10" i="56" s="1"/>
  <c r="J232" i="44"/>
  <c r="H11" i="56" s="1"/>
  <c r="K45" i="44"/>
  <c r="H99" i="45"/>
  <c r="F99" i="44" s="1"/>
  <c r="H99" l="1"/>
  <c r="J99"/>
  <c r="H9" i="56"/>
  <c r="K99" i="44" l="1"/>
  <c r="J116"/>
  <c r="H7" i="56" s="1"/>
  <c r="J236" i="44" l="1"/>
  <c r="B215" i="21" l="1"/>
  <c r="B216"/>
  <c r="B192"/>
  <c r="B194"/>
  <c r="B214"/>
  <c r="B233"/>
  <c r="B228"/>
  <c r="B294"/>
  <c r="B254"/>
  <c r="B280"/>
  <c r="B270"/>
  <c r="B255"/>
  <c r="B279"/>
  <c r="B253"/>
  <c r="B271"/>
  <c r="B189"/>
  <c r="B226"/>
  <c r="B212"/>
  <c r="B203"/>
  <c r="B269"/>
  <c r="B292"/>
  <c r="B241"/>
  <c r="B291"/>
  <c r="B239"/>
  <c r="B274"/>
  <c r="B199"/>
  <c r="B244"/>
  <c r="B251"/>
  <c r="B263"/>
  <c r="B232"/>
  <c r="B236"/>
  <c r="B257"/>
  <c r="B272"/>
  <c r="B290"/>
  <c r="B202"/>
  <c r="B288"/>
  <c r="B235"/>
  <c r="B245"/>
  <c r="B227"/>
  <c r="B208"/>
  <c r="B224"/>
  <c r="B285"/>
  <c r="B264"/>
  <c r="B248"/>
  <c r="B204"/>
  <c r="B281"/>
  <c r="B283"/>
  <c r="B193"/>
  <c r="B238"/>
  <c r="B277"/>
  <c r="B191"/>
  <c r="B242"/>
  <c r="B265"/>
  <c r="B260"/>
  <c r="B284"/>
  <c r="B282"/>
  <c r="B209"/>
  <c r="B206"/>
  <c r="B293"/>
  <c r="B207"/>
  <c r="B275"/>
  <c r="B247"/>
  <c r="B246"/>
  <c r="B289"/>
  <c r="B286"/>
  <c r="B252"/>
  <c r="B205"/>
  <c r="B234"/>
  <c r="B267"/>
  <c r="B197"/>
  <c r="B262"/>
  <c r="B268"/>
  <c r="B295"/>
  <c r="B231"/>
  <c r="B190"/>
  <c r="B200"/>
  <c r="B278"/>
  <c r="B249"/>
  <c r="B201"/>
  <c r="B240"/>
  <c r="B273"/>
  <c r="B256"/>
  <c r="B213"/>
  <c r="B229"/>
  <c r="B223"/>
  <c r="B261"/>
  <c r="B211"/>
  <c r="B210"/>
  <c r="B296"/>
  <c r="B225"/>
  <c r="B258"/>
  <c r="B250"/>
  <c r="B230"/>
  <c r="B276"/>
  <c r="B266"/>
  <c r="B243"/>
  <c r="B237"/>
  <c r="B287"/>
  <c r="B259"/>
  <c r="B198"/>
  <c r="J261" i="44"/>
  <c r="H12" i="56" s="1"/>
  <c r="A188" i="21"/>
  <c r="B304"/>
  <c r="B303"/>
  <c r="B305"/>
  <c r="B301"/>
  <c r="B307"/>
  <c r="B302"/>
  <c r="B298"/>
  <c r="B297"/>
  <c r="B299"/>
  <c r="B306"/>
  <c r="B300"/>
  <c r="A40" i="43"/>
  <c r="A72" s="1"/>
  <c r="A104" s="1"/>
  <c r="A136" s="1"/>
  <c r="A168" s="1"/>
  <c r="A200" s="1"/>
  <c r="H325" i="44" l="1"/>
  <c r="H326"/>
  <c r="H324"/>
  <c r="C188" i="21"/>
  <c r="B188"/>
  <c r="A53" i="43"/>
  <c r="A85" s="1"/>
  <c r="A54" i="21" l="1"/>
  <c r="C54" s="1"/>
  <c r="A55"/>
  <c r="A56"/>
  <c r="A57"/>
  <c r="C57" s="1"/>
  <c r="A58"/>
  <c r="C58" s="1"/>
  <c r="A59"/>
  <c r="C59" s="1"/>
  <c r="A60"/>
  <c r="C60" s="1"/>
  <c r="A61"/>
  <c r="C61" s="1"/>
  <c r="A62"/>
  <c r="C62" s="1"/>
  <c r="A63"/>
  <c r="A64"/>
  <c r="A65"/>
  <c r="C65" s="1"/>
  <c r="A66"/>
  <c r="C66" s="1"/>
  <c r="A67"/>
  <c r="C67" s="1"/>
  <c r="A68"/>
  <c r="C68" s="1"/>
  <c r="A69"/>
  <c r="C69" s="1"/>
  <c r="A70"/>
  <c r="C70" s="1"/>
  <c r="A71"/>
  <c r="A72"/>
  <c r="A73"/>
  <c r="C73"/>
  <c r="A74"/>
  <c r="C74" s="1"/>
  <c r="A75"/>
  <c r="C75" s="1"/>
  <c r="A76"/>
  <c r="C76" s="1"/>
  <c r="A77"/>
  <c r="C77" s="1"/>
  <c r="A78"/>
  <c r="C78" s="1"/>
  <c r="A79"/>
  <c r="A80"/>
  <c r="A81"/>
  <c r="C81" s="1"/>
  <c r="A82"/>
  <c r="C82" s="1"/>
  <c r="A83"/>
  <c r="C83" s="1"/>
  <c r="A84"/>
  <c r="C84" s="1"/>
  <c r="A85"/>
  <c r="C85" s="1"/>
  <c r="A86"/>
  <c r="C86" s="1"/>
  <c r="A87"/>
  <c r="A88"/>
  <c r="A89"/>
  <c r="C89" s="1"/>
  <c r="A90"/>
  <c r="C90" s="1"/>
  <c r="A91"/>
  <c r="C91" s="1"/>
  <c r="A92"/>
  <c r="C92" s="1"/>
  <c r="A93"/>
  <c r="C93" s="1"/>
  <c r="A94"/>
  <c r="C94" s="1"/>
  <c r="A95"/>
  <c r="A96"/>
  <c r="A97"/>
  <c r="C97" s="1"/>
  <c r="A98"/>
  <c r="C98" s="1"/>
  <c r="A99"/>
  <c r="C99" s="1"/>
  <c r="A100"/>
  <c r="C100" s="1"/>
  <c r="A101"/>
  <c r="C101" s="1"/>
  <c r="A102"/>
  <c r="C102" s="1"/>
  <c r="A103"/>
  <c r="A104"/>
  <c r="A105"/>
  <c r="C105" s="1"/>
  <c r="A106"/>
  <c r="C106" s="1"/>
  <c r="A107"/>
  <c r="C107" s="1"/>
  <c r="A108"/>
  <c r="C108" s="1"/>
  <c r="A109"/>
  <c r="C109" s="1"/>
  <c r="A110"/>
  <c r="C110" s="1"/>
  <c r="A111"/>
  <c r="A112"/>
  <c r="A113"/>
  <c r="C113" s="1"/>
  <c r="A114"/>
  <c r="C114" s="1"/>
  <c r="A115"/>
  <c r="C115" s="1"/>
  <c r="A116"/>
  <c r="C116" s="1"/>
  <c r="A117"/>
  <c r="C117" s="1"/>
  <c r="A118"/>
  <c r="C118" s="1"/>
  <c r="A119"/>
  <c r="A120"/>
  <c r="A121"/>
  <c r="C121" s="1"/>
  <c r="A122"/>
  <c r="C122" s="1"/>
  <c r="A123"/>
  <c r="C123" s="1"/>
  <c r="A124"/>
  <c r="C124" s="1"/>
  <c r="A125"/>
  <c r="C125" s="1"/>
  <c r="A126"/>
  <c r="C126" s="1"/>
  <c r="A127"/>
  <c r="A128"/>
  <c r="A129"/>
  <c r="C129" s="1"/>
  <c r="A130"/>
  <c r="C130" s="1"/>
  <c r="A131"/>
  <c r="C131" s="1"/>
  <c r="A132"/>
  <c r="C132" s="1"/>
  <c r="A133"/>
  <c r="C133" s="1"/>
  <c r="C128" l="1"/>
  <c r="C120"/>
  <c r="C112"/>
  <c r="C104"/>
  <c r="C96"/>
  <c r="C88"/>
  <c r="C80"/>
  <c r="C72"/>
  <c r="C64"/>
  <c r="C56"/>
  <c r="C127"/>
  <c r="C119"/>
  <c r="C111"/>
  <c r="C103"/>
  <c r="C95"/>
  <c r="C87"/>
  <c r="C79"/>
  <c r="C71"/>
  <c r="C63"/>
  <c r="C55"/>
  <c r="A14" l="1"/>
  <c r="C14" s="1"/>
  <c r="K4" i="29"/>
  <c r="C35" i="22"/>
  <c r="F35" s="1"/>
  <c r="B40" i="21" l="1"/>
  <c r="B41"/>
  <c r="B24"/>
  <c r="B43"/>
  <c r="B23"/>
  <c r="B42"/>
  <c r="B39"/>
  <c r="B19"/>
  <c r="B35"/>
  <c r="B38"/>
  <c r="B36"/>
  <c r="B37"/>
  <c r="B34"/>
  <c r="B28"/>
  <c r="B25"/>
  <c r="B27"/>
  <c r="B29"/>
  <c r="B26"/>
  <c r="B31"/>
  <c r="B32"/>
  <c r="B33"/>
  <c r="B30"/>
  <c r="B21"/>
  <c r="B22"/>
  <c r="B18"/>
  <c r="B16"/>
  <c r="B17"/>
  <c r="B48"/>
  <c r="B46"/>
  <c r="B51"/>
  <c r="B49"/>
  <c r="B44"/>
  <c r="B50"/>
  <c r="B47"/>
  <c r="B52"/>
  <c r="B53"/>
  <c r="B45"/>
  <c r="A15"/>
  <c r="C15" l="1"/>
  <c r="I7" i="56" l="1"/>
  <c r="I8" l="1"/>
  <c r="C34" i="22" l="1"/>
  <c r="F34" s="1"/>
  <c r="A4" i="21"/>
  <c r="C4" s="1"/>
  <c r="A5"/>
  <c r="C5" s="1"/>
  <c r="A6"/>
  <c r="C6" s="1"/>
  <c r="A7"/>
  <c r="C7" s="1"/>
  <c r="A8"/>
  <c r="C8" s="1"/>
  <c r="A9"/>
  <c r="C9" s="1"/>
  <c r="A10"/>
  <c r="C10" s="1"/>
  <c r="A11"/>
  <c r="C11" s="1"/>
  <c r="A12"/>
  <c r="A13"/>
  <c r="C13" l="1"/>
  <c r="C12"/>
  <c r="D34" i="44" l="1"/>
  <c r="I12" i="56" l="1"/>
  <c r="I11" l="1"/>
  <c r="B14" i="21" l="1"/>
  <c r="B122"/>
  <c r="B130"/>
  <c r="B108"/>
  <c r="B78"/>
  <c r="B60"/>
  <c r="B99"/>
  <c r="B56"/>
  <c r="B91"/>
  <c r="B119"/>
  <c r="B66"/>
  <c r="B116"/>
  <c r="B109"/>
  <c r="B73"/>
  <c r="B106"/>
  <c r="B79"/>
  <c r="B59"/>
  <c r="B118"/>
  <c r="B85"/>
  <c r="B132"/>
  <c r="B103"/>
  <c r="B133"/>
  <c r="B105"/>
  <c r="B93"/>
  <c r="B94"/>
  <c r="B65"/>
  <c r="B127"/>
  <c r="B128"/>
  <c r="B107"/>
  <c r="B90"/>
  <c r="B102"/>
  <c r="B120"/>
  <c r="B115"/>
  <c r="B69"/>
  <c r="B101"/>
  <c r="B121"/>
  <c r="B104"/>
  <c r="B72"/>
  <c r="B111"/>
  <c r="B126"/>
  <c r="B100"/>
  <c r="B125"/>
  <c r="B54"/>
  <c r="B62"/>
  <c r="B74"/>
  <c r="B86"/>
  <c r="B98"/>
  <c r="B68"/>
  <c r="B61"/>
  <c r="B67"/>
  <c r="B112"/>
  <c r="B80"/>
  <c r="B58"/>
  <c r="B97"/>
  <c r="B63"/>
  <c r="B77"/>
  <c r="B76"/>
  <c r="B96"/>
  <c r="B71"/>
  <c r="B75"/>
  <c r="B83"/>
  <c r="B81"/>
  <c r="B89"/>
  <c r="B113"/>
  <c r="B124"/>
  <c r="B117"/>
  <c r="B110"/>
  <c r="B64"/>
  <c r="B88"/>
  <c r="B123"/>
  <c r="B87"/>
  <c r="B55"/>
  <c r="B84"/>
  <c r="B92"/>
  <c r="B70"/>
  <c r="B129"/>
  <c r="B114"/>
  <c r="B95"/>
  <c r="B131"/>
  <c r="B82"/>
  <c r="B57"/>
  <c r="B15"/>
  <c r="B5"/>
  <c r="B12"/>
  <c r="B6"/>
  <c r="B13"/>
  <c r="B4"/>
  <c r="B10"/>
  <c r="B7"/>
  <c r="B11"/>
  <c r="B9"/>
  <c r="B8"/>
  <c r="A152" l="1"/>
  <c r="C152" l="1"/>
  <c r="B152" l="1"/>
  <c r="A117" i="43" l="1"/>
  <c r="A149" s="1"/>
  <c r="A181" s="1"/>
  <c r="A213" s="1"/>
  <c r="A134" i="21" l="1"/>
  <c r="C134" s="1"/>
  <c r="A135"/>
  <c r="C135" s="1"/>
  <c r="A136"/>
  <c r="C136" s="1"/>
  <c r="A137"/>
  <c r="C137" s="1"/>
  <c r="A138"/>
  <c r="C138" s="1"/>
  <c r="A139"/>
  <c r="C139" s="1"/>
  <c r="A140"/>
  <c r="A141"/>
  <c r="A142"/>
  <c r="C142" s="1"/>
  <c r="A143"/>
  <c r="C143" s="1"/>
  <c r="A144"/>
  <c r="C144" s="1"/>
  <c r="A145"/>
  <c r="C145" s="1"/>
  <c r="A146"/>
  <c r="C146" s="1"/>
  <c r="A147"/>
  <c r="C147" s="1"/>
  <c r="A148"/>
  <c r="C148" s="1"/>
  <c r="A149"/>
  <c r="B134" l="1"/>
  <c r="B138"/>
  <c r="B137"/>
  <c r="B148"/>
  <c r="B136"/>
  <c r="B145"/>
  <c r="B146"/>
  <c r="B140"/>
  <c r="B144"/>
  <c r="B135"/>
  <c r="B142"/>
  <c r="B143"/>
  <c r="B149"/>
  <c r="B141"/>
  <c r="C149"/>
  <c r="C141"/>
  <c r="B139"/>
  <c r="C140"/>
  <c r="B147"/>
  <c r="A3"/>
  <c r="G210" i="44" l="1"/>
  <c r="H210" s="1"/>
  <c r="K210" s="1"/>
  <c r="G240"/>
  <c r="H240" s="1"/>
  <c r="K240" s="1"/>
  <c r="G274"/>
  <c r="H274" s="1"/>
  <c r="K274" s="1"/>
  <c r="G276"/>
  <c r="H276" s="1"/>
  <c r="K276" s="1"/>
  <c r="I298"/>
  <c r="J298" s="1"/>
  <c r="K298" s="1"/>
  <c r="I297"/>
  <c r="J297" s="1"/>
  <c r="I332"/>
  <c r="J332" s="1"/>
  <c r="K332" s="1"/>
  <c r="G327"/>
  <c r="H327" s="1"/>
  <c r="G328"/>
  <c r="H328" s="1"/>
  <c r="K328" s="1"/>
  <c r="I325"/>
  <c r="J325" s="1"/>
  <c r="K325" s="1"/>
  <c r="I326"/>
  <c r="J326" s="1"/>
  <c r="K326" s="1"/>
  <c r="I324"/>
  <c r="J324" s="1"/>
  <c r="G236"/>
  <c r="H236" s="1"/>
  <c r="K236" s="1"/>
  <c r="G239"/>
  <c r="H239" s="1"/>
  <c r="K239" s="1"/>
  <c r="G238"/>
  <c r="H238" s="1"/>
  <c r="K238" s="1"/>
  <c r="G237"/>
  <c r="H237" s="1"/>
  <c r="K237" s="1"/>
  <c r="G295"/>
  <c r="H295" s="1"/>
  <c r="G267"/>
  <c r="H267" s="1"/>
  <c r="K267" s="1"/>
  <c r="G266"/>
  <c r="H266" s="1"/>
  <c r="G35" i="59"/>
  <c r="H35" s="1"/>
  <c r="K35" s="1"/>
  <c r="G208" i="44"/>
  <c r="H208" s="1"/>
  <c r="K208" s="1"/>
  <c r="G209"/>
  <c r="H209" s="1"/>
  <c r="K209" s="1"/>
  <c r="G33" i="59"/>
  <c r="H33" s="1"/>
  <c r="G34"/>
  <c r="H34" s="1"/>
  <c r="K34" s="1"/>
  <c r="G91"/>
  <c r="H91" s="1"/>
  <c r="G62"/>
  <c r="H62" s="1"/>
  <c r="G63"/>
  <c r="H63" s="1"/>
  <c r="K63" s="1"/>
  <c r="G13" i="44"/>
  <c r="H13" s="1"/>
  <c r="K13" s="1"/>
  <c r="G100"/>
  <c r="H100" s="1"/>
  <c r="K100" s="1"/>
  <c r="G187"/>
  <c r="H187" s="1"/>
  <c r="K187" s="1"/>
  <c r="G153"/>
  <c r="H153" s="1"/>
  <c r="K153" s="1"/>
  <c r="G92" i="59"/>
  <c r="H92" s="1"/>
  <c r="K92" s="1"/>
  <c r="G95" i="44"/>
  <c r="H95" s="1"/>
  <c r="K95" s="1"/>
  <c r="G182"/>
  <c r="H182" s="1"/>
  <c r="K182" s="1"/>
  <c r="G8"/>
  <c r="H8" s="1"/>
  <c r="K8" s="1"/>
  <c r="G66"/>
  <c r="H66" s="1"/>
  <c r="K66" s="1"/>
  <c r="G124"/>
  <c r="H124" s="1"/>
  <c r="K124" s="1"/>
  <c r="G129"/>
  <c r="H129" s="1"/>
  <c r="K129" s="1"/>
  <c r="G71"/>
  <c r="H71" s="1"/>
  <c r="K71" s="1"/>
  <c r="G158"/>
  <c r="H158" s="1"/>
  <c r="K158" s="1"/>
  <c r="G94"/>
  <c r="H94" s="1"/>
  <c r="K94" s="1"/>
  <c r="G92"/>
  <c r="H92" s="1"/>
  <c r="G93"/>
  <c r="H93" s="1"/>
  <c r="K93" s="1"/>
  <c r="G151"/>
  <c r="H151" s="1"/>
  <c r="K151" s="1"/>
  <c r="G125"/>
  <c r="H125" s="1"/>
  <c r="K125" s="1"/>
  <c r="G180"/>
  <c r="H180" s="1"/>
  <c r="K180" s="1"/>
  <c r="G179"/>
  <c r="H179" s="1"/>
  <c r="G215"/>
  <c r="H215" s="1"/>
  <c r="K215" s="1"/>
  <c r="G7"/>
  <c r="H7" s="1"/>
  <c r="K7" s="1"/>
  <c r="G121"/>
  <c r="H121" s="1"/>
  <c r="G65"/>
  <c r="H65" s="1"/>
  <c r="K65" s="1"/>
  <c r="G63"/>
  <c r="H63" s="1"/>
  <c r="G150"/>
  <c r="H150" s="1"/>
  <c r="G152"/>
  <c r="H152" s="1"/>
  <c r="K152" s="1"/>
  <c r="G9"/>
  <c r="H9" s="1"/>
  <c r="K9" s="1"/>
  <c r="G6"/>
  <c r="H6" s="1"/>
  <c r="K6" s="1"/>
  <c r="G181"/>
  <c r="H181" s="1"/>
  <c r="K181" s="1"/>
  <c r="G122"/>
  <c r="H122" s="1"/>
  <c r="K122" s="1"/>
  <c r="G183"/>
  <c r="H183" s="1"/>
  <c r="K183" s="1"/>
  <c r="G67"/>
  <c r="H67" s="1"/>
  <c r="K67" s="1"/>
  <c r="G154"/>
  <c r="H154" s="1"/>
  <c r="K154" s="1"/>
  <c r="G64"/>
  <c r="H64" s="1"/>
  <c r="K64" s="1"/>
  <c r="G5"/>
  <c r="H5" s="1"/>
  <c r="G96"/>
  <c r="H96" s="1"/>
  <c r="K96" s="1"/>
  <c r="G123"/>
  <c r="H123" s="1"/>
  <c r="K123" s="1"/>
  <c r="G43"/>
  <c r="H43" s="1"/>
  <c r="K43" s="1"/>
  <c r="G38"/>
  <c r="H38" s="1"/>
  <c r="K38" s="1"/>
  <c r="G36"/>
  <c r="H36" s="1"/>
  <c r="K36" s="1"/>
  <c r="G39"/>
  <c r="H39" s="1"/>
  <c r="K39" s="1"/>
  <c r="G37"/>
  <c r="H37" s="1"/>
  <c r="K37" s="1"/>
  <c r="H217"/>
  <c r="K217" s="1"/>
  <c r="G35"/>
  <c r="H35" s="1"/>
  <c r="K35" s="1"/>
  <c r="G34"/>
  <c r="H34" s="1"/>
  <c r="C3" i="21"/>
  <c r="B3"/>
  <c r="K324" i="44" l="1"/>
  <c r="J348"/>
  <c r="H15" i="56" s="1"/>
  <c r="K327" i="44"/>
  <c r="H348"/>
  <c r="K297"/>
  <c r="J319"/>
  <c r="H14" i="56" s="1"/>
  <c r="H41" i="59"/>
  <c r="K33"/>
  <c r="K41" s="1"/>
  <c r="K150" i="44"/>
  <c r="H174"/>
  <c r="K63"/>
  <c r="H87"/>
  <c r="K121"/>
  <c r="H145"/>
  <c r="K266"/>
  <c r="H290"/>
  <c r="K62" i="59"/>
  <c r="G64"/>
  <c r="H64" s="1"/>
  <c r="K64" s="1"/>
  <c r="K5" i="44"/>
  <c r="H29"/>
  <c r="K91" i="59"/>
  <c r="G93"/>
  <c r="H93" s="1"/>
  <c r="K93" s="1"/>
  <c r="K92" i="44"/>
  <c r="H116"/>
  <c r="K179"/>
  <c r="H203"/>
  <c r="H319"/>
  <c r="K295"/>
  <c r="K34"/>
  <c r="I14" i="56" l="1"/>
  <c r="F15"/>
  <c r="G15" s="1"/>
  <c r="K348" i="44"/>
  <c r="I15" i="56"/>
  <c r="K290" i="44"/>
  <c r="F13" i="56"/>
  <c r="G13" s="1"/>
  <c r="J13" s="1"/>
  <c r="K319" i="44"/>
  <c r="F14" i="56"/>
  <c r="G14" s="1"/>
  <c r="K87" i="59"/>
  <c r="H87"/>
  <c r="G211" i="44" s="1"/>
  <c r="H211" s="1"/>
  <c r="K211" s="1"/>
  <c r="K116" i="59"/>
  <c r="K29" i="44"/>
  <c r="F4" i="56"/>
  <c r="F10"/>
  <c r="G10" s="1"/>
  <c r="K203" i="44"/>
  <c r="F6" i="56"/>
  <c r="K87" i="44"/>
  <c r="K145"/>
  <c r="F8" i="56"/>
  <c r="F7"/>
  <c r="K116" i="44"/>
  <c r="F9" i="56"/>
  <c r="K174" i="44"/>
  <c r="H116" i="59"/>
  <c r="G212" i="44" s="1"/>
  <c r="H212" s="1"/>
  <c r="K212" s="1"/>
  <c r="G52" i="59"/>
  <c r="G53"/>
  <c r="H51"/>
  <c r="G51"/>
  <c r="H53"/>
  <c r="K53" s="1"/>
  <c r="H52"/>
  <c r="K52" s="1"/>
  <c r="J15" i="56" l="1"/>
  <c r="J14"/>
  <c r="K241" i="44"/>
  <c r="K51" i="59"/>
  <c r="G216" i="44"/>
  <c r="H216" s="1"/>
  <c r="K216" s="1"/>
  <c r="G213"/>
  <c r="H213" s="1"/>
  <c r="K213" s="1"/>
  <c r="G9" i="56"/>
  <c r="I6"/>
  <c r="G6"/>
  <c r="G8"/>
  <c r="J8" s="1"/>
  <c r="H261" i="44" l="1"/>
  <c r="H232"/>
  <c r="F11" i="56" s="1"/>
  <c r="J6"/>
  <c r="G7"/>
  <c r="J7" s="1"/>
  <c r="I9"/>
  <c r="J9" s="1"/>
  <c r="K261" i="44" l="1"/>
  <c r="F12" i="56"/>
  <c r="K232" i="44"/>
  <c r="G11" i="56"/>
  <c r="J11" s="1"/>
  <c r="G12" l="1"/>
  <c r="J12" s="1"/>
  <c r="I10" l="1"/>
  <c r="J10" l="1"/>
  <c r="G4" l="1"/>
  <c r="J40" i="45" l="1"/>
  <c r="H40" s="1"/>
  <c r="F40" i="44" s="1"/>
  <c r="H42" i="45"/>
  <c r="F42" i="44" s="1"/>
  <c r="J42" l="1"/>
  <c r="H42"/>
  <c r="H40"/>
  <c r="J40"/>
  <c r="H58" l="1"/>
  <c r="F5" i="56" s="1"/>
  <c r="J58" i="44"/>
  <c r="H5" i="56" s="1"/>
  <c r="K42" i="44"/>
  <c r="K40"/>
  <c r="G5" i="56" l="1"/>
  <c r="G29" s="1"/>
  <c r="F10" i="42" s="1"/>
  <c r="G10" s="1"/>
  <c r="I5" i="56"/>
  <c r="K58" i="44"/>
  <c r="I4" i="56"/>
  <c r="J5" l="1"/>
  <c r="I29"/>
  <c r="H10" i="42" s="1"/>
  <c r="I10" s="1"/>
  <c r="J10" s="1"/>
  <c r="J4" i="56"/>
  <c r="J29" l="1"/>
  <c r="J11" i="42"/>
  <c r="J15" l="1"/>
  <c r="A6" s="1"/>
  <c r="M1" i="30" l="1"/>
</calcChain>
</file>

<file path=xl/sharedStrings.xml><?xml version="1.0" encoding="utf-8"?>
<sst xmlns="http://schemas.openxmlformats.org/spreadsheetml/2006/main" count="1426" uniqueCount="484">
  <si>
    <t>규        격</t>
  </si>
  <si>
    <t>단 위</t>
  </si>
  <si>
    <t>합       계</t>
  </si>
  <si>
    <t>비  고</t>
  </si>
  <si>
    <t xml:space="preserve">단  가 </t>
  </si>
  <si>
    <t>금     액</t>
  </si>
  <si>
    <t>소           계</t>
  </si>
  <si>
    <t>수량</t>
    <phoneticPr fontId="31" type="noConversion"/>
  </si>
  <si>
    <t>노      무      비</t>
    <phoneticPr fontId="31" type="noConversion"/>
  </si>
  <si>
    <t>* 총 괄 표 *</t>
    <phoneticPr fontId="31" type="noConversion"/>
  </si>
  <si>
    <t>품          명</t>
  </si>
  <si>
    <t>단위</t>
  </si>
  <si>
    <t>재      료      비</t>
  </si>
  <si>
    <t>비 고</t>
  </si>
  <si>
    <t>할증</t>
  </si>
  <si>
    <t>EA</t>
  </si>
  <si>
    <t>단가조사</t>
    <phoneticPr fontId="22" type="noConversion"/>
  </si>
  <si>
    <t>품  명</t>
    <phoneticPr fontId="22" type="noConversion"/>
  </si>
  <si>
    <t>단가</t>
    <phoneticPr fontId="22" type="noConversion"/>
  </si>
  <si>
    <t>품번</t>
    <phoneticPr fontId="22" type="noConversion"/>
  </si>
  <si>
    <t>견적대비표</t>
    <phoneticPr fontId="22" type="noConversion"/>
  </si>
  <si>
    <t>견적대비</t>
    <phoneticPr fontId="22" type="noConversion"/>
  </si>
  <si>
    <t>NO</t>
  </si>
  <si>
    <t>공    정</t>
  </si>
  <si>
    <t>기본급</t>
  </si>
  <si>
    <t>비   고</t>
  </si>
  <si>
    <t>품         명</t>
  </si>
  <si>
    <t>규   격</t>
  </si>
  <si>
    <t>산      출       근      거</t>
  </si>
  <si>
    <t>산출수량</t>
  </si>
  <si>
    <t>결정수량</t>
  </si>
  <si>
    <t>페이지</t>
  </si>
  <si>
    <t>금 액</t>
  </si>
  <si>
    <t>NO</t>
    <phoneticPr fontId="31" type="noConversion"/>
  </si>
  <si>
    <t>품            명</t>
    <phoneticPr fontId="31" type="noConversion"/>
  </si>
  <si>
    <t>규       격</t>
    <phoneticPr fontId="31" type="noConversion"/>
  </si>
  <si>
    <t>단위</t>
    <phoneticPr fontId="31" type="noConversion"/>
  </si>
  <si>
    <t>견     적     대     비</t>
    <phoneticPr fontId="31" type="noConversion"/>
  </si>
  <si>
    <t>결 정 금 액</t>
    <phoneticPr fontId="31" type="noConversion"/>
  </si>
  <si>
    <t>비 고</t>
    <phoneticPr fontId="31" type="noConversion"/>
  </si>
  <si>
    <t>A사</t>
    <phoneticPr fontId="31" type="noConversion"/>
  </si>
  <si>
    <t>B사</t>
    <phoneticPr fontId="31" type="noConversion"/>
  </si>
  <si>
    <t>C사</t>
    <phoneticPr fontId="31" type="noConversion"/>
  </si>
  <si>
    <t>내선전공</t>
  </si>
  <si>
    <t>*</t>
  </si>
  <si>
    <t>S/W시험사</t>
  </si>
  <si>
    <t>철골공</t>
  </si>
  <si>
    <t>도장공</t>
  </si>
  <si>
    <t>도배공</t>
  </si>
  <si>
    <t>플랜트기계설치공</t>
  </si>
  <si>
    <t>플랜트용접공</t>
  </si>
  <si>
    <t>플랜트배관공</t>
  </si>
  <si>
    <t>플랜트전공</t>
  </si>
  <si>
    <t>저압케이블전공</t>
  </si>
  <si>
    <t>계장공</t>
  </si>
  <si>
    <t>통신케이블공</t>
  </si>
  <si>
    <t>특별인부</t>
  </si>
  <si>
    <t>보통인부</t>
  </si>
  <si>
    <t>용접공</t>
  </si>
  <si>
    <t>통신관련기사</t>
  </si>
  <si>
    <t>통신관련산업기사</t>
  </si>
  <si>
    <t>변전전공</t>
  </si>
  <si>
    <t>H/W시험사</t>
  </si>
  <si>
    <t>NO.</t>
    <phoneticPr fontId="36" type="noConversion"/>
  </si>
  <si>
    <t>품         명</t>
    <phoneticPr fontId="36" type="noConversion"/>
  </si>
  <si>
    <t>규       격</t>
    <phoneticPr fontId="36" type="noConversion"/>
  </si>
  <si>
    <t>단위</t>
    <phoneticPr fontId="36" type="noConversion"/>
  </si>
  <si>
    <t>유 통 물 가</t>
    <phoneticPr fontId="36" type="noConversion"/>
  </si>
  <si>
    <t>물 가 자 료</t>
    <phoneticPr fontId="36" type="noConversion"/>
  </si>
  <si>
    <t>물 가 정 보</t>
    <phoneticPr fontId="36" type="noConversion"/>
  </si>
  <si>
    <t>결 정 금 액</t>
    <phoneticPr fontId="36" type="noConversion"/>
  </si>
  <si>
    <t>비  고</t>
    <phoneticPr fontId="36" type="noConversion"/>
  </si>
  <si>
    <t>(  타 견 적 서  )</t>
    <phoneticPr fontId="22" type="noConversion"/>
  </si>
  <si>
    <t>(  견 적 대 비 표  )</t>
    <phoneticPr fontId="22" type="noConversion"/>
  </si>
  <si>
    <t>(  단 가 타 견 적 서 )</t>
    <phoneticPr fontId="22" type="noConversion"/>
  </si>
  <si>
    <t>(  물 가 조 사 서  )</t>
    <phoneticPr fontId="22" type="noConversion"/>
  </si>
  <si>
    <t>(  산 출 근 거  )</t>
    <phoneticPr fontId="22" type="noConversion"/>
  </si>
  <si>
    <t>(  일 위 대 가  )</t>
    <phoneticPr fontId="22" type="noConversion"/>
  </si>
  <si>
    <t>(  내 역 서 )</t>
    <phoneticPr fontId="22" type="noConversion"/>
  </si>
  <si>
    <t>인</t>
  </si>
  <si>
    <t>금   액</t>
    <phoneticPr fontId="31" type="noConversion"/>
  </si>
  <si>
    <t xml:space="preserve"> 단  가</t>
    <phoneticPr fontId="31" type="noConversion"/>
  </si>
  <si>
    <t>단  가</t>
  </si>
  <si>
    <t>비 고</t>
    <phoneticPr fontId="31" type="noConversion"/>
  </si>
  <si>
    <t>합   계</t>
    <phoneticPr fontId="31" type="noConversion"/>
  </si>
  <si>
    <t>노   무   비</t>
    <phoneticPr fontId="31" type="noConversion"/>
  </si>
  <si>
    <t>수량</t>
    <phoneticPr fontId="31" type="noConversion"/>
  </si>
  <si>
    <t>규         격</t>
    <phoneticPr fontId="31" type="noConversion"/>
  </si>
  <si>
    <t>품           명</t>
    <phoneticPr fontId="31" type="noConversion"/>
  </si>
  <si>
    <t>NO</t>
    <phoneticPr fontId="31" type="noConversion"/>
  </si>
  <si>
    <t>재    료   비</t>
    <phoneticPr fontId="31" type="noConversion"/>
  </si>
  <si>
    <t>단위</t>
    <phoneticPr fontId="31" type="noConversion"/>
  </si>
  <si>
    <t>합                 계</t>
  </si>
  <si>
    <t>SET</t>
  </si>
  <si>
    <t>Kg</t>
    <phoneticPr fontId="31" type="noConversion"/>
  </si>
  <si>
    <t>산출중량</t>
    <phoneticPr fontId="31" type="noConversion"/>
  </si>
  <si>
    <t xml:space="preserve"> </t>
  </si>
  <si>
    <t>합          계</t>
  </si>
  <si>
    <t>내   역   서</t>
    <phoneticPr fontId="31" type="noConversion"/>
  </si>
  <si>
    <t>수량</t>
    <phoneticPr fontId="31" type="noConversion"/>
  </si>
  <si>
    <t>노      무      비</t>
    <phoneticPr fontId="31" type="noConversion"/>
  </si>
  <si>
    <t>식</t>
    <phoneticPr fontId="32" type="noConversion"/>
  </si>
  <si>
    <t>SET</t>
    <phoneticPr fontId="31" type="noConversion"/>
  </si>
  <si>
    <t>식</t>
    <phoneticPr fontId="31" type="noConversion"/>
  </si>
  <si>
    <t>%</t>
    <phoneticPr fontId="31" type="noConversion"/>
  </si>
  <si>
    <t>기계산업기사</t>
  </si>
  <si>
    <t>기계설치공</t>
  </si>
  <si>
    <t>비계공</t>
  </si>
  <si>
    <t>공사</t>
    <phoneticPr fontId="22" type="noConversion"/>
  </si>
  <si>
    <t>신호공</t>
  </si>
  <si>
    <t>설치인건비</t>
    <phoneticPr fontId="31" type="noConversion"/>
  </si>
  <si>
    <t>단위중량</t>
    <phoneticPr fontId="31" type="noConversion"/>
  </si>
  <si>
    <t>Kg</t>
    <phoneticPr fontId="31" type="noConversion"/>
  </si>
  <si>
    <t>STEEL PIPE</t>
  </si>
  <si>
    <t>Ø48.6</t>
    <phoneticPr fontId="31" type="noConversion"/>
  </si>
  <si>
    <t>M</t>
  </si>
  <si>
    <t>Ø6</t>
  </si>
  <si>
    <t>일반기기설치</t>
    <phoneticPr fontId="5" type="noConversion"/>
  </si>
  <si>
    <t>동일구내이설</t>
    <phoneticPr fontId="31" type="noConversion"/>
  </si>
  <si>
    <t>TON</t>
  </si>
  <si>
    <t>배관공</t>
    <phoneticPr fontId="22" type="noConversion"/>
  </si>
  <si>
    <t>부가가치세</t>
    <phoneticPr fontId="31" type="noConversion"/>
  </si>
  <si>
    <t>%</t>
    <phoneticPr fontId="31" type="noConversion"/>
  </si>
  <si>
    <t>단위공량</t>
  </si>
  <si>
    <t>결정공량</t>
  </si>
  <si>
    <t>M/D</t>
  </si>
  <si>
    <t>SET</t>
    <phoneticPr fontId="5" type="noConversion"/>
  </si>
  <si>
    <t>WIRE ROPE</t>
    <phoneticPr fontId="36" type="noConversion"/>
  </si>
  <si>
    <t>교체설치</t>
    <phoneticPr fontId="31" type="noConversion"/>
  </si>
  <si>
    <t>V-SHEAVE</t>
    <phoneticPr fontId="31" type="noConversion"/>
  </si>
  <si>
    <t>Ø200x3P</t>
    <phoneticPr fontId="31" type="noConversion"/>
  </si>
  <si>
    <t>SET</t>
    <phoneticPr fontId="31" type="noConversion"/>
  </si>
  <si>
    <t>SET</t>
    <phoneticPr fontId="31" type="noConversion"/>
  </si>
  <si>
    <t>Ø200x1P</t>
    <phoneticPr fontId="31" type="noConversion"/>
  </si>
  <si>
    <t>WIRE ROPE</t>
    <phoneticPr fontId="31" type="noConversion"/>
  </si>
  <si>
    <t>Ø6</t>
    <phoneticPr fontId="31" type="noConversion"/>
  </si>
  <si>
    <t>M</t>
    <phoneticPr fontId="31" type="noConversion"/>
  </si>
  <si>
    <t>철거</t>
    <phoneticPr fontId="31" type="noConversion"/>
  </si>
  <si>
    <t>설치인건비</t>
    <phoneticPr fontId="31" type="noConversion"/>
  </si>
  <si>
    <t>일반기기설치</t>
    <phoneticPr fontId="31" type="noConversion"/>
  </si>
  <si>
    <t>TON</t>
    <phoneticPr fontId="31" type="noConversion"/>
  </si>
  <si>
    <t>철거인건비</t>
    <phoneticPr fontId="31" type="noConversion"/>
  </si>
  <si>
    <t>재사용을 고려안할경우</t>
    <phoneticPr fontId="31" type="noConversion"/>
  </si>
  <si>
    <t>* TOTAL WEIGHT *</t>
    <phoneticPr fontId="31" type="noConversion"/>
  </si>
  <si>
    <t>고철</t>
    <phoneticPr fontId="31" type="noConversion"/>
  </si>
  <si>
    <t>KG</t>
    <phoneticPr fontId="31" type="noConversion"/>
  </si>
  <si>
    <t>* TOTAL WEIGHT * (고철 처분가능 부분 중량)</t>
    <phoneticPr fontId="31" type="noConversion"/>
  </si>
  <si>
    <t>* 이설부분 중량 *</t>
    <phoneticPr fontId="5" type="noConversion"/>
  </si>
  <si>
    <t>2.2KWx4P</t>
    <phoneticPr fontId="31" type="noConversion"/>
  </si>
  <si>
    <t>Ø3.2</t>
    <phoneticPr fontId="31" type="noConversion"/>
  </si>
  <si>
    <t>CURTAIN(선방염)</t>
    <phoneticPr fontId="31" type="noConversion"/>
  </si>
  <si>
    <t>VELVET</t>
    <phoneticPr fontId="31" type="noConversion"/>
  </si>
  <si>
    <t>M2</t>
    <phoneticPr fontId="31" type="noConversion"/>
  </si>
  <si>
    <t>CURTAIN FRAME</t>
    <phoneticPr fontId="31" type="noConversion"/>
  </si>
  <si>
    <t>NO</t>
    <phoneticPr fontId="31" type="noConversion"/>
  </si>
  <si>
    <t>품           명</t>
    <phoneticPr fontId="31" type="noConversion"/>
  </si>
  <si>
    <t>규         격</t>
    <phoneticPr fontId="31" type="noConversion"/>
  </si>
  <si>
    <t>단위</t>
    <phoneticPr fontId="31" type="noConversion"/>
  </si>
  <si>
    <t>수량</t>
    <phoneticPr fontId="31" type="noConversion"/>
  </si>
  <si>
    <t>재    료   비</t>
    <phoneticPr fontId="31" type="noConversion"/>
  </si>
  <si>
    <t>노   무   비</t>
    <phoneticPr fontId="31" type="noConversion"/>
  </si>
  <si>
    <t>합   계</t>
    <phoneticPr fontId="31" type="noConversion"/>
  </si>
  <si>
    <t>비 고</t>
    <phoneticPr fontId="31" type="noConversion"/>
  </si>
  <si>
    <t>금   액</t>
    <phoneticPr fontId="31" type="noConversion"/>
  </si>
  <si>
    <t xml:space="preserve"> 단  가</t>
    <phoneticPr fontId="31" type="noConversion"/>
  </si>
  <si>
    <t>소                 계</t>
    <phoneticPr fontId="31" type="noConversion"/>
  </si>
  <si>
    <t>%</t>
    <phoneticPr fontId="31" type="noConversion"/>
  </si>
  <si>
    <t>인건비</t>
  </si>
  <si>
    <t>일반기기 설치</t>
    <phoneticPr fontId="31" type="noConversion"/>
  </si>
  <si>
    <t>1TON 이상 5TON 미만</t>
    <phoneticPr fontId="21" type="noConversion"/>
  </si>
  <si>
    <t>동일구내 이설</t>
    <phoneticPr fontId="31" type="noConversion"/>
  </si>
  <si>
    <t>%</t>
    <phoneticPr fontId="31" type="noConversion"/>
  </si>
  <si>
    <t>재사용을 고려안할경우</t>
    <phoneticPr fontId="31" type="noConversion"/>
  </si>
  <si>
    <t>1TON 이상 5TON 미만</t>
    <phoneticPr fontId="21" type="noConversion"/>
  </si>
  <si>
    <t>0.5TON 이상 1TON 미만</t>
    <phoneticPr fontId="21" type="noConversion"/>
  </si>
  <si>
    <t>0.5TON 이상 1TON 미만</t>
    <phoneticPr fontId="21" type="noConversion"/>
  </si>
  <si>
    <t>재사용을 고려안할경우</t>
    <phoneticPr fontId="31" type="noConversion"/>
  </si>
  <si>
    <t>0.5TON 미만</t>
    <phoneticPr fontId="21" type="noConversion"/>
  </si>
  <si>
    <t>일위대가</t>
    <phoneticPr fontId="31" type="noConversion"/>
  </si>
  <si>
    <t>V-SHEAVE</t>
  </si>
  <si>
    <t>V-SHEAVE</t>
    <phoneticPr fontId="5" type="noConversion"/>
  </si>
  <si>
    <t>Ø100x2P</t>
    <phoneticPr fontId="5" type="noConversion"/>
  </si>
  <si>
    <t>Ø100x1P</t>
    <phoneticPr fontId="5" type="noConversion"/>
  </si>
  <si>
    <t>Ø200x3P</t>
    <phoneticPr fontId="5" type="noConversion"/>
  </si>
  <si>
    <t>Ø200x1P</t>
    <phoneticPr fontId="5" type="noConversion"/>
  </si>
  <si>
    <t>SET</t>
    <phoneticPr fontId="31" type="noConversion"/>
  </si>
  <si>
    <t xml:space="preserve">2016 년  물  가  조  사  서 </t>
    <phoneticPr fontId="5" type="noConversion"/>
  </si>
  <si>
    <t>P1-108</t>
    <phoneticPr fontId="31" type="noConversion"/>
  </si>
  <si>
    <t>2016년  견  적  대  비</t>
    <phoneticPr fontId="5" type="noConversion"/>
  </si>
  <si>
    <t>EA</t>
    <phoneticPr fontId="5" type="noConversion"/>
  </si>
  <si>
    <t>FLEXIBLE</t>
    <phoneticPr fontId="31" type="noConversion"/>
  </si>
  <si>
    <t>대가 1호 : 일반기기 설치공사(기계설비 표준품셈)-ton</t>
    <phoneticPr fontId="31" type="noConversion"/>
  </si>
  <si>
    <t>대가1호</t>
    <phoneticPr fontId="31" type="noConversion"/>
  </si>
  <si>
    <t>전5-18</t>
  </si>
  <si>
    <t>MC (전자접촉기)</t>
  </si>
  <si>
    <t>Ø100x8P</t>
    <phoneticPr fontId="31" type="noConversion"/>
  </si>
  <si>
    <t>V-SHEAVE</t>
    <phoneticPr fontId="31" type="noConversion"/>
  </si>
  <si>
    <t>Ø100x5P</t>
    <phoneticPr fontId="31" type="noConversion"/>
  </si>
  <si>
    <t>Ø100x2P</t>
    <phoneticPr fontId="31" type="noConversion"/>
  </si>
  <si>
    <t>Ø100x1P</t>
    <phoneticPr fontId="31" type="noConversion"/>
  </si>
  <si>
    <t>(10+7.5)*8</t>
    <phoneticPr fontId="31" type="noConversion"/>
  </si>
  <si>
    <t>(8.55*7.5)*2.5</t>
    <phoneticPr fontId="31" type="noConversion"/>
  </si>
  <si>
    <t>(7.5+7)*4</t>
    <phoneticPr fontId="31" type="noConversion"/>
  </si>
  <si>
    <t>HANGER ASS'Y</t>
    <phoneticPr fontId="31" type="noConversion"/>
  </si>
  <si>
    <t>1.5KWx4P</t>
    <phoneticPr fontId="31" type="noConversion"/>
  </si>
  <si>
    <t>LIGHT &amp; FLY DUCT ASS'Y</t>
    <phoneticPr fontId="31" type="noConversion"/>
  </si>
  <si>
    <t>BORDER LIGHT A'SSY</t>
    <phoneticPr fontId="31" type="noConversion"/>
  </si>
  <si>
    <t>PLACARD FRAME A'SSY</t>
    <phoneticPr fontId="31" type="noConversion"/>
  </si>
  <si>
    <t>FLAG A'SSY</t>
    <phoneticPr fontId="31" type="noConversion"/>
  </si>
  <si>
    <t>(9+7)*4</t>
    <phoneticPr fontId="31" type="noConversion"/>
  </si>
  <si>
    <t>9*2</t>
    <phoneticPr fontId="31" type="noConversion"/>
  </si>
  <si>
    <t>7.5*2</t>
    <phoneticPr fontId="31" type="noConversion"/>
  </si>
  <si>
    <t>안전난간대 설치</t>
    <phoneticPr fontId="31" type="noConversion"/>
  </si>
  <si>
    <t>SQUARE PIPE</t>
    <phoneticPr fontId="31" type="noConversion"/>
  </si>
  <si>
    <t>50x50x1.6t</t>
    <phoneticPr fontId="31" type="noConversion"/>
  </si>
  <si>
    <t>M</t>
    <phoneticPr fontId="31" type="noConversion"/>
  </si>
  <si>
    <t>30x30x1.6t</t>
    <phoneticPr fontId="31" type="noConversion"/>
  </si>
  <si>
    <t>((12*4+8.1*2+3.9*2)/0.5)*1</t>
    <phoneticPr fontId="31" type="noConversion"/>
  </si>
  <si>
    <t>(12*4+8.1*2+3.9*2)*2</t>
    <phoneticPr fontId="31" type="noConversion"/>
  </si>
  <si>
    <t>PAINTING</t>
    <phoneticPr fontId="31" type="noConversion"/>
  </si>
  <si>
    <t>녹막이 2회</t>
    <phoneticPr fontId="31" type="noConversion"/>
  </si>
  <si>
    <t>조합 2회</t>
    <phoneticPr fontId="31" type="noConversion"/>
  </si>
  <si>
    <t>M²</t>
    <phoneticPr fontId="31" type="noConversion"/>
  </si>
  <si>
    <t>잡철물 제작설치</t>
    <phoneticPr fontId="31" type="noConversion"/>
  </si>
  <si>
    <t>점검사다리 설치</t>
    <phoneticPr fontId="31" type="noConversion"/>
  </si>
  <si>
    <t>점검사다리</t>
    <phoneticPr fontId="31" type="noConversion"/>
  </si>
  <si>
    <t>식</t>
    <phoneticPr fontId="31" type="noConversion"/>
  </si>
  <si>
    <t>SET</t>
    <phoneticPr fontId="31" type="noConversion"/>
  </si>
  <si>
    <t>HANGER ASS'Y</t>
    <phoneticPr fontId="5" type="noConversion"/>
  </si>
  <si>
    <t>- TON 당 -</t>
  </si>
  <si>
    <t>NO</t>
    <phoneticPr fontId="31" type="noConversion"/>
  </si>
  <si>
    <t>품           명</t>
    <phoneticPr fontId="31" type="noConversion"/>
  </si>
  <si>
    <t>규         격</t>
    <phoneticPr fontId="31" type="noConversion"/>
  </si>
  <si>
    <t>단위</t>
    <phoneticPr fontId="31" type="noConversion"/>
  </si>
  <si>
    <t>수량</t>
    <phoneticPr fontId="31" type="noConversion"/>
  </si>
  <si>
    <t>재    료   비</t>
    <phoneticPr fontId="31" type="noConversion"/>
  </si>
  <si>
    <t>노   무   비</t>
    <phoneticPr fontId="31" type="noConversion"/>
  </si>
  <si>
    <t>합   계</t>
    <phoneticPr fontId="31" type="noConversion"/>
  </si>
  <si>
    <t>비 고</t>
    <phoneticPr fontId="31" type="noConversion"/>
  </si>
  <si>
    <t>금   액</t>
    <phoneticPr fontId="31" type="noConversion"/>
  </si>
  <si>
    <t xml:space="preserve"> 단  가</t>
    <phoneticPr fontId="31" type="noConversion"/>
  </si>
  <si>
    <t>용접봉</t>
    <phoneticPr fontId="31" type="noConversion"/>
  </si>
  <si>
    <t>KSE-4301(Ø2.6)</t>
    <phoneticPr fontId="31" type="noConversion"/>
  </si>
  <si>
    <t>KG</t>
  </si>
  <si>
    <t>산소</t>
    <phoneticPr fontId="31" type="noConversion"/>
  </si>
  <si>
    <t>L</t>
  </si>
  <si>
    <t>아세칠렌</t>
    <phoneticPr fontId="31" type="noConversion"/>
  </si>
  <si>
    <t>인건비</t>
    <phoneticPr fontId="31" type="noConversion"/>
  </si>
  <si>
    <t>철공</t>
    <phoneticPr fontId="31" type="noConversion"/>
  </si>
  <si>
    <t>보통인부</t>
    <phoneticPr fontId="31" type="noConversion"/>
  </si>
  <si>
    <t>용접공</t>
    <phoneticPr fontId="31" type="noConversion"/>
  </si>
  <si>
    <t>특별인부</t>
    <phoneticPr fontId="31" type="noConversion"/>
  </si>
  <si>
    <t>소    계</t>
    <phoneticPr fontId="31" type="noConversion"/>
  </si>
  <si>
    <t>합    계</t>
    <phoneticPr fontId="31" type="noConversion"/>
  </si>
  <si>
    <t>간단구조</t>
    <phoneticPr fontId="31" type="noConversion"/>
  </si>
  <si>
    <t>%</t>
    <phoneticPr fontId="31" type="noConversion"/>
  </si>
  <si>
    <t>보통구조</t>
    <phoneticPr fontId="31" type="noConversion"/>
  </si>
  <si>
    <t>복잡구조</t>
    <phoneticPr fontId="31" type="noConversion"/>
  </si>
  <si>
    <t>대가 2호 : 잡철물 제작설치(기계설비 표준품셈적용)</t>
    <phoneticPr fontId="31" type="noConversion"/>
  </si>
  <si>
    <t>대가 3호 : 녹막이 페인트칠 2회(적산정보 적용)</t>
    <phoneticPr fontId="31" type="noConversion"/>
  </si>
  <si>
    <t>- M2 당 -</t>
  </si>
  <si>
    <t>재    료   비</t>
    <phoneticPr fontId="31" type="noConversion"/>
  </si>
  <si>
    <t>노   무   비</t>
    <phoneticPr fontId="31" type="noConversion"/>
  </si>
  <si>
    <t>합   계</t>
    <phoneticPr fontId="31" type="noConversion"/>
  </si>
  <si>
    <t>비 고</t>
    <phoneticPr fontId="31" type="noConversion"/>
  </si>
  <si>
    <t>금   액</t>
    <phoneticPr fontId="31" type="noConversion"/>
  </si>
  <si>
    <t xml:space="preserve"> 단  가</t>
    <phoneticPr fontId="31" type="noConversion"/>
  </si>
  <si>
    <t>녹막이 페인트</t>
  </si>
  <si>
    <t>신너</t>
    <phoneticPr fontId="31" type="noConversion"/>
  </si>
  <si>
    <t>잡재료비</t>
    <phoneticPr fontId="31" type="noConversion"/>
  </si>
  <si>
    <t>인   건   비</t>
  </si>
  <si>
    <t>도장공</t>
    <phoneticPr fontId="31" type="noConversion"/>
  </si>
  <si>
    <t>인   건   비</t>
    <phoneticPr fontId="31" type="noConversion"/>
  </si>
  <si>
    <t>보통인부</t>
    <phoneticPr fontId="31" type="noConversion"/>
  </si>
  <si>
    <t>대가 4호 : 조합 페인트칠 2회(적산정보 적용)</t>
    <phoneticPr fontId="31" type="noConversion"/>
  </si>
  <si>
    <t>조합 페인트</t>
  </si>
  <si>
    <t>대가3호</t>
    <phoneticPr fontId="31" type="noConversion"/>
  </si>
  <si>
    <t>대가4호</t>
    <phoneticPr fontId="31" type="noConversion"/>
  </si>
  <si>
    <t>대가2호</t>
    <phoneticPr fontId="31" type="noConversion"/>
  </si>
  <si>
    <t>Ø100x5P</t>
    <phoneticPr fontId="5" type="noConversion"/>
  </si>
  <si>
    <t>Ø100x8P</t>
    <phoneticPr fontId="5" type="noConversion"/>
  </si>
  <si>
    <t>점검사다리</t>
    <phoneticPr fontId="5" type="noConversion"/>
  </si>
  <si>
    <t>식</t>
    <phoneticPr fontId="5" type="noConversion"/>
  </si>
  <si>
    <t>2016년 상반기 임률기준표</t>
    <phoneticPr fontId="22" type="noConversion"/>
  </si>
  <si>
    <t>상여금 / 300%</t>
    <phoneticPr fontId="22" type="noConversion"/>
  </si>
  <si>
    <t>퇴직충당금</t>
    <phoneticPr fontId="22" type="noConversion"/>
  </si>
  <si>
    <t>일노임단가</t>
    <phoneticPr fontId="22" type="noConversion"/>
  </si>
  <si>
    <t>시간당임율</t>
    <phoneticPr fontId="22" type="noConversion"/>
  </si>
  <si>
    <t>기계산업기사</t>
    <phoneticPr fontId="22" type="noConversion"/>
  </si>
  <si>
    <t>* 엔지니어링:초급기술자(건설및기타) 2016.01.01</t>
    <phoneticPr fontId="22" type="noConversion"/>
  </si>
  <si>
    <t>공사</t>
    <phoneticPr fontId="22" type="noConversion"/>
  </si>
  <si>
    <t>314-p</t>
    <phoneticPr fontId="22" type="noConversion"/>
  </si>
  <si>
    <t>비계공</t>
    <phoneticPr fontId="22" type="noConversion"/>
  </si>
  <si>
    <t>철공</t>
    <phoneticPr fontId="22" type="noConversion"/>
  </si>
  <si>
    <t>건축목공</t>
    <phoneticPr fontId="22" type="noConversion"/>
  </si>
  <si>
    <t>연마공</t>
    <phoneticPr fontId="22" type="noConversion"/>
  </si>
  <si>
    <t>기계설치공</t>
    <phoneticPr fontId="22" type="noConversion"/>
  </si>
  <si>
    <t>통신설비공</t>
    <phoneticPr fontId="22" type="noConversion"/>
  </si>
  <si>
    <t>전기공사기사</t>
    <phoneticPr fontId="22" type="noConversion"/>
  </si>
  <si>
    <t>전기공사산업기사</t>
    <phoneticPr fontId="22" type="noConversion"/>
  </si>
  <si>
    <t>NO.1) PLACARD BATTEN</t>
    <phoneticPr fontId="31" type="noConversion"/>
  </si>
  <si>
    <t>PLACARD BATTEN</t>
    <phoneticPr fontId="31" type="noConversion"/>
  </si>
  <si>
    <t>NO.2) CONTOUR CURTAIN</t>
    <phoneticPr fontId="31" type="noConversion"/>
  </si>
  <si>
    <t>CONTOUR CURTAIN</t>
    <phoneticPr fontId="31" type="noConversion"/>
  </si>
  <si>
    <t>NO.3) NO.2 BORDER LIGHT BATTEN</t>
    <phoneticPr fontId="31" type="noConversion"/>
  </si>
  <si>
    <t>NO.2 BORDER LIGHT BATTEN</t>
    <phoneticPr fontId="31" type="noConversion"/>
  </si>
  <si>
    <t>NO.4) NO.1 SUSPENSION LIGHT BATTEN</t>
    <phoneticPr fontId="31" type="noConversion"/>
  </si>
  <si>
    <t>NO.1 SUSPENSION LIGHT BATTEN</t>
    <phoneticPr fontId="31" type="noConversion"/>
  </si>
  <si>
    <t>NO.5) NO.2 SUSPENSION LIGHT BATTEN</t>
    <phoneticPr fontId="31" type="noConversion"/>
  </si>
  <si>
    <t>NO.2 SUSPENSION LIGHT BATTEN</t>
    <phoneticPr fontId="31" type="noConversion"/>
  </si>
  <si>
    <t>NO.6) FLAG BATTEN</t>
    <phoneticPr fontId="31" type="noConversion"/>
  </si>
  <si>
    <t>FLAG BATTEN</t>
    <phoneticPr fontId="31" type="noConversion"/>
  </si>
  <si>
    <t>NO.7) CEILING LIGHT BATTEN</t>
    <phoneticPr fontId="31" type="noConversion"/>
  </si>
  <si>
    <t>CEILING LIGHT BATTEN</t>
    <phoneticPr fontId="31" type="noConversion"/>
  </si>
  <si>
    <t>NO.8) GRID IRON 보수</t>
    <phoneticPr fontId="31" type="noConversion"/>
  </si>
  <si>
    <t>GRID IRON 보수</t>
    <phoneticPr fontId="31" type="noConversion"/>
  </si>
  <si>
    <t>제어시스템</t>
    <phoneticPr fontId="31" type="noConversion"/>
  </si>
  <si>
    <t>2016년  04월    일</t>
    <phoneticPr fontId="31" type="noConversion"/>
  </si>
  <si>
    <t>DRIVE M/C ASS'Y</t>
  </si>
  <si>
    <t>DRIVE M/C ASS'Y</t>
    <phoneticPr fontId="5" type="noConversion"/>
  </si>
  <si>
    <t>DRIVE M/C ASS'Y</t>
    <phoneticPr fontId="31" type="noConversion"/>
  </si>
  <si>
    <t>건축 내부 목공사</t>
    <phoneticPr fontId="31" type="noConversion"/>
  </si>
  <si>
    <t>합    판</t>
    <phoneticPr fontId="31" type="noConversion"/>
  </si>
  <si>
    <t>4'X8'X12T</t>
    <phoneticPr fontId="31" type="noConversion"/>
  </si>
  <si>
    <t>각     재</t>
    <phoneticPr fontId="31" type="noConversion"/>
  </si>
  <si>
    <t>4.5 X 4.5</t>
    <phoneticPr fontId="31" type="noConversion"/>
  </si>
  <si>
    <t>M²</t>
    <phoneticPr fontId="31" type="noConversion"/>
  </si>
  <si>
    <t>(3.5*1+3.5*1+3.5*1+1*1)*2</t>
    <phoneticPr fontId="31" type="noConversion"/>
  </si>
  <si>
    <t>(3.5*7+1*4)/3.6</t>
    <phoneticPr fontId="31" type="noConversion"/>
  </si>
  <si>
    <t>재</t>
    <phoneticPr fontId="31" type="noConversion"/>
  </si>
  <si>
    <t>대가 5호 : 목공사:건축물 내부 목공사(적산정보)</t>
    <phoneticPr fontId="31" type="noConversion"/>
  </si>
  <si>
    <t>건축목공</t>
    <phoneticPr fontId="31" type="noConversion"/>
  </si>
  <si>
    <t>목공사(건축물 내부 목공사)</t>
    <phoneticPr fontId="31" type="noConversion"/>
  </si>
  <si>
    <t>* TOTAL WEIGHT *</t>
    <phoneticPr fontId="31" type="noConversion"/>
  </si>
  <si>
    <t>기존벽체 철거</t>
    <phoneticPr fontId="31" type="noConversion"/>
  </si>
  <si>
    <t>식</t>
    <phoneticPr fontId="31" type="noConversion"/>
  </si>
  <si>
    <t>1</t>
    <phoneticPr fontId="31" type="noConversion"/>
  </si>
  <si>
    <t>2</t>
    <phoneticPr fontId="31" type="noConversion"/>
  </si>
  <si>
    <t>대가5호</t>
    <phoneticPr fontId="31" type="noConversion"/>
  </si>
  <si>
    <t>NO.10) 음향매입박스</t>
    <phoneticPr fontId="31" type="noConversion"/>
  </si>
  <si>
    <t>NO.11) 천정 점검구설치</t>
    <phoneticPr fontId="31" type="noConversion"/>
  </si>
  <si>
    <t>천정 점검구</t>
    <phoneticPr fontId="31" type="noConversion"/>
  </si>
  <si>
    <t>STS 600 x 600</t>
    <phoneticPr fontId="31" type="noConversion"/>
  </si>
  <si>
    <t>EA</t>
    <phoneticPr fontId="31" type="noConversion"/>
  </si>
  <si>
    <t>대가 6호 : 금속공사(적산정보)</t>
    <phoneticPr fontId="31" type="noConversion"/>
  </si>
  <si>
    <t>내장공</t>
    <phoneticPr fontId="31" type="noConversion"/>
  </si>
  <si>
    <t>내장공</t>
    <phoneticPr fontId="22" type="noConversion"/>
  </si>
  <si>
    <t>철판공</t>
    <phoneticPr fontId="22" type="noConversion"/>
  </si>
  <si>
    <t>철판공</t>
    <phoneticPr fontId="31" type="noConversion"/>
  </si>
  <si>
    <t>금속공사</t>
    <phoneticPr fontId="31" type="noConversion"/>
  </si>
  <si>
    <t>천정 점검구 설치</t>
    <phoneticPr fontId="31" type="noConversion"/>
  </si>
  <si>
    <t>대가6호</t>
    <phoneticPr fontId="31" type="noConversion"/>
  </si>
  <si>
    <t>스피커 이설</t>
    <phoneticPr fontId="31" type="noConversion"/>
  </si>
  <si>
    <t>NO.9) 제어시스템</t>
    <phoneticPr fontId="31" type="noConversion"/>
  </si>
  <si>
    <t>NO</t>
    <phoneticPr fontId="15" type="noConversion"/>
  </si>
  <si>
    <t xml:space="preserve">품      명 </t>
    <phoneticPr fontId="22" type="noConversion"/>
  </si>
  <si>
    <t>규     격</t>
    <phoneticPr fontId="22" type="noConversion"/>
  </si>
  <si>
    <t>산     출     근     거</t>
    <phoneticPr fontId="96" type="noConversion"/>
  </si>
  <si>
    <t>직 종</t>
    <phoneticPr fontId="31" type="noConversion"/>
  </si>
  <si>
    <t>16C</t>
    <phoneticPr fontId="31" type="noConversion"/>
  </si>
  <si>
    <t>천정속 공사 130%</t>
    <phoneticPr fontId="31" type="noConversion"/>
  </si>
  <si>
    <t>내선전공</t>
    <phoneticPr fontId="31" type="noConversion"/>
  </si>
  <si>
    <t>식</t>
    <phoneticPr fontId="31" type="noConversion"/>
  </si>
  <si>
    <t>전5-13</t>
    <phoneticPr fontId="31" type="noConversion"/>
  </si>
  <si>
    <t>F-GV CABLE</t>
    <phoneticPr fontId="36" type="noConversion"/>
  </si>
  <si>
    <t>6SQ</t>
    <phoneticPr fontId="5" type="noConversion"/>
  </si>
  <si>
    <t>MCCB (배선용차단기)</t>
    <phoneticPr fontId="31" type="noConversion"/>
  </si>
  <si>
    <t>ABS 33c</t>
    <phoneticPr fontId="5" type="noConversion"/>
  </si>
  <si>
    <t>6;기존철거 50% 포함</t>
    <phoneticPr fontId="31" type="noConversion"/>
  </si>
  <si>
    <t>MC 18a</t>
    <phoneticPr fontId="5" type="noConversion"/>
  </si>
  <si>
    <t>4*2=8;기존철거 50% 포함</t>
    <phoneticPr fontId="31" type="noConversion"/>
  </si>
  <si>
    <t>전5-19</t>
    <phoneticPr fontId="31" type="noConversion"/>
  </si>
  <si>
    <t>MC 12a</t>
    <phoneticPr fontId="5" type="noConversion"/>
  </si>
  <si>
    <t>2*2=4;기존철거 50% 포함</t>
    <phoneticPr fontId="31" type="noConversion"/>
  </si>
  <si>
    <t>설치인건비</t>
    <phoneticPr fontId="31" type="noConversion"/>
  </si>
  <si>
    <t>잡자재비</t>
    <phoneticPr fontId="31" type="noConversion"/>
  </si>
  <si>
    <t>스피커 이전 설치</t>
    <phoneticPr fontId="31" type="noConversion"/>
  </si>
  <si>
    <t>MAIN SPEKER 철거</t>
    <phoneticPr fontId="31" type="noConversion"/>
  </si>
  <si>
    <t>MAIN SPEKER 재설치</t>
    <phoneticPr fontId="31" type="noConversion"/>
  </si>
  <si>
    <t>식</t>
    <phoneticPr fontId="31" type="noConversion"/>
  </si>
  <si>
    <t>NO.12) 스피커 이전</t>
    <phoneticPr fontId="31" type="noConversion"/>
  </si>
  <si>
    <t>2S14F</t>
    <phoneticPr fontId="31" type="noConversion"/>
  </si>
  <si>
    <t>CABLE</t>
    <phoneticPr fontId="31" type="noConversion"/>
  </si>
  <si>
    <t>M</t>
    <phoneticPr fontId="31" type="noConversion"/>
  </si>
  <si>
    <t>(19.2+2.4+3)*2</t>
    <phoneticPr fontId="31" type="noConversion"/>
  </si>
  <si>
    <t>통신내선공</t>
    <phoneticPr fontId="22" type="noConversion"/>
  </si>
  <si>
    <t>통신내선공</t>
    <phoneticPr fontId="31" type="noConversion"/>
  </si>
  <si>
    <t>통신케이블공</t>
    <phoneticPr fontId="31" type="noConversion"/>
  </si>
  <si>
    <t>(19.2+2.4+3)*2</t>
    <phoneticPr fontId="31" type="noConversion"/>
  </si>
  <si>
    <t>CABLE</t>
    <phoneticPr fontId="5" type="noConversion"/>
  </si>
  <si>
    <t>2S14F</t>
    <phoneticPr fontId="5" type="noConversion"/>
  </si>
  <si>
    <t>M</t>
    <phoneticPr fontId="5" type="noConversion"/>
  </si>
  <si>
    <t>MAIN SPEKER 철거</t>
    <phoneticPr fontId="5" type="noConversion"/>
  </si>
  <si>
    <t>MAIN SPEKER 재설치</t>
    <phoneticPr fontId="5" type="noConversion"/>
  </si>
  <si>
    <t>고소작업비용</t>
    <phoneticPr fontId="31" type="noConversion"/>
  </si>
  <si>
    <t>고소작업비용</t>
    <phoneticPr fontId="5" type="noConversion"/>
  </si>
  <si>
    <t>시험조정비</t>
    <phoneticPr fontId="31" type="noConversion"/>
  </si>
  <si>
    <t>시험조정비</t>
    <phoneticPr fontId="5" type="noConversion"/>
  </si>
  <si>
    <t>스피커 이전</t>
    <phoneticPr fontId="31" type="noConversion"/>
  </si>
  <si>
    <t>천정점검구 설치</t>
    <phoneticPr fontId="31" type="noConversion"/>
  </si>
  <si>
    <t>음향매입박스</t>
    <phoneticPr fontId="31" type="noConversion"/>
  </si>
  <si>
    <t>무대장치 구매(보수)</t>
    <phoneticPr fontId="5" type="noConversion"/>
  </si>
  <si>
    <t>천정텍스 철거 및 재단</t>
    <phoneticPr fontId="31" type="noConversion"/>
  </si>
  <si>
    <t>천정텍스 재설치</t>
    <phoneticPr fontId="31" type="noConversion"/>
  </si>
  <si>
    <t>식</t>
    <phoneticPr fontId="31" type="noConversion"/>
  </si>
  <si>
    <t>천정텍스 철거 및 재단</t>
    <phoneticPr fontId="5" type="noConversion"/>
  </si>
  <si>
    <t>천정텍스 재설치</t>
    <phoneticPr fontId="5" type="noConversion"/>
  </si>
  <si>
    <t>검사 및 교정</t>
    <phoneticPr fontId="31" type="noConversion"/>
  </si>
  <si>
    <t>부분 조립작업</t>
    <phoneticPr fontId="31" type="noConversion"/>
  </si>
  <si>
    <t>기술관리를 제외한 공정의</t>
    <phoneticPr fontId="31" type="noConversion"/>
  </si>
  <si>
    <t>노무비의</t>
    <phoneticPr fontId="31" type="noConversion"/>
  </si>
  <si>
    <t>물 품 명 : 경기도 어린이 박물관 무대장치 보수</t>
    <phoneticPr fontId="31" type="noConversion"/>
  </si>
  <si>
    <t>경기도 어린이 박물관 무대장치 보수</t>
    <phoneticPr fontId="22" type="noConversion"/>
  </si>
  <si>
    <t>2016. 04</t>
    <phoneticPr fontId="22" type="noConversion"/>
  </si>
  <si>
    <t>고철</t>
    <phoneticPr fontId="36" type="noConversion"/>
  </si>
  <si>
    <t>KG</t>
    <phoneticPr fontId="36" type="noConversion"/>
  </si>
  <si>
    <t>P-47(하)</t>
    <phoneticPr fontId="36" type="noConversion"/>
  </si>
  <si>
    <t>P2-989</t>
    <phoneticPr fontId="36" type="noConversion"/>
  </si>
  <si>
    <t>WIRE ROPE</t>
    <phoneticPr fontId="36" type="noConversion"/>
  </si>
  <si>
    <t>Ø3.2</t>
    <phoneticPr fontId="36" type="noConversion"/>
  </si>
  <si>
    <t>M</t>
    <phoneticPr fontId="36" type="noConversion"/>
  </si>
  <si>
    <t>P1-102</t>
    <phoneticPr fontId="36" type="noConversion"/>
  </si>
  <si>
    <t>FLEXIBLE</t>
    <phoneticPr fontId="36" type="noConversion"/>
  </si>
  <si>
    <t>16C</t>
    <phoneticPr fontId="36" type="noConversion"/>
  </si>
  <si>
    <t>P1-738</t>
    <phoneticPr fontId="36" type="noConversion"/>
  </si>
  <si>
    <t>FLEXIBLE CONNECTOR</t>
    <phoneticPr fontId="36" type="noConversion"/>
  </si>
  <si>
    <t>EA</t>
    <phoneticPr fontId="36" type="noConversion"/>
  </si>
  <si>
    <t>MCCB (배선용차단기)</t>
    <phoneticPr fontId="36" type="noConversion"/>
  </si>
  <si>
    <t>ABS 33c</t>
    <phoneticPr fontId="36" type="noConversion"/>
  </si>
  <si>
    <t>P1-780</t>
    <phoneticPr fontId="36" type="noConversion"/>
  </si>
  <si>
    <t>MC (전자접촉기)</t>
    <phoneticPr fontId="36" type="noConversion"/>
  </si>
  <si>
    <t>MC 18a</t>
    <phoneticPr fontId="36" type="noConversion"/>
  </si>
  <si>
    <t>P1-787</t>
    <phoneticPr fontId="36" type="noConversion"/>
  </si>
  <si>
    <t>MC 12a</t>
    <phoneticPr fontId="36" type="noConversion"/>
  </si>
  <si>
    <t>F-GV CABLE</t>
    <phoneticPr fontId="36" type="noConversion"/>
  </si>
  <si>
    <t>6SQ</t>
    <phoneticPr fontId="36" type="noConversion"/>
  </si>
  <si>
    <t>P1-695</t>
    <phoneticPr fontId="36" type="noConversion"/>
  </si>
  <si>
    <t>용접봉</t>
    <phoneticPr fontId="36" type="noConversion"/>
  </si>
  <si>
    <t>KSE-4301(Ø2.6)</t>
    <phoneticPr fontId="36" type="noConversion"/>
  </si>
  <si>
    <t>P1-622</t>
    <phoneticPr fontId="36" type="noConversion"/>
  </si>
  <si>
    <t>산소</t>
    <phoneticPr fontId="36" type="noConversion"/>
  </si>
  <si>
    <t>L</t>
    <phoneticPr fontId="36" type="noConversion"/>
  </si>
  <si>
    <t>하P-33</t>
    <phoneticPr fontId="36" type="noConversion"/>
  </si>
  <si>
    <t>P2-909</t>
    <phoneticPr fontId="36" type="noConversion"/>
  </si>
  <si>
    <t>아세칠렌</t>
    <phoneticPr fontId="36" type="noConversion"/>
  </si>
  <si>
    <t>녹막이 페인트</t>
    <phoneticPr fontId="36" type="noConversion"/>
  </si>
  <si>
    <t>P2-257</t>
    <phoneticPr fontId="36" type="noConversion"/>
  </si>
  <si>
    <t>조합 페인트</t>
    <phoneticPr fontId="36" type="noConversion"/>
  </si>
  <si>
    <t>신너</t>
    <phoneticPr fontId="36" type="noConversion"/>
  </si>
  <si>
    <t>P2-261</t>
    <phoneticPr fontId="36" type="noConversion"/>
  </si>
  <si>
    <t>SQUARE PIPE</t>
    <phoneticPr fontId="36" type="noConversion"/>
  </si>
  <si>
    <t>30x30x1.6t</t>
    <phoneticPr fontId="36" type="noConversion"/>
  </si>
  <si>
    <t>50X50X1.6T</t>
    <phoneticPr fontId="36" type="noConversion"/>
  </si>
  <si>
    <t>합    판</t>
    <phoneticPr fontId="36" type="noConversion"/>
  </si>
  <si>
    <t>4'X8'X12T</t>
    <phoneticPr fontId="36" type="noConversion"/>
  </si>
  <si>
    <t>매</t>
    <phoneticPr fontId="36" type="noConversion"/>
  </si>
  <si>
    <t>P2-353</t>
    <phoneticPr fontId="36" type="noConversion"/>
  </si>
  <si>
    <t>각     재</t>
    <phoneticPr fontId="36" type="noConversion"/>
  </si>
  <si>
    <t>4.5 X 4.5</t>
    <phoneticPr fontId="36" type="noConversion"/>
  </si>
  <si>
    <t>재</t>
    <phoneticPr fontId="36" type="noConversion"/>
  </si>
  <si>
    <t>천정 점검구</t>
    <phoneticPr fontId="36" type="noConversion"/>
  </si>
  <si>
    <t>STS 600 x 600</t>
    <phoneticPr fontId="36" type="noConversion"/>
  </si>
  <si>
    <t>* TOTAL WEIGHT * (교체설치 부분 중량의 50%)</t>
    <phoneticPr fontId="31" type="noConversion"/>
  </si>
  <si>
    <t>식</t>
    <phoneticPr fontId="31" type="noConversion"/>
  </si>
  <si>
    <t>스피커 받침대</t>
    <phoneticPr fontId="31" type="noConversion"/>
  </si>
  <si>
    <t>좌측 스피커 받침대</t>
    <phoneticPr fontId="31" type="noConversion"/>
  </si>
  <si>
    <t>스피커 받침대</t>
    <phoneticPr fontId="5" type="noConversion"/>
  </si>
  <si>
    <t>EXPANDED METAL</t>
    <phoneticPr fontId="31" type="noConversion"/>
  </si>
  <si>
    <t>SS #243</t>
    <phoneticPr fontId="31" type="noConversion"/>
  </si>
  <si>
    <t>매</t>
    <phoneticPr fontId="31" type="noConversion"/>
  </si>
  <si>
    <t>((3.2*0.2*5)+(1*0.2*5))/2.972</t>
    <phoneticPr fontId="31" type="noConversion"/>
  </si>
  <si>
    <t>(0.2*114)+(0.12*114)+(0.2*4.2)</t>
    <phoneticPr fontId="31" type="noConversion"/>
  </si>
  <si>
    <t>SS #243</t>
  </si>
  <si>
    <t>4'X8'</t>
  </si>
  <si>
    <t>P1-112</t>
    <phoneticPr fontId="31" type="noConversion"/>
  </si>
  <si>
    <t>EXPANDED METAL</t>
    <phoneticPr fontId="36" type="noConversion"/>
  </si>
  <si>
    <t>식</t>
    <phoneticPr fontId="31" type="noConversion"/>
  </si>
  <si>
    <t>판낼내부배선 연장</t>
    <phoneticPr fontId="5" type="noConversion"/>
  </si>
  <si>
    <t>판낼내부배선 연장</t>
    <phoneticPr fontId="31" type="noConversion"/>
  </si>
  <si>
    <t>매쉬망 마감설치</t>
    <phoneticPr fontId="5" type="noConversion"/>
  </si>
  <si>
    <t>식</t>
    <phoneticPr fontId="5" type="noConversion"/>
  </si>
  <si>
    <t>전면 매쉬망 마감</t>
    <phoneticPr fontId="31" type="noConversion"/>
  </si>
  <si>
    <t>매쉬망 마감설치</t>
    <phoneticPr fontId="31" type="noConversion"/>
  </si>
  <si>
    <t>DRIVE M/C ASS'Y</t>
    <phoneticPr fontId="31" type="noConversion"/>
  </si>
</sst>
</file>

<file path=xl/styles.xml><?xml version="1.0" encoding="utf-8"?>
<styleSheet xmlns="http://schemas.openxmlformats.org/spreadsheetml/2006/main">
  <numFmts count="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&quot;₩&quot;* #,##0_ ;_ &quot;₩&quot;* \-#,##0_ ;_ &quot;₩&quot;* &quot;-&quot;_ ;_ @_ "/>
    <numFmt numFmtId="177" formatCode="_ * #,##0_ ;_ * \-#,##0_ ;_ * &quot;-&quot;_ ;_ @_ "/>
    <numFmt numFmtId="178" formatCode="_ &quot;₩&quot;* #,##0.00_ ;_ &quot;₩&quot;* \-#,##0.00_ ;_ &quot;₩&quot;* &quot;-&quot;??_ ;_ @_ "/>
    <numFmt numFmtId="179" formatCode="_ * #,##0.00_ ;_ * \-#,##0.00_ ;_ * &quot;-&quot;??_ ;_ @_ "/>
    <numFmt numFmtId="180" formatCode="#,##0;[Red]&quot;-&quot;#,##0"/>
    <numFmt numFmtId="181" formatCode="0.0"/>
    <numFmt numFmtId="182" formatCode="&quot;₩&quot;#,##0;&quot;₩&quot;\-#,##0"/>
    <numFmt numFmtId="183" formatCode="#,##0.0"/>
    <numFmt numFmtId="184" formatCode="#,##0;[Red]#,##0"/>
    <numFmt numFmtId="185" formatCode="#,##0_ "/>
    <numFmt numFmtId="186" formatCode="&quot;₩&quot;#,##0"/>
    <numFmt numFmtId="187" formatCode="\P\-###0"/>
    <numFmt numFmtId="188" formatCode="\$#.00"/>
    <numFmt numFmtId="189" formatCode="%#.00"/>
    <numFmt numFmtId="191" formatCode="#,##0.0000;\-#,##0.0000"/>
    <numFmt numFmtId="192" formatCode="#,##0.00_ "/>
    <numFmt numFmtId="193" formatCode="_ &quot;₩&quot;* #,##0.00_ ;_ &quot;₩&quot;* &quot;₩&quot;&quot;₩&quot;&quot;₩&quot;&quot;₩&quot;&quot;₩&quot;\-#,##0.00_ ;_ &quot;₩&quot;* &quot;-&quot;??_ ;_ @_ "/>
    <numFmt numFmtId="194" formatCode="&quot;₩&quot;#,##0;&quot;₩&quot;&quot;₩&quot;&quot;₩&quot;&quot;₩&quot;&quot;₩&quot;&quot;₩&quot;&quot;₩&quot;\-#,##0"/>
    <numFmt numFmtId="195" formatCode="#,##0.00;[Red]&quot;-&quot;#,##0.00"/>
    <numFmt numFmtId="196" formatCode="#,##0.000"/>
    <numFmt numFmtId="197" formatCode="#."/>
    <numFmt numFmtId="198" formatCode="_-* #,##0.0_-;&quot;₩&quot;\!\-* #,##0.0_-;_-* &quot;-&quot;_-;_-@_-"/>
    <numFmt numFmtId="199" formatCode="#,##0.00\ &quot;F&quot;;[Red]\-#,##0.00\ &quot;F&quot;"/>
    <numFmt numFmtId="200" formatCode="&quot;$&quot;#,##0.00_);\(&quot;$&quot;#,##0.00\)"/>
    <numFmt numFmtId="201" formatCode="#\!\,##0\!.000000_);[Red]&quot;₩&quot;\!\(#\!\,##0\!.000000&quot;₩&quot;\!\)"/>
    <numFmt numFmtId="202" formatCode="#,##0.0000;[Red]\-#,##0.0000"/>
    <numFmt numFmtId="203" formatCode="_ * #\!\,##0_ ;_ * &quot;₩&quot;\!\-#\!\,##0_ ;_ * &quot;-&quot;_ ;_ @_ "/>
    <numFmt numFmtId="204" formatCode="_ * #\!\,##0\!.00_ ;_ * &quot;₩&quot;\!\-#\!\,##0\!.00_ ;_ * &quot;-&quot;??_ ;_ @_ "/>
    <numFmt numFmtId="205" formatCode="#,##0\ &quot;DM&quot;;[Red]\-#,##0\ &quot;DM&quot;"/>
    <numFmt numFmtId="206" formatCode="#,##0.00\ &quot;DM&quot;;[Red]\-#,##0.00\ &quot;DM&quot;"/>
    <numFmt numFmtId="207" formatCode="#,##0.00;&quot;-&quot;#,##0.00"/>
    <numFmt numFmtId="208" formatCode="_ * #,##0.00_ ;_ * &quot;₩&quot;&quot;₩&quot;&quot;₩&quot;&quot;₩&quot;&quot;₩&quot;&quot;₩&quot;&quot;₩&quot;\-#,##0.00_ ;_ * &quot;-&quot;??_ ;_ @_ "/>
    <numFmt numFmtId="209" formatCode="&quot;₩&quot;#,##0;[Red]&quot;₩&quot;&quot;₩&quot;&quot;₩&quot;&quot;₩&quot;&quot;₩&quot;&quot;₩&quot;&quot;₩&quot;&quot;₩&quot;\-#,##0"/>
    <numFmt numFmtId="210" formatCode="mm&quot;월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 dd&quot;일&quot;"/>
    <numFmt numFmtId="211" formatCode="0.00000000"/>
    <numFmt numFmtId="212" formatCode="&quot;RM&quot;#,##0.00_);\(&quot;RM&quot;#,##0.00\)"/>
    <numFmt numFmtId="213" formatCode="_(* #,##0.0000_);_(* \(#,##0.0000\);_(* &quot;-&quot;??_);_(@_)"/>
    <numFmt numFmtId="214" formatCode="0.0%"/>
    <numFmt numFmtId="215" formatCode="&quot;₩&quot;#,##0;[Red]&quot;₩&quot;\-#,##0"/>
    <numFmt numFmtId="216" formatCode="_(&quot;₩&quot;* #,##0_);_(&quot;₩&quot;* \(#,##0\);_(&quot;₩&quot;* &quot;-&quot;_);_(@_)"/>
    <numFmt numFmtId="217" formatCode="_(&quot;RM&quot;* #,##0_);_(&quot;RM&quot;* \(#,##0\);_(&quot;RM&quot;* &quot;-&quot;_);_(@_)"/>
    <numFmt numFmtId="218" formatCode="_(&quot;₩&quot;* #,##0.00_);_(&quot;₩&quot;* \(#,##0.00\);_(&quot;₩&quot;* &quot;-&quot;??_);_(@_)"/>
    <numFmt numFmtId="219" formatCode="_(&quot;RM&quot;* #,##0.00_);_(&quot;RM&quot;* \(#,##0.00\);_(&quot;RM&quot;* &quot;-&quot;??_);_(@_)"/>
    <numFmt numFmtId="220" formatCode="_ * #,##0.000000_ ;_ * \-#,##0.000000_ ;_ * &quot;-&quot;_ ;_ @_ "/>
    <numFmt numFmtId="221" formatCode="_ * #,##0_ ;_ * \-#,##0_ ;_ * &quot;-&quot;??_ ;_ @_ "/>
    <numFmt numFmtId="222" formatCode="0.0000000000000"/>
    <numFmt numFmtId="223" formatCode="[Red]#,##0"/>
  </numFmts>
  <fonts count="126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8"/>
      <name val="바탕"/>
      <family val="1"/>
      <charset val="129"/>
    </font>
    <font>
      <sz val="10"/>
      <name val="돋움체"/>
      <family val="3"/>
      <charset val="129"/>
    </font>
    <font>
      <b/>
      <sz val="12"/>
      <name val="돋움체"/>
      <family val="3"/>
      <charset val="129"/>
    </font>
    <font>
      <b/>
      <sz val="10"/>
      <name val="돋움체"/>
      <family val="3"/>
      <charset val="129"/>
    </font>
    <font>
      <sz val="9"/>
      <name val="바탕체"/>
      <family val="1"/>
      <charset val="129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1"/>
      <name val="굴림체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0"/>
      <name val="Arial"/>
      <family val="2"/>
    </font>
    <font>
      <sz val="12"/>
      <name val="굴림체"/>
      <family val="3"/>
      <charset val="129"/>
    </font>
    <font>
      <sz val="1"/>
      <color indexed="8"/>
      <name val="Courier"/>
      <family val="3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8"/>
      <name val="바탕체"/>
      <family val="1"/>
      <charset val="129"/>
    </font>
    <font>
      <sz val="11"/>
      <name val="바탕체"/>
      <family val="1"/>
      <charset val="129"/>
    </font>
    <font>
      <sz val="8"/>
      <name val="돋움"/>
      <family val="3"/>
      <charset val="129"/>
    </font>
    <font>
      <b/>
      <sz val="9.8000000000000007"/>
      <name val="돋움체"/>
      <family val="3"/>
      <charset val="129"/>
    </font>
    <font>
      <b/>
      <sz val="30"/>
      <name val="돋움체"/>
      <family val="3"/>
      <charset val="129"/>
    </font>
    <font>
      <b/>
      <sz val="25"/>
      <name val="돋움체"/>
      <family val="3"/>
      <charset val="129"/>
    </font>
    <font>
      <sz val="10"/>
      <color indexed="10"/>
      <name val="바탕체"/>
      <family val="1"/>
      <charset val="129"/>
    </font>
    <font>
      <sz val="10"/>
      <name val="굴림체"/>
      <family val="3"/>
      <charset val="129"/>
    </font>
    <font>
      <sz val="12"/>
      <name val="Times New Roman"/>
      <family val="1"/>
    </font>
    <font>
      <sz val="11"/>
      <name val="굴림"/>
      <family val="3"/>
      <charset val="129"/>
    </font>
    <font>
      <sz val="14"/>
      <name val="돋움"/>
      <family val="3"/>
      <charset val="129"/>
    </font>
    <font>
      <sz val="8"/>
      <name val="바탕체"/>
      <family val="1"/>
      <charset val="129"/>
    </font>
    <font>
      <b/>
      <sz val="26"/>
      <name val="바탕체"/>
      <family val="1"/>
      <charset val="129"/>
    </font>
    <font>
      <sz val="9"/>
      <name val="굴림체"/>
      <family val="3"/>
      <charset val="129"/>
    </font>
    <font>
      <sz val="8"/>
      <name val="굴림체"/>
      <family val="3"/>
      <charset val="129"/>
    </font>
    <font>
      <sz val="8"/>
      <name val="¹UAAA¼"/>
      <family val="1"/>
      <charset val="129"/>
    </font>
    <font>
      <sz val="11"/>
      <color indexed="8"/>
      <name val="돋움체"/>
      <family val="3"/>
      <charset val="129"/>
    </font>
    <font>
      <b/>
      <sz val="9"/>
      <color indexed="8"/>
      <name val="굴림체"/>
      <family val="3"/>
      <charset val="129"/>
    </font>
    <font>
      <b/>
      <sz val="9"/>
      <name val="굴림체"/>
      <family val="3"/>
      <charset val="129"/>
    </font>
    <font>
      <sz val="10"/>
      <name val="HY헤드라인M"/>
      <family val="1"/>
      <charset val="129"/>
    </font>
    <font>
      <sz val="18"/>
      <name val="HY헤드라인M"/>
      <family val="1"/>
      <charset val="129"/>
    </font>
    <font>
      <sz val="16"/>
      <name val="HY헤드라인M"/>
      <family val="1"/>
      <charset val="129"/>
    </font>
    <font>
      <sz val="14"/>
      <name val="HY헤드라인M"/>
      <family val="1"/>
      <charset val="129"/>
    </font>
    <font>
      <sz val="20"/>
      <name val="HY헤드라인M"/>
      <family val="1"/>
      <charset val="129"/>
    </font>
    <font>
      <sz val="22"/>
      <name val="HY헤드라인M"/>
      <family val="1"/>
      <charset val="129"/>
    </font>
    <font>
      <sz val="24"/>
      <name val="HY헤드라인M"/>
      <family val="1"/>
      <charset val="129"/>
    </font>
    <font>
      <sz val="12"/>
      <name val="ⓒoUAAA¨u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9"/>
      <name val="돋움체"/>
      <family val="3"/>
      <charset val="129"/>
    </font>
    <font>
      <u/>
      <sz val="9"/>
      <name val="굴림체"/>
      <family val="3"/>
      <charset val="129"/>
    </font>
    <font>
      <b/>
      <sz val="26"/>
      <name val="굴림체"/>
      <family val="3"/>
      <charset val="129"/>
    </font>
    <font>
      <sz val="12"/>
      <name val="±¼¸²A¼"/>
      <family val="3"/>
      <charset val="129"/>
    </font>
    <font>
      <sz val="9"/>
      <color rgb="FFFF0000"/>
      <name val="굴림체"/>
      <family val="3"/>
      <charset val="129"/>
    </font>
    <font>
      <b/>
      <sz val="12"/>
      <name val="굴림체"/>
      <family val="3"/>
      <charset val="129"/>
    </font>
    <font>
      <sz val="12"/>
      <name val="돋움체"/>
      <family val="3"/>
      <charset val="129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2"/>
      <name val="돋움"/>
      <family val="3"/>
      <charset val="129"/>
    </font>
    <font>
      <b/>
      <sz val="10"/>
      <name val="Helv"/>
      <family val="2"/>
    </font>
    <font>
      <b/>
      <sz val="12"/>
      <name val="Helv"/>
      <family val="2"/>
    </font>
    <font>
      <b/>
      <sz val="18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b/>
      <u/>
      <sz val="13"/>
      <name val="굴림체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명조"/>
      <family val="3"/>
      <charset val="129"/>
    </font>
    <font>
      <sz val="11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indexed="12"/>
      <name val="Arial"/>
      <family val="2"/>
    </font>
    <font>
      <sz val="10"/>
      <name val="Helv"/>
      <family val="2"/>
    </font>
    <font>
      <sz val="12"/>
      <name val="Helv"/>
      <family val="2"/>
    </font>
    <font>
      <sz val="8"/>
      <color indexed="12"/>
      <name val="Arial"/>
      <family val="2"/>
    </font>
    <font>
      <sz val="10"/>
      <name val="Book Antiqua"/>
      <family val="1"/>
    </font>
    <font>
      <sz val="9.5"/>
      <name val="돋움"/>
      <family val="3"/>
      <charset val="129"/>
    </font>
    <font>
      <sz val="10"/>
      <name val="바탕"/>
      <family val="1"/>
      <charset val="129"/>
    </font>
    <font>
      <sz val="12"/>
      <name val="굴림"/>
      <family val="3"/>
      <charset val="129"/>
    </font>
    <font>
      <u/>
      <sz val="9"/>
      <color indexed="36"/>
      <name val="돋움체"/>
      <family val="3"/>
      <charset val="129"/>
    </font>
    <font>
      <sz val="12"/>
      <name val="¹UAAA¼"/>
      <family val="1"/>
    </font>
    <font>
      <sz val="12"/>
      <name val="¹ÙÅÁÃ¼"/>
      <family val="1"/>
    </font>
    <font>
      <b/>
      <sz val="12"/>
      <name val="Helvetica"/>
      <family val="2"/>
    </font>
    <font>
      <b/>
      <sz val="8"/>
      <name val="Times New Roman"/>
      <family val="1"/>
    </font>
    <font>
      <b/>
      <sz val="10"/>
      <name val="Helvetica"/>
      <family val="2"/>
    </font>
    <font>
      <sz val="10"/>
      <name val="궁서(English)"/>
      <family val="3"/>
      <charset val="129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3"/>
      <name val="돋움체"/>
      <family val="3"/>
      <charset val="129"/>
    </font>
    <font>
      <i/>
      <sz val="1"/>
      <color indexed="8"/>
      <name val="Courier"/>
      <family val="3"/>
    </font>
    <font>
      <i/>
      <sz val="12"/>
      <name val="굴림체"/>
      <family val="3"/>
      <charset val="129"/>
    </font>
    <font>
      <sz val="11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8"/>
      <name val="MS Sans Serif"/>
      <family val="2"/>
    </font>
    <font>
      <sz val="10"/>
      <name val="Univers (W1)"/>
      <family val="2"/>
    </font>
    <font>
      <sz val="10"/>
      <name val="Geneva"/>
      <family val="2"/>
    </font>
    <font>
      <sz val="10"/>
      <name val="Courier New"/>
      <family val="3"/>
    </font>
    <font>
      <sz val="1"/>
      <color indexed="0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Helv"/>
      <family val="2"/>
    </font>
    <font>
      <b/>
      <sz val="8"/>
      <color indexed="8"/>
      <name val="Helv"/>
      <family val="2"/>
    </font>
    <font>
      <b/>
      <sz val="1"/>
      <color indexed="8"/>
      <name val="Courier"/>
      <family val="3"/>
    </font>
    <font>
      <sz val="10"/>
      <name val="돋움"/>
      <family val="3"/>
      <charset val="129"/>
    </font>
    <font>
      <sz val="11"/>
      <name val="μ¸¿o"/>
      <family val="3"/>
      <charset val="129"/>
    </font>
    <font>
      <sz val="11"/>
      <name val="µ¸¿ò"/>
      <family val="3"/>
      <charset val="129"/>
    </font>
    <font>
      <sz val="8"/>
      <name val="¹ÙÅÁÃ¼"/>
      <family val="1"/>
      <charset val="129"/>
    </font>
    <font>
      <sz val="10"/>
      <name val="µ¸¿ò"/>
      <family val="3"/>
      <charset val="129"/>
    </font>
    <font>
      <sz val="12"/>
      <name val="±¼¸²Ã¼"/>
      <family val="3"/>
      <charset val="129"/>
    </font>
    <font>
      <sz val="11"/>
      <name val="±¼¸²Ã¼"/>
      <family val="3"/>
      <charset val="129"/>
    </font>
    <font>
      <sz val="11"/>
      <name val="±¼¸²A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0"/>
      <name val="Univers (WN)"/>
      <family val="2"/>
    </font>
    <font>
      <sz val="18"/>
      <color indexed="12"/>
      <name val="MS Sans Serif"/>
      <family val="2"/>
    </font>
    <font>
      <sz val="12"/>
      <name val="견고딕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0"/>
      <color indexed="10"/>
      <name val="굴림체"/>
      <family val="3"/>
      <charset val="129"/>
    </font>
    <font>
      <sz val="9"/>
      <color indexed="10"/>
      <name val="굴림체"/>
      <family val="3"/>
      <charset val="129"/>
    </font>
    <font>
      <sz val="9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821">
    <xf numFmtId="37" fontId="0" fillId="0" borderId="0"/>
    <xf numFmtId="0" fontId="18" fillId="0" borderId="0"/>
    <xf numFmtId="0" fontId="26" fillId="0" borderId="1">
      <alignment horizontal="centerContinuous" vertical="center"/>
    </xf>
    <xf numFmtId="41" fontId="2" fillId="0" borderId="0" applyFont="0" applyFill="0" applyBorder="0" applyAlignment="0" applyProtection="0">
      <alignment vertical="center"/>
    </xf>
    <xf numFmtId="0" fontId="10" fillId="0" borderId="0"/>
    <xf numFmtId="0" fontId="4" fillId="0" borderId="0"/>
    <xf numFmtId="0" fontId="4" fillId="0" borderId="0"/>
    <xf numFmtId="0" fontId="28" fillId="0" borderId="0"/>
    <xf numFmtId="177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10" fillId="0" borderId="0">
      <protection locked="0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46" fillId="0" borderId="0" applyFont="0" applyFill="0" applyBorder="0" applyAlignment="0" applyProtection="0"/>
    <xf numFmtId="178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5" fillId="0" borderId="0"/>
    <xf numFmtId="4" fontId="17" fillId="0" borderId="0">
      <protection locked="0"/>
    </xf>
    <xf numFmtId="0" fontId="15" fillId="0" borderId="0" applyFont="0" applyFill="0" applyBorder="0" applyAlignment="0" applyProtection="0"/>
    <xf numFmtId="188" fontId="17" fillId="0" borderId="0">
      <protection locked="0"/>
    </xf>
    <xf numFmtId="0" fontId="15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6" fillId="0" borderId="0"/>
    <xf numFmtId="0" fontId="15" fillId="0" borderId="0"/>
    <xf numFmtId="189" fontId="17" fillId="0" borderId="0">
      <protection locked="0"/>
    </xf>
    <xf numFmtId="177" fontId="4" fillId="0" borderId="0" applyFont="0" applyFill="0" applyBorder="0" applyAlignment="0" applyProtection="0"/>
    <xf numFmtId="0" fontId="29" fillId="2" borderId="5" applyProtection="0">
      <alignment horizontal="center"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48" fillId="0" borderId="0"/>
    <xf numFmtId="0" fontId="14" fillId="0" borderId="0"/>
    <xf numFmtId="0" fontId="4" fillId="0" borderId="0" applyFon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3" fillId="0" borderId="0"/>
    <xf numFmtId="49" fontId="14" fillId="0" borderId="0" applyBorder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4" fillId="0" borderId="0"/>
    <xf numFmtId="0" fontId="4" fillId="0" borderId="0" applyProtection="0"/>
    <xf numFmtId="0" fontId="4" fillId="0" borderId="0"/>
    <xf numFmtId="0" fontId="4" fillId="0" borderId="0" applyFont="0" applyFill="0" applyBorder="0" applyAlignment="0" applyProtection="0"/>
    <xf numFmtId="0" fontId="4" fillId="0" borderId="0"/>
    <xf numFmtId="0" fontId="4" fillId="0" borderId="0" applyFont="0" applyFill="0" applyBorder="0" applyAlignment="0" applyProtection="0"/>
    <xf numFmtId="0" fontId="18" fillId="0" borderId="1">
      <alignment horizontal="centerContinuous" vertical="center"/>
    </xf>
    <xf numFmtId="3" fontId="4" fillId="0" borderId="0">
      <alignment vertical="center"/>
    </xf>
    <xf numFmtId="183" fontId="4" fillId="0" borderId="0">
      <alignment vertical="center"/>
    </xf>
    <xf numFmtId="4" fontId="4" fillId="0" borderId="0">
      <alignment vertical="center"/>
    </xf>
    <xf numFmtId="196" fontId="4" fillId="0" borderId="0">
      <alignment vertical="center"/>
    </xf>
    <xf numFmtId="3" fontId="4" fillId="0" borderId="0">
      <alignment vertical="center"/>
    </xf>
    <xf numFmtId="0" fontId="18" fillId="0" borderId="1">
      <alignment horizontal="centerContinuous" vertical="center"/>
    </xf>
    <xf numFmtId="177" fontId="55" fillId="0" borderId="0" applyFont="0" applyFill="0" applyBorder="0" applyAlignment="0" applyProtection="0"/>
    <xf numFmtId="0" fontId="16" fillId="0" borderId="0">
      <alignment vertical="center"/>
    </xf>
    <xf numFmtId="0" fontId="94" fillId="0" borderId="0">
      <alignment vertical="center"/>
    </xf>
    <xf numFmtId="0" fontId="16" fillId="0" borderId="0">
      <alignment vertical="center"/>
    </xf>
    <xf numFmtId="0" fontId="95" fillId="0" borderId="0"/>
    <xf numFmtId="0" fontId="74" fillId="0" borderId="0" applyFont="0" applyFill="0" applyBorder="0" applyAlignment="0" applyProtection="0"/>
    <xf numFmtId="0" fontId="4" fillId="0" borderId="0"/>
    <xf numFmtId="0" fontId="4" fillId="0" borderId="0"/>
    <xf numFmtId="0" fontId="15" fillId="0" borderId="0"/>
    <xf numFmtId="0" fontId="27" fillId="0" borderId="0" applyFont="0" applyFill="0" applyBorder="0" applyAlignment="0" applyProtection="0"/>
    <xf numFmtId="0" fontId="15" fillId="0" borderId="0"/>
    <xf numFmtId="0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27" fillId="0" borderId="0" applyFont="0" applyFill="0" applyBorder="0" applyAlignment="0" applyProtection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 applyFont="0" applyFill="0" applyBorder="0" applyAlignment="0" applyProtection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177" fontId="4" fillId="0" borderId="0" applyFont="0" applyFill="0" applyBorder="0" applyAlignment="0" applyProtection="0"/>
    <xf numFmtId="0" fontId="15" fillId="0" borderId="0"/>
    <xf numFmtId="177" fontId="79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/>
    <xf numFmtId="177" fontId="4" fillId="0" borderId="0" applyFont="0" applyFill="0" applyBorder="0" applyAlignment="0" applyProtection="0"/>
    <xf numFmtId="0" fontId="4" fillId="0" borderId="0"/>
    <xf numFmtId="0" fontId="4" fillId="0" borderId="0"/>
    <xf numFmtId="177" fontId="4" fillId="0" borderId="0" applyFont="0" applyFill="0" applyBorder="0" applyAlignment="0" applyProtection="0"/>
    <xf numFmtId="0" fontId="56" fillId="0" borderId="0"/>
    <xf numFmtId="177" fontId="79" fillId="0" borderId="0" applyFont="0" applyFill="0" applyBorder="0" applyAlignment="0" applyProtection="0"/>
    <xf numFmtId="0" fontId="15" fillId="0" borderId="0"/>
    <xf numFmtId="0" fontId="27" fillId="0" borderId="0" applyFont="0" applyFill="0" applyBorder="0" applyAlignment="0" applyProtection="0"/>
    <xf numFmtId="0" fontId="56" fillId="0" borderId="0"/>
    <xf numFmtId="0" fontId="15" fillId="0" borderId="0"/>
    <xf numFmtId="0" fontId="2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208" fontId="4" fillId="0" borderId="0" applyFont="0" applyFill="0" applyBorder="0" applyAlignment="0" applyProtection="0"/>
    <xf numFmtId="209" fontId="15" fillId="0" borderId="0" applyFont="0" applyFill="0" applyBorder="0" applyAlignment="0" applyProtection="0"/>
    <xf numFmtId="0" fontId="15" fillId="0" borderId="0"/>
    <xf numFmtId="0" fontId="27" fillId="0" borderId="0"/>
    <xf numFmtId="0" fontId="28" fillId="0" borderId="0"/>
    <xf numFmtId="0" fontId="15" fillId="0" borderId="0"/>
    <xf numFmtId="0" fontId="96" fillId="0" borderId="0"/>
    <xf numFmtId="0" fontId="97" fillId="0" borderId="0"/>
    <xf numFmtId="3" fontId="98" fillId="0" borderId="0"/>
    <xf numFmtId="0" fontId="15" fillId="0" borderId="0" applyBorder="0"/>
    <xf numFmtId="191" fontId="16" fillId="0" borderId="0"/>
    <xf numFmtId="177" fontId="15" fillId="0" borderId="0" applyFont="0" applyFill="0" applyBorder="0" applyAlignment="0" applyProtection="0"/>
    <xf numFmtId="0" fontId="99" fillId="0" borderId="3"/>
    <xf numFmtId="0" fontId="15" fillId="0" borderId="0">
      <alignment wrapText="1"/>
    </xf>
    <xf numFmtId="0" fontId="60" fillId="0" borderId="0"/>
    <xf numFmtId="3" fontId="56" fillId="0" borderId="0"/>
    <xf numFmtId="0" fontId="100" fillId="0" borderId="0"/>
    <xf numFmtId="0" fontId="95" fillId="0" borderId="0"/>
    <xf numFmtId="212" fontId="16" fillId="0" borderId="0" applyFont="0" applyFill="0" applyBorder="0" applyAlignment="0" applyProtection="0"/>
    <xf numFmtId="3" fontId="60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" fillId="0" borderId="0"/>
    <xf numFmtId="0" fontId="15" fillId="0" borderId="0"/>
    <xf numFmtId="0" fontId="27" fillId="0" borderId="0" applyFont="0" applyFill="0" applyBorder="0" applyAlignment="0" applyProtection="0"/>
    <xf numFmtId="0" fontId="15" fillId="0" borderId="0"/>
    <xf numFmtId="0" fontId="15" fillId="0" borderId="0"/>
    <xf numFmtId="177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5" fillId="0" borderId="0"/>
    <xf numFmtId="0" fontId="15" fillId="0" borderId="0"/>
    <xf numFmtId="0" fontId="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0" fontId="15" fillId="0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5" fillId="0" borderId="0"/>
    <xf numFmtId="0" fontId="17" fillId="0" borderId="0">
      <protection locked="0"/>
    </xf>
    <xf numFmtId="0" fontId="17" fillId="0" borderId="0"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214" fontId="13" fillId="0" borderId="0">
      <protection locked="0"/>
    </xf>
    <xf numFmtId="214" fontId="14" fillId="0" borderId="0">
      <protection locked="0"/>
    </xf>
    <xf numFmtId="214" fontId="13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0" fontId="10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215" fontId="10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197" fontId="17" fillId="0" borderId="0">
      <protection locked="0"/>
    </xf>
    <xf numFmtId="215" fontId="10" fillId="0" borderId="0">
      <protection locked="0"/>
    </xf>
    <xf numFmtId="197" fontId="17" fillId="0" borderId="0">
      <protection locked="0"/>
    </xf>
    <xf numFmtId="177" fontId="92" fillId="0" borderId="0" applyFont="0" applyFill="0" applyBorder="0" applyAlignment="0" applyProtection="0"/>
    <xf numFmtId="9" fontId="18" fillId="0" borderId="0">
      <alignment vertical="center"/>
    </xf>
    <xf numFmtId="195" fontId="57" fillId="0" borderId="19" applyFill="0" applyProtection="0">
      <alignment horizontal="center"/>
    </xf>
    <xf numFmtId="3" fontId="55" fillId="0" borderId="7"/>
    <xf numFmtId="0" fontId="18" fillId="0" borderId="0">
      <alignment vertical="center"/>
    </xf>
    <xf numFmtId="3" fontId="55" fillId="0" borderId="7"/>
    <xf numFmtId="10" fontId="18" fillId="0" borderId="0">
      <alignment vertical="center"/>
    </xf>
    <xf numFmtId="0" fontId="18" fillId="0" borderId="0">
      <alignment vertical="center"/>
    </xf>
    <xf numFmtId="198" fontId="10" fillId="0" borderId="0">
      <alignment vertical="center"/>
    </xf>
    <xf numFmtId="0" fontId="16" fillId="0" borderId="0"/>
    <xf numFmtId="0" fontId="16" fillId="0" borderId="0"/>
    <xf numFmtId="3" fontId="101" fillId="0" borderId="4">
      <alignment horizontal="right" vertical="center"/>
    </xf>
    <xf numFmtId="0" fontId="16" fillId="0" borderId="0"/>
    <xf numFmtId="38" fontId="108" fillId="0" borderId="5">
      <alignment horizontal="right" vertical="center"/>
      <protection locked="0"/>
    </xf>
    <xf numFmtId="0" fontId="15" fillId="0" borderId="0" applyNumberFormat="0" applyFill="0" applyBorder="0" applyAlignment="0" applyProtection="0"/>
    <xf numFmtId="2" fontId="101" fillId="0" borderId="4">
      <alignment horizontal="right" vertical="center"/>
    </xf>
    <xf numFmtId="0" fontId="4" fillId="0" borderId="0"/>
    <xf numFmtId="0" fontId="4" fillId="0" borderId="30">
      <alignment horizontal="center"/>
    </xf>
    <xf numFmtId="0" fontId="17" fillId="0" borderId="0">
      <protection locked="0"/>
    </xf>
    <xf numFmtId="0" fontId="17" fillId="0" borderId="0">
      <protection locked="0"/>
    </xf>
    <xf numFmtId="9" fontId="4" fillId="0" borderId="0">
      <protection locked="0"/>
    </xf>
    <xf numFmtId="0" fontId="9" fillId="0" borderId="6">
      <alignment horizontal="center" vertical="center"/>
    </xf>
    <xf numFmtId="0" fontId="12" fillId="0" borderId="5" applyProtection="0">
      <alignment horizontal="left" vertical="center" wrapText="1"/>
    </xf>
    <xf numFmtId="200" fontId="16" fillId="7" borderId="31">
      <alignment horizontal="center" vertical="center"/>
    </xf>
    <xf numFmtId="176" fontId="14" fillId="0" borderId="0" applyFont="0" applyFill="0" applyBorder="0" applyAlignment="0" applyProtection="0"/>
    <xf numFmtId="42" fontId="109" fillId="0" borderId="0" applyFont="0" applyFill="0" applyBorder="0" applyAlignment="0" applyProtection="0"/>
    <xf numFmtId="42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42" fontId="109" fillId="0" borderId="0" applyFont="0" applyFill="0" applyBorder="0" applyAlignment="0" applyProtection="0"/>
    <xf numFmtId="42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176" fontId="14" fillId="0" borderId="0" applyFont="0" applyFill="0" applyBorder="0" applyAlignment="0" applyProtection="0"/>
    <xf numFmtId="42" fontId="109" fillId="0" borderId="0" applyFont="0" applyFill="0" applyBorder="0" applyAlignment="0" applyProtection="0"/>
    <xf numFmtId="42" fontId="110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1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216" fontId="13" fillId="0" borderId="0" applyFont="0" applyFill="0" applyBorder="0" applyAlignment="0" applyProtection="0"/>
    <xf numFmtId="216" fontId="14" fillId="0" borderId="0" applyFont="0" applyFill="0" applyBorder="0" applyAlignment="0" applyProtection="0"/>
    <xf numFmtId="217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210" fontId="10" fillId="0" borderId="0" applyFont="0" applyFill="0" applyBorder="0" applyAlignment="0" applyProtection="0"/>
    <xf numFmtId="42" fontId="110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1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1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178" fontId="14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10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11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218" fontId="13" fillId="0" borderId="0" applyFont="0" applyFill="0" applyBorder="0" applyAlignment="0" applyProtection="0"/>
    <xf numFmtId="218" fontId="14" fillId="0" borderId="0" applyFont="0" applyFill="0" applyBorder="0" applyAlignment="0" applyProtection="0"/>
    <xf numFmtId="219" fontId="15" fillId="0" borderId="0" applyFont="0" applyFill="0" applyBorder="0" applyAlignment="0" applyProtection="0"/>
    <xf numFmtId="219" fontId="15" fillId="0" borderId="0" applyFont="0" applyFill="0" applyBorder="0" applyAlignment="0" applyProtection="0"/>
    <xf numFmtId="180" fontId="10" fillId="0" borderId="0" applyFont="0" applyFill="0" applyBorder="0" applyAlignment="0" applyProtection="0"/>
    <xf numFmtId="44" fontId="110" fillId="0" borderId="0" applyFont="0" applyFill="0" applyBorder="0" applyAlignment="0" applyProtection="0"/>
    <xf numFmtId="181" fontId="14" fillId="0" borderId="0">
      <protection locked="0"/>
    </xf>
    <xf numFmtId="181" fontId="13" fillId="0" borderId="0">
      <protection locked="0"/>
    </xf>
    <xf numFmtId="180" fontId="4" fillId="0" borderId="0" applyFont="0" applyFill="0" applyBorder="0" applyAlignment="0" applyProtection="0"/>
    <xf numFmtId="0" fontId="56" fillId="0" borderId="0"/>
    <xf numFmtId="177" fontId="14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1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1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10" fillId="0" borderId="0" applyFont="0" applyFill="0" applyBorder="0" applyAlignment="0" applyProtection="0"/>
    <xf numFmtId="177" fontId="11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41" fontId="109" fillId="0" borderId="0" applyFont="0" applyFill="0" applyBorder="0" applyAlignment="0" applyProtection="0"/>
    <xf numFmtId="41" fontId="110" fillId="0" borderId="0" applyFont="0" applyFill="0" applyBorder="0" applyAlignment="0" applyProtection="0"/>
    <xf numFmtId="179" fontId="1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09" fillId="0" borderId="0" applyFont="0" applyFill="0" applyBorder="0" applyAlignment="0" applyProtection="0"/>
    <xf numFmtId="0" fontId="11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0" fillId="0" borderId="0" applyFont="0" applyFill="0" applyBorder="0" applyAlignment="0" applyProtection="0"/>
    <xf numFmtId="179" fontId="110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3" fillId="0" borderId="0" applyFont="0" applyFill="0" applyBorder="0" applyAlignment="0" applyProtection="0"/>
    <xf numFmtId="179" fontId="1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10" fillId="0" borderId="0" applyFont="0" applyFill="0" applyBorder="0" applyAlignment="0" applyProtection="0"/>
    <xf numFmtId="4" fontId="17" fillId="0" borderId="0">
      <protection locked="0"/>
    </xf>
    <xf numFmtId="220" fontId="14" fillId="0" borderId="0">
      <protection locked="0"/>
    </xf>
    <xf numFmtId="4" fontId="17" fillId="0" borderId="0">
      <protection locked="0"/>
    </xf>
    <xf numFmtId="220" fontId="13" fillId="0" borderId="0">
      <protection locked="0"/>
    </xf>
    <xf numFmtId="0" fontId="10" fillId="0" borderId="0" applyFont="0" applyFill="0" applyBorder="0" applyAlignment="0" applyProtection="0"/>
    <xf numFmtId="0" fontId="14" fillId="0" borderId="0"/>
    <xf numFmtId="37" fontId="13" fillId="0" borderId="0"/>
    <xf numFmtId="37" fontId="14" fillId="0" borderId="0"/>
    <xf numFmtId="37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10" fillId="0" borderId="0"/>
    <xf numFmtId="0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84" fillId="0" borderId="0"/>
    <xf numFmtId="0" fontId="85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2" fontId="13" fillId="0" borderId="0"/>
    <xf numFmtId="2" fontId="14" fillId="0" borderId="0"/>
    <xf numFmtId="2" fontId="13" fillId="0" borderId="0"/>
    <xf numFmtId="0" fontId="14" fillId="0" borderId="0"/>
    <xf numFmtId="0" fontId="13" fillId="0" borderId="0"/>
    <xf numFmtId="37" fontId="14" fillId="0" borderId="0"/>
    <xf numFmtId="37" fontId="13" fillId="0" borderId="0"/>
    <xf numFmtId="0" fontId="110" fillId="0" borderId="0"/>
    <xf numFmtId="37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37" fontId="14" fillId="0" borderId="0"/>
    <xf numFmtId="37" fontId="13" fillId="0" borderId="0"/>
    <xf numFmtId="37" fontId="14" fillId="0" borderId="0"/>
    <xf numFmtId="0" fontId="35" fillId="0" borderId="0"/>
    <xf numFmtId="0" fontId="111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0" fontId="13" fillId="0" borderId="0"/>
    <xf numFmtId="0" fontId="14" fillId="0" borderId="0"/>
    <xf numFmtId="0" fontId="13" fillId="0" borderId="0"/>
    <xf numFmtId="0" fontId="110" fillId="0" borderId="0"/>
    <xf numFmtId="0" fontId="109" fillId="0" borderId="0"/>
    <xf numFmtId="0" fontId="14" fillId="0" borderId="0"/>
    <xf numFmtId="0" fontId="13" fillId="0" borderId="0"/>
    <xf numFmtId="37" fontId="14" fillId="0" borderId="0"/>
    <xf numFmtId="37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10" fillId="0" borderId="0"/>
    <xf numFmtId="0" fontId="109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4" fillId="0" borderId="0"/>
    <xf numFmtId="0" fontId="13" fillId="0" borderId="0"/>
    <xf numFmtId="0" fontId="112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11" fillId="0" borderId="0"/>
    <xf numFmtId="0" fontId="35" fillId="0" borderId="0"/>
    <xf numFmtId="0" fontId="111" fillId="0" borderId="0"/>
    <xf numFmtId="0" fontId="35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13" fillId="0" borderId="0"/>
    <xf numFmtId="0" fontId="13" fillId="0" borderId="0"/>
    <xf numFmtId="0" fontId="14" fillId="0" borderId="0"/>
    <xf numFmtId="0" fontId="52" fillId="0" borderId="0"/>
    <xf numFmtId="0" fontId="113" fillId="0" borderId="0"/>
    <xf numFmtId="0" fontId="52" fillId="0" borderId="0"/>
    <xf numFmtId="0" fontId="113" fillId="0" borderId="0"/>
    <xf numFmtId="0" fontId="52" fillId="0" borderId="0"/>
    <xf numFmtId="0" fontId="110" fillId="0" borderId="0"/>
    <xf numFmtId="0" fontId="109" fillId="0" borderId="0"/>
    <xf numFmtId="0" fontId="114" fillId="0" borderId="0"/>
    <xf numFmtId="0" fontId="115" fillId="0" borderId="0"/>
    <xf numFmtId="0" fontId="15" fillId="0" borderId="0"/>
    <xf numFmtId="0" fontId="116" fillId="0" borderId="0"/>
    <xf numFmtId="0" fontId="117" fillId="0" borderId="0"/>
    <xf numFmtId="0" fontId="116" fillId="0" borderId="0"/>
    <xf numFmtId="0" fontId="14" fillId="0" borderId="0"/>
    <xf numFmtId="0" fontId="13" fillId="0" borderId="0"/>
    <xf numFmtId="0" fontId="14" fillId="0" borderId="0"/>
    <xf numFmtId="0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37" fontId="14" fillId="0" borderId="0"/>
    <xf numFmtId="37" fontId="13" fillId="0" borderId="0"/>
    <xf numFmtId="0" fontId="111" fillId="0" borderId="0"/>
    <xf numFmtId="0" fontId="35" fillId="0" borderId="0"/>
    <xf numFmtId="0" fontId="111" fillId="0" borderId="0"/>
    <xf numFmtId="0" fontId="35" fillId="0" borderId="0"/>
    <xf numFmtId="0" fontId="14" fillId="0" borderId="0"/>
    <xf numFmtId="0" fontId="13" fillId="0" borderId="0"/>
    <xf numFmtId="0" fontId="110" fillId="0" borderId="0"/>
    <xf numFmtId="0" fontId="109" fillId="0" borderId="0"/>
    <xf numFmtId="0" fontId="10" fillId="0" borderId="0" applyFill="0" applyBorder="0" applyAlignment="0"/>
    <xf numFmtId="0" fontId="62" fillId="0" borderId="0"/>
    <xf numFmtId="0" fontId="90" fillId="0" borderId="0" applyNumberFormat="0" applyFill="0" applyBorder="0" applyAlignment="0" applyProtection="0">
      <alignment vertical="top"/>
      <protection locked="0"/>
    </xf>
    <xf numFmtId="0" fontId="17" fillId="0" borderId="32">
      <protection locked="0"/>
    </xf>
    <xf numFmtId="0" fontId="17" fillId="0" borderId="32">
      <protection locked="0"/>
    </xf>
    <xf numFmtId="213" fontId="16" fillId="0" borderId="0" applyFont="0" applyFill="0" applyBorder="0" applyAlignment="0" applyProtection="0"/>
    <xf numFmtId="177" fontId="15" fillId="0" borderId="0" applyFont="0" applyFill="0" applyBorder="0" applyAlignment="0" applyProtection="0"/>
    <xf numFmtId="0" fontId="21" fillId="0" borderId="0"/>
    <xf numFmtId="4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03" fillId="0" borderId="0" applyNumberFormat="0" applyAlignment="0">
      <alignment horizontal="left"/>
    </xf>
    <xf numFmtId="0" fontId="27" fillId="0" borderId="0" applyFont="0" applyFill="0" applyBorder="0" applyAlignment="0" applyProtection="0"/>
    <xf numFmtId="211" fontId="34" fillId="0" borderId="7" applyFill="0" applyBorder="0" applyAlignment="0"/>
    <xf numFmtId="194" fontId="4" fillId="0" borderId="0" applyFont="0" applyFill="0" applyBorder="0" applyAlignment="0" applyProtection="0"/>
    <xf numFmtId="0" fontId="15" fillId="0" borderId="0" applyFont="0" applyFill="0" applyBorder="0" applyAlignment="0" applyProtection="0"/>
    <xf numFmtId="38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201" fontId="21" fillId="0" borderId="0"/>
    <xf numFmtId="221" fontId="13" fillId="0" borderId="0">
      <protection locked="0"/>
    </xf>
    <xf numFmtId="221" fontId="14" fillId="0" borderId="0">
      <protection locked="0"/>
    </xf>
    <xf numFmtId="221" fontId="13" fillId="0" borderId="0">
      <protection locked="0"/>
    </xf>
    <xf numFmtId="222" fontId="13" fillId="0" borderId="0">
      <protection locked="0"/>
    </xf>
    <xf numFmtId="222" fontId="14" fillId="0" borderId="0">
      <protection locked="0"/>
    </xf>
    <xf numFmtId="222" fontId="13" fillId="0" borderId="0">
      <protection locked="0"/>
    </xf>
    <xf numFmtId="0" fontId="104" fillId="0" borderId="0" applyNumberFormat="0" applyAlignment="0">
      <alignment horizontal="left"/>
    </xf>
    <xf numFmtId="0" fontId="17" fillId="0" borderId="0">
      <protection locked="0"/>
    </xf>
    <xf numFmtId="0" fontId="17" fillId="0" borderId="0">
      <protection locked="0"/>
    </xf>
    <xf numFmtId="0" fontId="93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93" fillId="0" borderId="0">
      <protection locked="0"/>
    </xf>
    <xf numFmtId="2" fontId="15" fillId="0" borderId="0" applyFont="0" applyFill="0" applyBorder="0" applyAlignment="0" applyProtection="0"/>
    <xf numFmtId="177" fontId="4" fillId="0" borderId="0" applyFont="0" applyFill="0" applyBorder="0" applyAlignment="0" applyProtection="0"/>
    <xf numFmtId="38" fontId="60" fillId="2" borderId="0" applyNumberFormat="0" applyBorder="0" applyAlignment="0" applyProtection="0"/>
    <xf numFmtId="3" fontId="18" fillId="0" borderId="33">
      <alignment horizontal="right" vertical="center"/>
    </xf>
    <xf numFmtId="4" fontId="18" fillId="0" borderId="33">
      <alignment horizontal="right" vertical="center"/>
    </xf>
    <xf numFmtId="0" fontId="63" fillId="0" borderId="0">
      <alignment horizontal="left"/>
    </xf>
    <xf numFmtId="0" fontId="58" fillId="0" borderId="34" applyNumberFormat="0" applyAlignment="0" applyProtection="0">
      <alignment horizontal="left" vertical="center"/>
    </xf>
    <xf numFmtId="0" fontId="58" fillId="0" borderId="8">
      <alignment horizontal="left" vertical="center"/>
    </xf>
    <xf numFmtId="0" fontId="6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202" fontId="16" fillId="0" borderId="0">
      <protection locked="0"/>
    </xf>
    <xf numFmtId="202" fontId="16" fillId="0" borderId="0">
      <protection locked="0"/>
    </xf>
    <xf numFmtId="0" fontId="118" fillId="0" borderId="0" applyNumberFormat="0" applyFill="0" applyBorder="0" applyAlignment="0" applyProtection="0"/>
    <xf numFmtId="0" fontId="75" fillId="0" borderId="35" applyNumberFormat="0" applyFill="0" applyAlignment="0" applyProtection="0"/>
    <xf numFmtId="0" fontId="59" fillId="0" borderId="0" applyNumberFormat="0" applyFill="0" applyBorder="0" applyAlignment="0" applyProtection="0"/>
    <xf numFmtId="10" fontId="60" fillId="8" borderId="7" applyNumberFormat="0" applyBorder="0" applyAlignment="0" applyProtection="0"/>
    <xf numFmtId="177" fontId="5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0" fontId="65" fillId="0" borderId="9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37" fontId="66" fillId="0" borderId="0"/>
    <xf numFmtId="193" fontId="4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/>
    <xf numFmtId="0" fontId="86" fillId="0" borderId="0"/>
    <xf numFmtId="10" fontId="15" fillId="0" borderId="0" applyFont="0" applyFill="0" applyBorder="0" applyAlignment="0" applyProtection="0"/>
    <xf numFmtId="189" fontId="17" fillId="0" borderId="0">
      <protection locked="0"/>
    </xf>
    <xf numFmtId="0" fontId="86" fillId="0" borderId="0" applyNumberFormat="0" applyFill="0" applyBorder="0">
      <alignment horizontal="left"/>
    </xf>
    <xf numFmtId="30" fontId="105" fillId="0" borderId="0" applyNumberFormat="0" applyFill="0" applyBorder="0" applyAlignment="0" applyProtection="0">
      <alignment horizontal="left"/>
    </xf>
    <xf numFmtId="177" fontId="55" fillId="0" borderId="0" applyFont="0" applyFill="0" applyBorder="0" applyAlignment="0" applyProtection="0"/>
    <xf numFmtId="0" fontId="56" fillId="0" borderId="0"/>
    <xf numFmtId="0" fontId="87" fillId="0" borderId="0">
      <alignment horizontal="center" vertical="center"/>
    </xf>
    <xf numFmtId="0" fontId="65" fillId="0" borderId="0"/>
    <xf numFmtId="40" fontId="106" fillId="0" borderId="0" applyBorder="0">
      <alignment horizontal="right"/>
    </xf>
    <xf numFmtId="0" fontId="119" fillId="2" borderId="0">
      <alignment horizontal="centerContinuous"/>
    </xf>
    <xf numFmtId="0" fontId="67" fillId="0" borderId="0" applyFill="0" applyBorder="0" applyProtection="0">
      <alignment horizontal="centerContinuous" vertical="center"/>
    </xf>
    <xf numFmtId="0" fontId="16" fillId="3" borderId="0" applyFill="0" applyBorder="0" applyProtection="0">
      <alignment horizontal="center" vertical="center"/>
    </xf>
    <xf numFmtId="0" fontId="15" fillId="0" borderId="32" applyNumberFormat="0" applyFont="0" applyFill="0" applyAlignment="0" applyProtection="0"/>
    <xf numFmtId="0" fontId="31" fillId="0" borderId="30">
      <alignment horizontal="left"/>
    </xf>
    <xf numFmtId="0" fontId="88" fillId="0" borderId="0"/>
    <xf numFmtId="37" fontId="60" fillId="9" borderId="0" applyNumberFormat="0" applyBorder="0" applyAlignment="0" applyProtection="0"/>
    <xf numFmtId="37" fontId="60" fillId="0" borderId="0"/>
    <xf numFmtId="3" fontId="78" fillId="0" borderId="35" applyProtection="0"/>
    <xf numFmtId="207" fontId="4" fillId="0" borderId="0" applyFont="0" applyFill="0" applyBorder="0" applyAlignment="0" applyProtection="0"/>
    <xf numFmtId="205" fontId="56" fillId="0" borderId="0" applyFont="0" applyFill="0" applyBorder="0" applyAlignment="0" applyProtection="0"/>
    <xf numFmtId="206" fontId="56" fillId="0" borderId="0" applyFont="0" applyFill="0" applyBorder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209" fontId="15" fillId="0" borderId="0" applyFont="0" applyFill="0" applyBorder="0" applyAlignment="0" applyProtection="0"/>
    <xf numFmtId="0" fontId="15" fillId="0" borderId="0"/>
    <xf numFmtId="38" fontId="16" fillId="0" borderId="0"/>
    <xf numFmtId="2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78" fontId="10" fillId="0" borderId="0"/>
    <xf numFmtId="184" fontId="80" fillId="0" borderId="5">
      <alignment horizontal="right" vertical="center"/>
    </xf>
    <xf numFmtId="38" fontId="12" fillId="0" borderId="0"/>
    <xf numFmtId="0" fontId="11" fillId="0" borderId="0" applyFont="0" applyBorder="0" applyAlignment="0">
      <alignment horizontal="left" vertical="center"/>
    </xf>
    <xf numFmtId="0" fontId="81" fillId="0" borderId="10" applyFill="0"/>
    <xf numFmtId="0" fontId="68" fillId="0" borderId="0" applyFont="0" applyFill="0" applyBorder="0" applyAlignment="0" applyProtection="0"/>
    <xf numFmtId="0" fontId="82" fillId="0" borderId="0">
      <alignment vertical="center"/>
    </xf>
    <xf numFmtId="3" fontId="56" fillId="0" borderId="11">
      <alignment horizontal="center"/>
    </xf>
    <xf numFmtId="0" fontId="29" fillId="0" borderId="5">
      <alignment horizontal="center" vertical="center"/>
    </xf>
    <xf numFmtId="0" fontId="4" fillId="10" borderId="0">
      <alignment horizontal="left"/>
    </xf>
    <xf numFmtId="0" fontId="29" fillId="0" borderId="5">
      <alignment horizontal="center" vertical="center"/>
    </xf>
    <xf numFmtId="0" fontId="68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9" fontId="12" fillId="3" borderId="0" applyFill="0" applyBorder="0" applyProtection="0">
      <alignment horizontal="right"/>
    </xf>
    <xf numFmtId="10" fontId="12" fillId="0" borderId="0" applyFill="0" applyBorder="0" applyProtection="0">
      <alignment horizontal="right"/>
    </xf>
    <xf numFmtId="9" fontId="10" fillId="0" borderId="0" applyFont="0" applyFill="0" applyBorder="0" applyAlignment="0" applyProtection="0">
      <alignment vertical="center"/>
    </xf>
    <xf numFmtId="0" fontId="72" fillId="0" borderId="0"/>
    <xf numFmtId="223" fontId="71" fillId="0" borderId="12" applyBorder="0"/>
    <xf numFmtId="185" fontId="81" fillId="0" borderId="5">
      <alignment vertical="center"/>
    </xf>
    <xf numFmtId="3" fontId="6" fillId="0" borderId="7"/>
    <xf numFmtId="0" fontId="6" fillId="0" borderId="7"/>
    <xf numFmtId="3" fontId="6" fillId="0" borderId="13"/>
    <xf numFmtId="3" fontId="6" fillId="0" borderId="14"/>
    <xf numFmtId="0" fontId="19" fillId="0" borderId="7"/>
    <xf numFmtId="0" fontId="20" fillId="0" borderId="0">
      <alignment horizontal="center"/>
    </xf>
    <xf numFmtId="0" fontId="3" fillId="0" borderId="36">
      <alignment horizontal="center"/>
    </xf>
    <xf numFmtId="0" fontId="61" fillId="0" borderId="7" applyFont="0" applyFill="0" applyBorder="0" applyAlignment="0" applyProtection="0"/>
    <xf numFmtId="0" fontId="30" fillId="0" borderId="0">
      <alignment vertical="center"/>
    </xf>
    <xf numFmtId="180" fontId="73" fillId="0" borderId="0">
      <alignment vertical="center"/>
    </xf>
    <xf numFmtId="177" fontId="4" fillId="0" borderId="0" applyFon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208" fontId="4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6" fillId="0" borderId="0"/>
    <xf numFmtId="0" fontId="4" fillId="0" borderId="0"/>
    <xf numFmtId="0" fontId="76" fillId="0" borderId="0"/>
    <xf numFmtId="177" fontId="10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76" fillId="0" borderId="0"/>
    <xf numFmtId="0" fontId="15" fillId="0" borderId="0"/>
    <xf numFmtId="0" fontId="4" fillId="0" borderId="0"/>
    <xf numFmtId="208" fontId="4" fillId="0" borderId="0" applyFont="0" applyFill="0" applyBorder="0" applyAlignment="0" applyProtection="0"/>
    <xf numFmtId="0" fontId="74" fillId="0" borderId="37"/>
    <xf numFmtId="0" fontId="89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20" fillId="0" borderId="0">
      <alignment horizontal="center"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4" fillId="0" borderId="0"/>
    <xf numFmtId="0" fontId="29" fillId="0" borderId="5" applyFill="0" applyProtection="0">
      <alignment horizontal="center" vertical="center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41" fontId="10" fillId="0" borderId="0" applyFont="0" applyFill="0" applyBorder="0" applyAlignment="0" applyProtection="0"/>
    <xf numFmtId="192" fontId="12" fillId="3" borderId="0" applyFill="0" applyBorder="0" applyProtection="0">
      <alignment horizontal="right"/>
    </xf>
    <xf numFmtId="0" fontId="16" fillId="0" borderId="0"/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0" fontId="68" fillId="0" borderId="0" applyFont="0" applyFill="0" applyBorder="0" applyAlignment="0" applyProtection="0"/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197" fontId="102" fillId="0" borderId="0">
      <protection locked="0"/>
    </xf>
    <xf numFmtId="0" fontId="10" fillId="0" borderId="0"/>
    <xf numFmtId="0" fontId="122" fillId="0" borderId="0">
      <alignment vertical="center"/>
    </xf>
    <xf numFmtId="0" fontId="10" fillId="0" borderId="0"/>
    <xf numFmtId="37" fontId="4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121" fillId="0" borderId="0">
      <alignment vertical="center"/>
    </xf>
    <xf numFmtId="0" fontId="10" fillId="0" borderId="0">
      <alignment vertical="center"/>
    </xf>
    <xf numFmtId="0" fontId="10" fillId="0" borderId="0"/>
    <xf numFmtId="0" fontId="9" fillId="0" borderId="6">
      <alignment horizontal="center" vertical="center"/>
    </xf>
    <xf numFmtId="0" fontId="27" fillId="0" borderId="5">
      <alignment horizontal="center" vertical="center" wrapText="1"/>
    </xf>
    <xf numFmtId="0" fontId="68" fillId="0" borderId="32" applyNumberFormat="0" applyFont="0" applyFill="0" applyAlignment="0" applyProtection="0"/>
    <xf numFmtId="199" fontId="15" fillId="0" borderId="0" applyFont="0" applyFill="0" applyBorder="0" applyAlignment="0" applyProtection="0"/>
    <xf numFmtId="182" fontId="68" fillId="0" borderId="0" applyFont="0" applyFill="0" applyBorder="0" applyAlignment="0" applyProtection="0"/>
    <xf numFmtId="0" fontId="56" fillId="0" borderId="0"/>
    <xf numFmtId="180" fontId="71" fillId="0" borderId="0" applyFont="0" applyFill="0" applyBorder="0" applyAlignment="0" applyProtection="0"/>
    <xf numFmtId="0" fontId="10" fillId="0" borderId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420">
    <xf numFmtId="37" fontId="0" fillId="0" borderId="0" xfId="0"/>
    <xf numFmtId="0" fontId="39" fillId="0" borderId="22" xfId="4" applyFont="1" applyFill="1" applyBorder="1"/>
    <xf numFmtId="0" fontId="39" fillId="0" borderId="27" xfId="4" applyFont="1" applyFill="1" applyBorder="1"/>
    <xf numFmtId="0" fontId="39" fillId="0" borderId="24" xfId="4" applyFont="1" applyFill="1" applyBorder="1"/>
    <xf numFmtId="0" fontId="39" fillId="0" borderId="0" xfId="4" applyFont="1" applyFill="1"/>
    <xf numFmtId="0" fontId="39" fillId="0" borderId="23" xfId="4" applyFont="1" applyFill="1" applyBorder="1"/>
    <xf numFmtId="0" fontId="39" fillId="0" borderId="25" xfId="4" applyFont="1" applyFill="1" applyBorder="1"/>
    <xf numFmtId="0" fontId="41" fillId="0" borderId="23" xfId="4" applyFont="1" applyFill="1" applyBorder="1"/>
    <xf numFmtId="0" fontId="10" fillId="0" borderId="0" xfId="4" applyFill="1"/>
    <xf numFmtId="0" fontId="45" fillId="0" borderId="23" xfId="4" applyFont="1" applyFill="1" applyBorder="1"/>
    <xf numFmtId="0" fontId="39" fillId="0" borderId="26" xfId="4" applyFont="1" applyFill="1" applyBorder="1"/>
    <xf numFmtId="0" fontId="33" fillId="0" borderId="7" xfId="0" applyNumberFormat="1" applyFont="1" applyFill="1" applyBorder="1" applyAlignment="1">
      <alignment horizontal="center" vertical="center"/>
    </xf>
    <xf numFmtId="37" fontId="11" fillId="3" borderId="7" xfId="0" quotePrefix="1" applyFont="1" applyFill="1" applyBorder="1" applyAlignment="1">
      <alignment horizontal="center" vertical="center"/>
    </xf>
    <xf numFmtId="37" fontId="24" fillId="0" borderId="0" xfId="0" applyFont="1" applyFill="1" applyBorder="1" applyAlignment="1">
      <alignment vertical="center"/>
    </xf>
    <xf numFmtId="37" fontId="25" fillId="0" borderId="0" xfId="0" applyFont="1" applyFill="1" applyBorder="1" applyAlignment="1">
      <alignment horizontal="centerContinuous" vertical="center"/>
    </xf>
    <xf numFmtId="37" fontId="6" fillId="0" borderId="0" xfId="0" applyFont="1" applyFill="1" applyBorder="1" applyAlignment="1">
      <alignment horizontal="centerContinuous" vertical="center"/>
    </xf>
    <xf numFmtId="37" fontId="6" fillId="0" borderId="0" xfId="0" applyFont="1" applyFill="1" applyBorder="1" applyAlignment="1">
      <alignment vertical="center"/>
    </xf>
    <xf numFmtId="37" fontId="7" fillId="4" borderId="7" xfId="0" applyFont="1" applyFill="1" applyBorder="1" applyAlignment="1">
      <alignment horizontal="center" vertical="center"/>
    </xf>
    <xf numFmtId="37" fontId="23" fillId="0" borderId="7" xfId="0" applyFont="1" applyFill="1" applyBorder="1" applyAlignment="1">
      <alignment vertical="center"/>
    </xf>
    <xf numFmtId="37" fontId="23" fillId="0" borderId="7" xfId="0" applyFont="1" applyFill="1" applyBorder="1" applyAlignment="1">
      <alignment horizontal="right" vertical="center"/>
    </xf>
    <xf numFmtId="37" fontId="6" fillId="0" borderId="0" xfId="0" applyFont="1" applyFill="1" applyAlignment="1">
      <alignment horizontal="right" vertical="center"/>
    </xf>
    <xf numFmtId="37" fontId="6" fillId="0" borderId="2" xfId="0" applyFont="1" applyFill="1" applyBorder="1" applyAlignment="1">
      <alignment vertical="center"/>
    </xf>
    <xf numFmtId="37" fontId="25" fillId="0" borderId="3" xfId="0" applyFont="1" applyFill="1" applyBorder="1" applyAlignment="1">
      <alignment horizontal="centerContinuous" vertical="center"/>
    </xf>
    <xf numFmtId="37" fontId="6" fillId="0" borderId="3" xfId="0" applyFont="1" applyFill="1" applyBorder="1" applyAlignment="1">
      <alignment horizontal="centerContinuous" vertical="center"/>
    </xf>
    <xf numFmtId="37" fontId="8" fillId="0" borderId="7" xfId="0" applyFont="1" applyFill="1" applyBorder="1" applyAlignment="1">
      <alignment vertical="center"/>
    </xf>
    <xf numFmtId="37" fontId="8" fillId="0" borderId="7" xfId="0" applyFont="1" applyFill="1" applyBorder="1" applyAlignment="1">
      <alignment horizontal="right" vertical="center"/>
    </xf>
    <xf numFmtId="37" fontId="18" fillId="0" borderId="0" xfId="0" applyFont="1" applyFill="1" applyAlignment="1">
      <alignment vertical="center"/>
    </xf>
    <xf numFmtId="37" fontId="18" fillId="0" borderId="0" xfId="0" applyFont="1" applyFill="1"/>
    <xf numFmtId="37" fontId="18" fillId="0" borderId="0" xfId="0" applyFont="1" applyFill="1" applyBorder="1" applyAlignment="1">
      <alignment horizontal="center" vertical="center"/>
    </xf>
    <xf numFmtId="37" fontId="18" fillId="0" borderId="0" xfId="0" applyFont="1" applyFill="1" applyAlignment="1">
      <alignment horizontal="left" vertical="center"/>
    </xf>
    <xf numFmtId="3" fontId="23" fillId="0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horizontal="left" vertical="center"/>
    </xf>
    <xf numFmtId="185" fontId="9" fillId="0" borderId="12" xfId="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vertical="center"/>
    </xf>
    <xf numFmtId="37" fontId="18" fillId="3" borderId="0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9" fillId="0" borderId="18" xfId="0" applyNumberFormat="1" applyFont="1" applyFill="1" applyBorder="1" applyAlignment="1">
      <alignment horizontal="center" vertical="center"/>
    </xf>
    <xf numFmtId="37" fontId="9" fillId="0" borderId="0" xfId="0" applyFont="1" applyFill="1" applyAlignment="1">
      <alignment horizontal="center" vertical="center"/>
    </xf>
    <xf numFmtId="37" fontId="33" fillId="3" borderId="12" xfId="0" quotePrefix="1" applyNumberFormat="1" applyFont="1" applyFill="1" applyBorder="1" applyAlignment="1">
      <alignment horizontal="center" vertical="center" shrinkToFit="1"/>
    </xf>
    <xf numFmtId="37" fontId="18" fillId="6" borderId="0" xfId="0" applyFont="1" applyFill="1" applyBorder="1" applyAlignment="1">
      <alignment horizontal="center" vertical="center"/>
    </xf>
    <xf numFmtId="0" fontId="30" fillId="0" borderId="0" xfId="4" applyFont="1" applyFill="1"/>
    <xf numFmtId="0" fontId="42" fillId="0" borderId="23" xfId="4" applyFont="1" applyFill="1" applyBorder="1"/>
    <xf numFmtId="0" fontId="39" fillId="0" borderId="21" xfId="4" applyFont="1" applyFill="1" applyBorder="1"/>
    <xf numFmtId="0" fontId="39" fillId="0" borderId="9" xfId="4" applyFont="1" applyFill="1" applyBorder="1"/>
    <xf numFmtId="0" fontId="39" fillId="0" borderId="20" xfId="4" applyFont="1" applyFill="1" applyBorder="1"/>
    <xf numFmtId="0" fontId="11" fillId="0" borderId="0" xfId="55" applyFont="1" applyFill="1"/>
    <xf numFmtId="0" fontId="11" fillId="0" borderId="0" xfId="55" applyFont="1" applyFill="1" applyAlignment="1">
      <alignment vertical="center"/>
    </xf>
    <xf numFmtId="0" fontId="11" fillId="0" borderId="0" xfId="55" applyFont="1" applyFill="1" applyAlignment="1">
      <alignment horizontal="center"/>
    </xf>
    <xf numFmtId="3" fontId="11" fillId="0" borderId="0" xfId="56" applyNumberFormat="1" applyFont="1" applyFill="1"/>
    <xf numFmtId="3" fontId="11" fillId="0" borderId="0" xfId="55" applyNumberFormat="1" applyFont="1" applyFill="1"/>
    <xf numFmtId="0" fontId="11" fillId="0" borderId="0" xfId="55" applyFont="1" applyFill="1" applyAlignment="1"/>
    <xf numFmtId="38" fontId="27" fillId="0" borderId="0" xfId="55" applyNumberFormat="1" applyFont="1" applyFill="1"/>
    <xf numFmtId="0" fontId="27" fillId="0" borderId="0" xfId="55" applyFont="1" applyFill="1"/>
    <xf numFmtId="0" fontId="33" fillId="0" borderId="0" xfId="55" applyFont="1" applyFill="1"/>
    <xf numFmtId="0" fontId="33" fillId="0" borderId="0" xfId="55" quotePrefix="1" applyFont="1" applyFill="1" applyAlignment="1">
      <alignment horizontal="left" vertical="center"/>
    </xf>
    <xf numFmtId="3" fontId="33" fillId="0" borderId="0" xfId="56" applyNumberFormat="1" applyFont="1" applyFill="1"/>
    <xf numFmtId="3" fontId="33" fillId="0" borderId="0" xfId="55" applyNumberFormat="1" applyFont="1" applyFill="1"/>
    <xf numFmtId="0" fontId="33" fillId="0" borderId="0" xfId="55" applyFont="1" applyFill="1" applyAlignment="1"/>
    <xf numFmtId="0" fontId="33" fillId="0" borderId="0" xfId="55" applyNumberFormat="1" applyFont="1" applyFill="1" applyAlignment="1">
      <alignment horizontal="center"/>
    </xf>
    <xf numFmtId="0" fontId="50" fillId="0" borderId="0" xfId="55" applyFont="1" applyFill="1" applyBorder="1" applyAlignment="1">
      <alignment horizontal="left"/>
    </xf>
    <xf numFmtId="0" fontId="50" fillId="0" borderId="0" xfId="55" applyFont="1" applyFill="1" applyBorder="1"/>
    <xf numFmtId="0" fontId="50" fillId="0" borderId="0" xfId="55" quotePrefix="1" applyFont="1" applyFill="1" applyBorder="1" applyAlignment="1">
      <alignment horizontal="left"/>
    </xf>
    <xf numFmtId="0" fontId="33" fillId="0" borderId="0" xfId="55" applyFont="1" applyFill="1" applyBorder="1"/>
    <xf numFmtId="0" fontId="33" fillId="0" borderId="0" xfId="55" applyNumberFormat="1" applyFont="1" applyFill="1" applyBorder="1" applyAlignment="1">
      <alignment horizontal="center"/>
    </xf>
    <xf numFmtId="38" fontId="33" fillId="0" borderId="0" xfId="55" applyNumberFormat="1" applyFont="1" applyFill="1"/>
    <xf numFmtId="0" fontId="33" fillId="0" borderId="0" xfId="55" applyFont="1" applyFill="1" applyAlignment="1">
      <alignment vertical="center"/>
    </xf>
    <xf numFmtId="3" fontId="33" fillId="3" borderId="7" xfId="56" applyNumberFormat="1" applyFont="1" applyFill="1" applyBorder="1" applyAlignment="1">
      <alignment horizontal="center" vertical="center"/>
    </xf>
    <xf numFmtId="3" fontId="33" fillId="3" borderId="7" xfId="56" quotePrefix="1" applyNumberFormat="1" applyFont="1" applyFill="1" applyBorder="1" applyAlignment="1">
      <alignment horizontal="center" vertical="center"/>
    </xf>
    <xf numFmtId="0" fontId="33" fillId="0" borderId="7" xfId="55" applyFont="1" applyFill="1" applyBorder="1" applyAlignment="1">
      <alignment horizontal="center" vertical="center"/>
    </xf>
    <xf numFmtId="0" fontId="33" fillId="0" borderId="3" xfId="55" applyFont="1" applyFill="1" applyBorder="1" applyAlignment="1">
      <alignment horizontal="center" vertical="center"/>
    </xf>
    <xf numFmtId="0" fontId="33" fillId="0" borderId="7" xfId="55" applyNumberFormat="1" applyFont="1" applyFill="1" applyBorder="1" applyAlignment="1">
      <alignment horizontal="center" vertical="center"/>
    </xf>
    <xf numFmtId="3" fontId="33" fillId="0" borderId="7" xfId="56" applyNumberFormat="1" applyFont="1" applyFill="1" applyBorder="1" applyAlignment="1">
      <alignment vertical="center"/>
    </xf>
    <xf numFmtId="3" fontId="11" fillId="0" borderId="7" xfId="55" applyNumberFormat="1" applyFont="1" applyFill="1" applyBorder="1" applyAlignment="1">
      <alignment vertical="center"/>
    </xf>
    <xf numFmtId="3" fontId="33" fillId="0" borderId="7" xfId="55" applyNumberFormat="1" applyFont="1" applyFill="1" applyBorder="1" applyAlignment="1">
      <alignment vertical="center" shrinkToFit="1"/>
    </xf>
    <xf numFmtId="3" fontId="33" fillId="0" borderId="7" xfId="55" applyNumberFormat="1" applyFont="1" applyFill="1" applyBorder="1" applyAlignment="1">
      <alignment vertical="center"/>
    </xf>
    <xf numFmtId="0" fontId="33" fillId="0" borderId="7" xfId="55" applyFont="1" applyFill="1" applyBorder="1" applyAlignment="1">
      <alignment vertical="center"/>
    </xf>
    <xf numFmtId="0" fontId="11" fillId="0" borderId="7" xfId="55" quotePrefix="1" applyFont="1" applyFill="1" applyBorder="1" applyAlignment="1">
      <alignment horizontal="center" vertical="center"/>
    </xf>
    <xf numFmtId="182" fontId="11" fillId="0" borderId="7" xfId="55" applyNumberFormat="1" applyFont="1" applyFill="1" applyBorder="1" applyAlignment="1">
      <alignment vertical="center"/>
    </xf>
    <xf numFmtId="0" fontId="11" fillId="0" borderId="7" xfId="55" applyFont="1" applyFill="1" applyBorder="1" applyAlignment="1">
      <alignment horizontal="center" vertical="center"/>
    </xf>
    <xf numFmtId="0" fontId="11" fillId="0" borderId="7" xfId="55" applyFont="1" applyFill="1" applyBorder="1" applyAlignment="1">
      <alignment vertical="center"/>
    </xf>
    <xf numFmtId="0" fontId="11" fillId="0" borderId="7" xfId="55" applyNumberFormat="1" applyFont="1" applyFill="1" applyBorder="1" applyAlignment="1">
      <alignment horizontal="center" vertical="center"/>
    </xf>
    <xf numFmtId="3" fontId="11" fillId="0" borderId="7" xfId="56" applyNumberFormat="1" applyFont="1" applyFill="1" applyBorder="1" applyAlignment="1">
      <alignment vertical="center"/>
    </xf>
    <xf numFmtId="0" fontId="33" fillId="0" borderId="7" xfId="55" applyFont="1" applyFill="1" applyBorder="1" applyAlignment="1">
      <alignment vertical="center" shrinkToFit="1"/>
    </xf>
    <xf numFmtId="0" fontId="33" fillId="3" borderId="0" xfId="55" applyFont="1" applyFill="1"/>
    <xf numFmtId="0" fontId="33" fillId="3" borderId="0" xfId="55" applyFont="1" applyFill="1" applyAlignment="1">
      <alignment vertical="center"/>
    </xf>
    <xf numFmtId="0" fontId="33" fillId="3" borderId="0" xfId="55" applyNumberFormat="1" applyFont="1" applyFill="1"/>
    <xf numFmtId="3" fontId="33" fillId="3" borderId="0" xfId="55" applyNumberFormat="1" applyFont="1" applyFill="1"/>
    <xf numFmtId="0" fontId="33" fillId="3" borderId="0" xfId="55" applyFont="1" applyFill="1" applyAlignment="1"/>
    <xf numFmtId="38" fontId="27" fillId="3" borderId="0" xfId="55" applyNumberFormat="1" applyFont="1" applyFill="1"/>
    <xf numFmtId="0" fontId="27" fillId="3" borderId="0" xfId="55" applyFont="1" applyFill="1"/>
    <xf numFmtId="0" fontId="11" fillId="3" borderId="0" xfId="55" applyFont="1" applyFill="1" applyAlignment="1">
      <alignment horizontal="left"/>
    </xf>
    <xf numFmtId="0" fontId="11" fillId="3" borderId="0" xfId="55" applyFont="1" applyFill="1" applyAlignment="1">
      <alignment horizontal="left" vertical="center"/>
    </xf>
    <xf numFmtId="0" fontId="11" fillId="3" borderId="0" xfId="55" applyFont="1" applyFill="1"/>
    <xf numFmtId="0" fontId="11" fillId="3" borderId="0" xfId="55" applyFont="1" applyFill="1" applyAlignment="1">
      <alignment horizontal="center"/>
    </xf>
    <xf numFmtId="0" fontId="11" fillId="3" borderId="0" xfId="55" applyNumberFormat="1" applyFont="1" applyFill="1" applyAlignment="1">
      <alignment horizontal="center"/>
    </xf>
    <xf numFmtId="3" fontId="11" fillId="3" borderId="0" xfId="56" applyNumberFormat="1" applyFont="1" applyFill="1"/>
    <xf numFmtId="3" fontId="11" fillId="3" borderId="0" xfId="55" applyNumberFormat="1" applyFont="1" applyFill="1"/>
    <xf numFmtId="0" fontId="11" fillId="3" borderId="0" xfId="55" applyFont="1" applyFill="1" applyAlignment="1"/>
    <xf numFmtId="38" fontId="33" fillId="3" borderId="0" xfId="55" applyNumberFormat="1" applyFont="1" applyFill="1"/>
    <xf numFmtId="41" fontId="33" fillId="3" borderId="0" xfId="57" applyFont="1" applyFill="1" applyAlignment="1">
      <alignment vertical="center"/>
    </xf>
    <xf numFmtId="0" fontId="11" fillId="3" borderId="7" xfId="55" applyFont="1" applyFill="1" applyBorder="1" applyAlignment="1">
      <alignment horizontal="left" vertical="center"/>
    </xf>
    <xf numFmtId="0" fontId="11" fillId="3" borderId="7" xfId="55" applyFont="1" applyFill="1" applyBorder="1" applyAlignment="1">
      <alignment horizontal="center" vertical="center" shrinkToFit="1"/>
    </xf>
    <xf numFmtId="0" fontId="11" fillId="3" borderId="7" xfId="55" applyFont="1" applyFill="1" applyBorder="1" applyAlignment="1">
      <alignment horizontal="center" vertical="center"/>
    </xf>
    <xf numFmtId="3" fontId="11" fillId="3" borderId="7" xfId="56" applyNumberFormat="1" applyFont="1" applyFill="1" applyBorder="1" applyAlignment="1">
      <alignment horizontal="right" vertical="center"/>
    </xf>
    <xf numFmtId="3" fontId="11" fillId="3" borderId="7" xfId="55" applyNumberFormat="1" applyFont="1" applyFill="1" applyBorder="1" applyAlignment="1">
      <alignment horizontal="right" vertical="center"/>
    </xf>
    <xf numFmtId="38" fontId="33" fillId="3" borderId="0" xfId="57" applyNumberFormat="1" applyFont="1" applyFill="1" applyAlignment="1">
      <alignment vertical="center"/>
    </xf>
    <xf numFmtId="0" fontId="37" fillId="3" borderId="7" xfId="55" applyFont="1" applyFill="1" applyBorder="1" applyAlignment="1">
      <alignment horizontal="center" vertical="center"/>
    </xf>
    <xf numFmtId="0" fontId="37" fillId="3" borderId="7" xfId="55" applyFont="1" applyFill="1" applyBorder="1" applyAlignment="1">
      <alignment horizontal="center" vertical="center" wrapText="1"/>
    </xf>
    <xf numFmtId="0" fontId="37" fillId="3" borderId="7" xfId="55" quotePrefix="1" applyFont="1" applyFill="1" applyBorder="1" applyAlignment="1">
      <alignment horizontal="center" vertical="center"/>
    </xf>
    <xf numFmtId="0" fontId="37" fillId="3" borderId="7" xfId="55" applyNumberFormat="1" applyFont="1" applyFill="1" applyBorder="1" applyAlignment="1">
      <alignment horizontal="center" vertical="center"/>
    </xf>
    <xf numFmtId="3" fontId="37" fillId="3" borderId="7" xfId="56" applyNumberFormat="1" applyFont="1" applyFill="1" applyBorder="1" applyAlignment="1">
      <alignment horizontal="right" vertical="center"/>
    </xf>
    <xf numFmtId="186" fontId="37" fillId="3" borderId="7" xfId="58" applyNumberFormat="1" applyFont="1" applyFill="1" applyBorder="1" applyAlignment="1">
      <alignment horizontal="right" vertical="center"/>
    </xf>
    <xf numFmtId="0" fontId="37" fillId="3" borderId="12" xfId="55" applyFont="1" applyFill="1" applyBorder="1" applyAlignment="1">
      <alignment vertical="center"/>
    </xf>
    <xf numFmtId="38" fontId="38" fillId="3" borderId="0" xfId="55" applyNumberFormat="1" applyFont="1" applyFill="1"/>
    <xf numFmtId="0" fontId="38" fillId="3" borderId="0" xfId="55" applyFont="1" applyFill="1"/>
    <xf numFmtId="0" fontId="11" fillId="3" borderId="7" xfId="55" applyNumberFormat="1" applyFont="1" applyFill="1" applyBorder="1" applyAlignment="1">
      <alignment horizontal="center" vertical="center"/>
    </xf>
    <xf numFmtId="3" fontId="33" fillId="3" borderId="7" xfId="55" applyNumberFormat="1" applyFont="1" applyFill="1" applyBorder="1" applyAlignment="1">
      <alignment horizontal="right" vertical="center"/>
    </xf>
    <xf numFmtId="0" fontId="33" fillId="3" borderId="0" xfId="55" applyFont="1" applyFill="1" applyAlignment="1">
      <alignment horizontal="center" vertical="center"/>
    </xf>
    <xf numFmtId="0" fontId="33" fillId="0" borderId="3" xfId="55" applyFont="1" applyFill="1" applyBorder="1"/>
    <xf numFmtId="0" fontId="33" fillId="0" borderId="0" xfId="55" applyFont="1" applyFill="1" applyAlignment="1">
      <alignment horizontal="center" vertical="center"/>
    </xf>
    <xf numFmtId="0" fontId="33" fillId="0" borderId="0" xfId="55" applyFont="1" applyFill="1" applyAlignment="1">
      <alignment shrinkToFit="1"/>
    </xf>
    <xf numFmtId="0" fontId="33" fillId="0" borderId="0" xfId="55" applyFont="1" applyFill="1" applyAlignment="1">
      <alignment horizontal="center"/>
    </xf>
    <xf numFmtId="0" fontId="53" fillId="0" borderId="0" xfId="55" applyNumberFormat="1" applyFont="1" applyFill="1" applyAlignment="1">
      <alignment horizontal="center"/>
    </xf>
    <xf numFmtId="0" fontId="49" fillId="0" borderId="0" xfId="55" applyFont="1" applyFill="1"/>
    <xf numFmtId="3" fontId="27" fillId="0" borderId="0" xfId="61" applyNumberFormat="1" applyFont="1" applyFill="1"/>
    <xf numFmtId="3" fontId="33" fillId="0" borderId="0" xfId="61" applyNumberFormat="1" applyFont="1" applyFill="1"/>
    <xf numFmtId="187" fontId="33" fillId="0" borderId="7" xfId="61" applyNumberFormat="1" applyFont="1" applyFill="1" applyBorder="1" applyAlignment="1">
      <alignment horizontal="center" vertical="center"/>
    </xf>
    <xf numFmtId="3" fontId="33" fillId="0" borderId="7" xfId="61" applyNumberFormat="1" applyFont="1" applyFill="1" applyBorder="1" applyAlignment="1">
      <alignment horizontal="right" vertical="center"/>
    </xf>
    <xf numFmtId="3" fontId="27" fillId="0" borderId="0" xfId="61" applyNumberFormat="1" applyFont="1" applyFill="1" applyAlignment="1">
      <alignment horizontal="center"/>
    </xf>
    <xf numFmtId="3" fontId="27" fillId="0" borderId="0" xfId="61" applyNumberFormat="1" applyFont="1" applyFill="1" applyAlignment="1"/>
    <xf numFmtId="41" fontId="33" fillId="3" borderId="7" xfId="55" applyNumberFormat="1" applyFont="1" applyFill="1" applyBorder="1" applyAlignment="1">
      <alignment horizontal="center" vertical="center"/>
    </xf>
    <xf numFmtId="0" fontId="33" fillId="3" borderId="7" xfId="55" applyNumberFormat="1" applyFont="1" applyFill="1" applyBorder="1" applyAlignment="1">
      <alignment horizontal="center" vertical="center"/>
    </xf>
    <xf numFmtId="41" fontId="33" fillId="3" borderId="7" xfId="57" applyNumberFormat="1" applyFont="1" applyFill="1" applyBorder="1" applyAlignment="1">
      <alignment horizontal="right" vertical="center"/>
    </xf>
    <xf numFmtId="41" fontId="11" fillId="3" borderId="7" xfId="57" applyNumberFormat="1" applyFont="1" applyFill="1" applyBorder="1" applyAlignment="1">
      <alignment vertical="center"/>
    </xf>
    <xf numFmtId="43" fontId="33" fillId="3" borderId="0" xfId="55" applyNumberFormat="1" applyFont="1" applyFill="1" applyAlignment="1">
      <alignment horizontal="center" vertical="center"/>
    </xf>
    <xf numFmtId="41" fontId="33" fillId="3" borderId="7" xfId="55" applyNumberFormat="1" applyFont="1" applyFill="1" applyBorder="1" applyAlignment="1">
      <alignment horizontal="center"/>
    </xf>
    <xf numFmtId="41" fontId="33" fillId="3" borderId="7" xfId="57" applyFont="1" applyFill="1" applyBorder="1" applyAlignment="1">
      <alignment horizontal="right" vertical="center"/>
    </xf>
    <xf numFmtId="0" fontId="33" fillId="3" borderId="0" xfId="55" applyFont="1" applyFill="1" applyAlignment="1">
      <alignment horizontal="center"/>
    </xf>
    <xf numFmtId="41" fontId="33" fillId="3" borderId="0" xfId="55" applyNumberFormat="1" applyFont="1" applyFill="1"/>
    <xf numFmtId="41" fontId="33" fillId="3" borderId="0" xfId="55" applyNumberFormat="1" applyFont="1" applyFill="1" applyAlignment="1">
      <alignment horizontal="center"/>
    </xf>
    <xf numFmtId="0" fontId="33" fillId="0" borderId="7" xfId="55" applyFont="1" applyFill="1" applyBorder="1" applyAlignment="1">
      <alignment horizontal="left" vertical="center"/>
    </xf>
    <xf numFmtId="0" fontId="33" fillId="0" borderId="7" xfId="55" applyFont="1" applyFill="1" applyBorder="1" applyAlignment="1">
      <alignment vertical="center"/>
    </xf>
    <xf numFmtId="0" fontId="38" fillId="0" borderId="0" xfId="55" applyFont="1" applyFill="1" applyAlignment="1">
      <alignment vertical="center"/>
    </xf>
    <xf numFmtId="0" fontId="38" fillId="0" borderId="12" xfId="60" applyFont="1" applyFill="1" applyBorder="1" applyAlignment="1">
      <alignment horizontal="left" vertical="center"/>
    </xf>
    <xf numFmtId="0" fontId="33" fillId="0" borderId="7" xfId="55" applyFont="1" applyFill="1" applyBorder="1" applyAlignment="1">
      <alignment horizontal="left" vertical="center" shrinkToFit="1"/>
    </xf>
    <xf numFmtId="0" fontId="33" fillId="0" borderId="7" xfId="55" quotePrefix="1" applyFont="1" applyFill="1" applyBorder="1" applyAlignment="1">
      <alignment horizontal="center" vertical="center"/>
    </xf>
    <xf numFmtId="0" fontId="33" fillId="0" borderId="7" xfId="55" applyNumberFormat="1" applyFont="1" applyFill="1" applyBorder="1" applyAlignment="1">
      <alignment horizontal="left" vertical="center" shrinkToFit="1"/>
    </xf>
    <xf numFmtId="0" fontId="33" fillId="0" borderId="7" xfId="60" applyNumberFormat="1" applyFont="1" applyFill="1" applyBorder="1" applyAlignment="1">
      <alignment horizontal="center" vertical="center"/>
    </xf>
    <xf numFmtId="0" fontId="11" fillId="0" borderId="7" xfId="55" applyFont="1" applyFill="1" applyBorder="1" applyAlignment="1">
      <alignment horizontal="left" vertical="center"/>
    </xf>
    <xf numFmtId="0" fontId="53" fillId="0" borderId="7" xfId="55" applyNumberFormat="1" applyFont="1" applyFill="1" applyBorder="1" applyAlignment="1">
      <alignment horizontal="center" vertical="center"/>
    </xf>
    <xf numFmtId="0" fontId="53" fillId="0" borderId="12" xfId="60" applyNumberFormat="1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left" vertical="center" shrinkToFit="1"/>
    </xf>
    <xf numFmtId="9" fontId="33" fillId="0" borderId="7" xfId="0" applyNumberFormat="1" applyFont="1" applyFill="1" applyBorder="1" applyAlignment="1">
      <alignment horizontal="center" vertical="center"/>
    </xf>
    <xf numFmtId="37" fontId="33" fillId="0" borderId="7" xfId="0" applyFont="1" applyFill="1" applyBorder="1" applyAlignment="1">
      <alignment vertical="center"/>
    </xf>
    <xf numFmtId="37" fontId="33" fillId="0" borderId="7" xfId="0" applyFont="1" applyFill="1" applyBorder="1" applyAlignment="1">
      <alignment horizontal="center" vertical="center" shrinkToFit="1"/>
    </xf>
    <xf numFmtId="37" fontId="33" fillId="0" borderId="7" xfId="0" applyFont="1" applyFill="1" applyBorder="1" applyAlignment="1">
      <alignment horizontal="center" vertical="center"/>
    </xf>
    <xf numFmtId="37" fontId="33" fillId="0" borderId="7" xfId="0" quotePrefix="1" applyFont="1" applyFill="1" applyBorder="1" applyAlignment="1">
      <alignment horizontal="left" vertical="center" shrinkToFit="1"/>
    </xf>
    <xf numFmtId="0" fontId="11" fillId="0" borderId="7" xfId="55" applyFont="1" applyFill="1" applyBorder="1" applyAlignment="1">
      <alignment horizontal="left" vertical="center" shrinkToFit="1"/>
    </xf>
    <xf numFmtId="0" fontId="38" fillId="0" borderId="7" xfId="55" applyFont="1" applyFill="1" applyBorder="1" applyAlignment="1">
      <alignment horizontal="left" vertical="center"/>
    </xf>
    <xf numFmtId="0" fontId="33" fillId="0" borderId="7" xfId="61" applyFont="1" applyFill="1" applyBorder="1" applyAlignment="1">
      <alignment horizontal="center" vertical="center"/>
    </xf>
    <xf numFmtId="3" fontId="9" fillId="0" borderId="18" xfId="815" applyNumberFormat="1" applyFont="1" applyFill="1" applyBorder="1" applyAlignment="1">
      <alignment horizontal="center" vertical="center"/>
    </xf>
    <xf numFmtId="37" fontId="33" fillId="3" borderId="14" xfId="0" applyFont="1" applyFill="1" applyBorder="1" applyAlignment="1">
      <alignment horizontal="center" vertical="center"/>
    </xf>
    <xf numFmtId="37" fontId="33" fillId="3" borderId="7" xfId="0" applyFont="1" applyFill="1" applyBorder="1" applyAlignment="1">
      <alignment horizontal="left" vertical="center"/>
    </xf>
    <xf numFmtId="37" fontId="33" fillId="3" borderId="7" xfId="0" applyFont="1" applyFill="1" applyBorder="1" applyAlignment="1">
      <alignment horizontal="center" vertical="center"/>
    </xf>
    <xf numFmtId="3" fontId="124" fillId="3" borderId="7" xfId="0" applyNumberFormat="1" applyFont="1" applyFill="1" applyBorder="1" applyAlignment="1">
      <alignment horizontal="right" vertical="center"/>
    </xf>
    <xf numFmtId="3" fontId="33" fillId="3" borderId="13" xfId="0" applyNumberFormat="1" applyFont="1" applyFill="1" applyBorder="1" applyAlignment="1">
      <alignment horizontal="left" vertical="center"/>
    </xf>
    <xf numFmtId="37" fontId="27" fillId="3" borderId="7" xfId="0" applyFont="1" applyFill="1" applyBorder="1" applyAlignment="1">
      <alignment horizontal="center" vertical="center"/>
    </xf>
    <xf numFmtId="37" fontId="27" fillId="3" borderId="7" xfId="0" applyFont="1" applyFill="1" applyBorder="1" applyAlignment="1">
      <alignment vertical="center"/>
    </xf>
    <xf numFmtId="37" fontId="27" fillId="0" borderId="0" xfId="0" applyFont="1" applyFill="1" applyAlignment="1">
      <alignment horizontal="center"/>
    </xf>
    <xf numFmtId="37" fontId="27" fillId="0" borderId="0" xfId="0" applyFont="1" applyFill="1" applyAlignment="1">
      <alignment vertical="center"/>
    </xf>
    <xf numFmtId="37" fontId="27" fillId="0" borderId="0" xfId="0" applyFont="1" applyFill="1" applyAlignment="1">
      <alignment horizontal="center" vertical="center"/>
    </xf>
    <xf numFmtId="37" fontId="123" fillId="0" borderId="0" xfId="0" applyFont="1" applyFill="1" applyAlignment="1">
      <alignment vertical="center"/>
    </xf>
    <xf numFmtId="3" fontId="11" fillId="0" borderId="7" xfId="55" applyNumberFormat="1" applyFont="1" applyFill="1" applyBorder="1" applyAlignment="1">
      <alignment horizontal="right" vertical="center"/>
    </xf>
    <xf numFmtId="0" fontId="11" fillId="0" borderId="17" xfId="55" applyFont="1" applyFill="1" applyBorder="1" applyAlignment="1">
      <alignment horizontal="center" vertical="center" shrinkToFit="1"/>
    </xf>
    <xf numFmtId="3" fontId="33" fillId="0" borderId="7" xfId="56" applyNumberFormat="1" applyFont="1" applyFill="1" applyBorder="1" applyAlignment="1">
      <alignment horizontal="center" vertical="center"/>
    </xf>
    <xf numFmtId="0" fontId="38" fillId="0" borderId="0" xfId="55" applyFont="1" applyFill="1" applyAlignment="1">
      <alignment horizontal="center" vertical="center"/>
    </xf>
    <xf numFmtId="3" fontId="38" fillId="0" borderId="0" xfId="55" applyNumberFormat="1" applyFont="1" applyFill="1" applyAlignment="1">
      <alignment horizontal="right" vertical="center"/>
    </xf>
    <xf numFmtId="3" fontId="38" fillId="0" borderId="0" xfId="55" quotePrefix="1" applyNumberFormat="1" applyFont="1" applyFill="1" applyAlignment="1">
      <alignment horizontal="right" vertical="center"/>
    </xf>
    <xf numFmtId="3" fontId="33" fillId="0" borderId="7" xfId="56" applyNumberFormat="1" applyFont="1" applyFill="1" applyBorder="1" applyAlignment="1">
      <alignment horizontal="right" vertical="center"/>
    </xf>
    <xf numFmtId="0" fontId="33" fillId="0" borderId="7" xfId="55" applyFont="1" applyFill="1" applyBorder="1" applyAlignment="1">
      <alignment horizontal="distributed" vertical="center"/>
    </xf>
    <xf numFmtId="3" fontId="33" fillId="0" borderId="7" xfId="55" applyNumberFormat="1" applyFont="1" applyFill="1" applyBorder="1" applyAlignment="1">
      <alignment horizontal="right" vertical="center"/>
    </xf>
    <xf numFmtId="3" fontId="33" fillId="0" borderId="7" xfId="59" applyNumberFormat="1" applyFont="1" applyFill="1" applyBorder="1" applyAlignment="1">
      <alignment horizontal="right" vertical="center"/>
    </xf>
    <xf numFmtId="3" fontId="11" fillId="0" borderId="7" xfId="55" applyNumberFormat="1" applyFont="1" applyFill="1" applyBorder="1" applyAlignment="1">
      <alignment horizontal="left" vertical="center"/>
    </xf>
    <xf numFmtId="3" fontId="33" fillId="0" borderId="0" xfId="55" applyNumberFormat="1" applyFont="1" applyFill="1" applyAlignment="1">
      <alignment vertical="center"/>
    </xf>
    <xf numFmtId="0" fontId="33" fillId="0" borderId="7" xfId="55" applyFont="1" applyFill="1" applyBorder="1" applyAlignment="1">
      <alignment horizontal="center" vertical="center" wrapText="1"/>
    </xf>
    <xf numFmtId="0" fontId="33" fillId="0" borderId="7" xfId="55" applyFont="1" applyFill="1" applyBorder="1" applyAlignment="1">
      <alignment horizontal="left" vertical="center" wrapText="1"/>
    </xf>
    <xf numFmtId="0" fontId="33" fillId="0" borderId="7" xfId="55" applyFont="1" applyFill="1" applyBorder="1" applyAlignment="1">
      <alignment horizontal="distributed" vertical="center" wrapText="1"/>
    </xf>
    <xf numFmtId="0" fontId="38" fillId="0" borderId="7" xfId="55" applyFont="1" applyFill="1" applyBorder="1" applyAlignment="1">
      <alignment vertical="center"/>
    </xf>
    <xf numFmtId="3" fontId="33" fillId="0" borderId="0" xfId="55" applyNumberFormat="1" applyFont="1" applyFill="1" applyAlignment="1">
      <alignment horizontal="right" vertical="center"/>
    </xf>
    <xf numFmtId="0" fontId="38" fillId="0" borderId="0" xfId="682" applyFont="1" applyFill="1" applyBorder="1" applyAlignment="1">
      <alignment vertical="center"/>
    </xf>
    <xf numFmtId="0" fontId="38" fillId="0" borderId="0" xfId="682" applyFont="1" applyFill="1" applyBorder="1" applyAlignment="1">
      <alignment horizontal="center" vertical="center" wrapText="1"/>
    </xf>
    <xf numFmtId="0" fontId="38" fillId="0" borderId="0" xfId="682" applyNumberFormat="1" applyFont="1" applyFill="1" applyBorder="1" applyAlignment="1">
      <alignment horizontal="center" vertical="center" wrapText="1"/>
    </xf>
    <xf numFmtId="0" fontId="38" fillId="0" borderId="0" xfId="682" applyFont="1" applyFill="1" applyBorder="1" applyAlignment="1">
      <alignment vertical="center" wrapText="1"/>
    </xf>
    <xf numFmtId="3" fontId="38" fillId="0" borderId="0" xfId="682" applyNumberFormat="1" applyFont="1" applyFill="1" applyBorder="1" applyAlignment="1">
      <alignment horizontal="center" vertical="center" wrapText="1"/>
    </xf>
    <xf numFmtId="185" fontId="27" fillId="0" borderId="0" xfId="727" applyNumberFormat="1" applyFont="1" applyFill="1" applyAlignment="1" applyProtection="1">
      <alignment horizontal="right" vertical="center"/>
      <protection locked="0"/>
    </xf>
    <xf numFmtId="0" fontId="33" fillId="0" borderId="0" xfId="682" applyFont="1" applyFill="1" applyBorder="1" applyAlignment="1">
      <alignment horizontal="center" vertical="center" wrapText="1"/>
    </xf>
    <xf numFmtId="0" fontId="33" fillId="0" borderId="0" xfId="682" applyFont="1" applyFill="1" applyBorder="1" applyAlignment="1">
      <alignment vertical="center" wrapText="1"/>
    </xf>
    <xf numFmtId="0" fontId="33" fillId="0" borderId="0" xfId="682" applyNumberFormat="1" applyFont="1" applyFill="1" applyBorder="1" applyAlignment="1">
      <alignment horizontal="center" vertical="center" wrapText="1"/>
    </xf>
    <xf numFmtId="3" fontId="33" fillId="0" borderId="0" xfId="682" applyNumberFormat="1" applyFont="1" applyFill="1" applyBorder="1" applyAlignment="1">
      <alignment horizontal="center" vertical="center" wrapText="1"/>
    </xf>
    <xf numFmtId="9" fontId="33" fillId="0" borderId="0" xfId="819" applyFont="1" applyFill="1" applyBorder="1" applyAlignment="1">
      <alignment horizontal="center" vertical="center" wrapText="1"/>
    </xf>
    <xf numFmtId="0" fontId="33" fillId="0" borderId="0" xfId="64" applyFont="1" applyFill="1"/>
    <xf numFmtId="0" fontId="33" fillId="0" borderId="7" xfId="64" applyFont="1" applyFill="1" applyBorder="1" applyAlignment="1">
      <alignment horizontal="center" vertical="center"/>
    </xf>
    <xf numFmtId="0" fontId="33" fillId="0" borderId="7" xfId="0" applyNumberFormat="1" applyFont="1" applyFill="1" applyBorder="1" applyAlignment="1">
      <alignment horizontal="left" vertical="center"/>
    </xf>
    <xf numFmtId="0" fontId="33" fillId="0" borderId="7" xfId="0" applyNumberFormat="1" applyFont="1" applyFill="1" applyBorder="1" applyAlignment="1">
      <alignment horizontal="center" vertical="center" shrinkToFit="1"/>
    </xf>
    <xf numFmtId="0" fontId="33" fillId="0" borderId="7" xfId="0" applyNumberFormat="1" applyFont="1" applyFill="1" applyBorder="1" applyAlignment="1">
      <alignment horizontal="right" vertical="center"/>
    </xf>
    <xf numFmtId="2" fontId="33" fillId="0" borderId="7" xfId="60" applyNumberFormat="1" applyFont="1" applyFill="1" applyBorder="1" applyAlignment="1">
      <alignment horizontal="right" vertical="center"/>
    </xf>
    <xf numFmtId="187" fontId="33" fillId="0" borderId="7" xfId="64" applyNumberFormat="1" applyFont="1" applyFill="1" applyBorder="1" applyAlignment="1">
      <alignment horizontal="center" vertical="center"/>
    </xf>
    <xf numFmtId="0" fontId="33" fillId="0" borderId="12" xfId="55" applyNumberFormat="1" applyFont="1" applyFill="1" applyBorder="1" applyAlignment="1">
      <alignment horizontal="center" vertical="center"/>
    </xf>
    <xf numFmtId="0" fontId="38" fillId="0" borderId="7" xfId="55" quotePrefix="1" applyFont="1" applyFill="1" applyBorder="1" applyAlignment="1">
      <alignment horizontal="right" vertical="center"/>
    </xf>
    <xf numFmtId="3" fontId="11" fillId="0" borderId="17" xfId="55" applyNumberFormat="1" applyFont="1" applyFill="1" applyBorder="1" applyAlignment="1">
      <alignment horizontal="left" vertical="center"/>
    </xf>
    <xf numFmtId="0" fontId="11" fillId="0" borderId="12" xfId="55" applyFont="1" applyFill="1" applyBorder="1" applyAlignment="1">
      <alignment horizontal="left" vertical="center"/>
    </xf>
    <xf numFmtId="0" fontId="33" fillId="0" borderId="12" xfId="55" quotePrefix="1" applyFont="1" applyFill="1" applyBorder="1" applyAlignment="1">
      <alignment horizontal="center" vertical="center"/>
    </xf>
    <xf numFmtId="0" fontId="11" fillId="0" borderId="12" xfId="55" applyNumberFormat="1" applyFont="1" applyFill="1" applyBorder="1" applyAlignment="1">
      <alignment horizontal="center" vertical="center"/>
    </xf>
    <xf numFmtId="0" fontId="33" fillId="0" borderId="12" xfId="55" applyNumberFormat="1" applyFont="1" applyFill="1" applyBorder="1" applyAlignment="1">
      <alignment horizontal="left" vertical="center" shrinkToFit="1"/>
    </xf>
    <xf numFmtId="0" fontId="53" fillId="0" borderId="12" xfId="55" applyNumberFormat="1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 shrinkToFit="1"/>
    </xf>
    <xf numFmtId="0" fontId="33" fillId="0" borderId="12" xfId="55" quotePrefix="1" applyFont="1" applyFill="1" applyBorder="1" applyAlignment="1">
      <alignment horizontal="center" vertical="center" shrinkToFit="1"/>
    </xf>
    <xf numFmtId="3" fontId="11" fillId="0" borderId="17" xfId="55" applyNumberFormat="1" applyFont="1" applyFill="1" applyBorder="1" applyAlignment="1">
      <alignment vertical="center"/>
    </xf>
    <xf numFmtId="3" fontId="125" fillId="0" borderId="6" xfId="61" applyNumberFormat="1" applyFont="1" applyFill="1" applyBorder="1" applyAlignment="1">
      <alignment horizontal="left" vertical="center"/>
    </xf>
    <xf numFmtId="3" fontId="125" fillId="0" borderId="6" xfId="61" applyNumberFormat="1" applyFont="1" applyFill="1" applyBorder="1" applyAlignment="1">
      <alignment horizontal="center" vertical="center"/>
    </xf>
    <xf numFmtId="0" fontId="11" fillId="3" borderId="7" xfId="55" quotePrefix="1" applyFont="1" applyFill="1" applyBorder="1" applyAlignment="1">
      <alignment horizontal="center" vertical="center"/>
    </xf>
    <xf numFmtId="3" fontId="33" fillId="0" borderId="7" xfId="61" applyNumberFormat="1" applyFont="1" applyFill="1" applyBorder="1" applyAlignment="1">
      <alignment vertical="center"/>
    </xf>
    <xf numFmtId="3" fontId="33" fillId="3" borderId="0" xfId="55" applyNumberFormat="1" applyFont="1" applyFill="1" applyAlignment="1">
      <alignment horizontal="center" vertical="center"/>
    </xf>
    <xf numFmtId="0" fontId="33" fillId="3" borderId="10" xfId="55" applyFont="1" applyFill="1" applyBorder="1" applyAlignment="1">
      <alignment horizontal="center" vertical="center"/>
    </xf>
    <xf numFmtId="0" fontId="33" fillId="3" borderId="12" xfId="55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2" fontId="33" fillId="0" borderId="7" xfId="55" applyNumberFormat="1" applyFont="1" applyFill="1" applyBorder="1" applyAlignment="1">
      <alignment horizontal="center" vertical="center"/>
    </xf>
    <xf numFmtId="0" fontId="33" fillId="0" borderId="10" xfId="60" applyNumberFormat="1" applyFont="1" applyFill="1" applyBorder="1" applyAlignment="1">
      <alignment horizontal="center"/>
    </xf>
    <xf numFmtId="0" fontId="33" fillId="0" borderId="12" xfId="60" applyNumberFormat="1" applyFont="1" applyFill="1" applyBorder="1" applyAlignment="1">
      <alignment horizontal="center" vertical="center"/>
    </xf>
    <xf numFmtId="38" fontId="33" fillId="3" borderId="0" xfId="55" applyNumberFormat="1" applyFont="1" applyFill="1" applyAlignment="1">
      <alignment horizontal="center" vertical="center"/>
    </xf>
    <xf numFmtId="3" fontId="33" fillId="3" borderId="0" xfId="55" applyNumberFormat="1" applyFont="1" applyFill="1" applyAlignment="1">
      <alignment vertical="center"/>
    </xf>
    <xf numFmtId="0" fontId="38" fillId="3" borderId="0" xfId="55" applyFont="1" applyFill="1" applyAlignment="1">
      <alignment vertical="center"/>
    </xf>
    <xf numFmtId="0" fontId="38" fillId="3" borderId="3" xfId="55" applyFont="1" applyFill="1" applyBorder="1" applyAlignment="1">
      <alignment horizontal="left" vertical="center"/>
    </xf>
    <xf numFmtId="0" fontId="38" fillId="3" borderId="0" xfId="55" applyFont="1" applyFill="1" applyAlignment="1">
      <alignment horizontal="center" vertical="center"/>
    </xf>
    <xf numFmtId="3" fontId="38" fillId="3" borderId="0" xfId="55" applyNumberFormat="1" applyFont="1" applyFill="1" applyAlignment="1">
      <alignment horizontal="right" vertical="center"/>
    </xf>
    <xf numFmtId="3" fontId="38" fillId="3" borderId="0" xfId="55" quotePrefix="1" applyNumberFormat="1" applyFont="1" applyFill="1" applyAlignment="1">
      <alignment horizontal="right" vertical="center"/>
    </xf>
    <xf numFmtId="0" fontId="38" fillId="3" borderId="7" xfId="55" applyFont="1" applyFill="1" applyBorder="1" applyAlignment="1">
      <alignment horizontal="left" vertical="center"/>
    </xf>
    <xf numFmtId="0" fontId="33" fillId="3" borderId="7" xfId="55" applyFont="1" applyFill="1" applyBorder="1" applyAlignment="1">
      <alignment vertical="center"/>
    </xf>
    <xf numFmtId="3" fontId="33" fillId="3" borderId="7" xfId="56" applyNumberFormat="1" applyFont="1" applyFill="1" applyBorder="1" applyAlignment="1">
      <alignment horizontal="right" vertical="center"/>
    </xf>
    <xf numFmtId="3" fontId="33" fillId="3" borderId="7" xfId="59" applyNumberFormat="1" applyFont="1" applyFill="1" applyBorder="1" applyAlignment="1">
      <alignment horizontal="right" vertical="center"/>
    </xf>
    <xf numFmtId="3" fontId="11" fillId="3" borderId="7" xfId="55" applyNumberFormat="1" applyFont="1" applyFill="1" applyBorder="1" applyAlignment="1">
      <alignment horizontal="left" vertical="center"/>
    </xf>
    <xf numFmtId="0" fontId="33" fillId="3" borderId="7" xfId="55" applyFont="1" applyFill="1" applyBorder="1" applyAlignment="1">
      <alignment horizontal="distributed" vertical="center"/>
    </xf>
    <xf numFmtId="0" fontId="33" fillId="3" borderId="7" xfId="55" applyFont="1" applyFill="1" applyBorder="1" applyAlignment="1">
      <alignment vertical="center" wrapText="1"/>
    </xf>
    <xf numFmtId="3" fontId="11" fillId="3" borderId="7" xfId="55" applyNumberFormat="1" applyFont="1" applyFill="1" applyBorder="1" applyAlignment="1">
      <alignment vertical="center"/>
    </xf>
    <xf numFmtId="49" fontId="27" fillId="0" borderId="7" xfId="0" applyNumberFormat="1" applyFont="1" applyBorder="1" applyAlignment="1">
      <alignment horizontal="distributed" vertical="center"/>
    </xf>
    <xf numFmtId="0" fontId="33" fillId="3" borderId="7" xfId="55" applyFont="1" applyFill="1" applyBorder="1" applyAlignment="1">
      <alignment horizontal="center" vertical="center" wrapText="1"/>
    </xf>
    <xf numFmtId="3" fontId="33" fillId="0" borderId="7" xfId="61" applyNumberFormat="1" applyFont="1" applyFill="1" applyBorder="1" applyAlignment="1">
      <alignment horizontal="left" vertical="center"/>
    </xf>
    <xf numFmtId="0" fontId="33" fillId="0" borderId="12" xfId="682" applyNumberFormat="1" applyFont="1" applyFill="1" applyBorder="1" applyAlignment="1">
      <alignment horizontal="left" vertical="center" wrapText="1"/>
    </xf>
    <xf numFmtId="0" fontId="33" fillId="0" borderId="12" xfId="4" applyNumberFormat="1" applyFont="1" applyFill="1" applyBorder="1" applyAlignment="1">
      <alignment vertical="center"/>
    </xf>
    <xf numFmtId="2" fontId="33" fillId="0" borderId="7" xfId="60" applyNumberFormat="1" applyFont="1" applyFill="1" applyBorder="1" applyAlignment="1">
      <alignment vertical="center"/>
    </xf>
    <xf numFmtId="0" fontId="33" fillId="5" borderId="7" xfId="682" applyFont="1" applyFill="1" applyBorder="1" applyAlignment="1">
      <alignment vertical="center" wrapText="1"/>
    </xf>
    <xf numFmtId="0" fontId="33" fillId="5" borderId="7" xfId="682" applyFont="1" applyFill="1" applyBorder="1" applyAlignment="1">
      <alignment horizontal="center" vertical="center" shrinkToFit="1"/>
    </xf>
    <xf numFmtId="0" fontId="33" fillId="5" borderId="7" xfId="820" applyFont="1" applyFill="1" applyBorder="1" applyAlignment="1">
      <alignment horizontal="center" vertical="center"/>
    </xf>
    <xf numFmtId="0" fontId="33" fillId="5" borderId="7" xfId="0" applyNumberFormat="1" applyFont="1" applyFill="1" applyBorder="1" applyAlignment="1">
      <alignment horizontal="left" vertical="center" shrinkToFit="1"/>
    </xf>
    <xf numFmtId="0" fontId="33" fillId="5" borderId="7" xfId="682" applyNumberFormat="1" applyFont="1" applyFill="1" applyBorder="1" applyAlignment="1">
      <alignment horizontal="center" vertical="center" wrapText="1"/>
    </xf>
    <xf numFmtId="0" fontId="33" fillId="5" borderId="7" xfId="0" applyNumberFormat="1" applyFont="1" applyFill="1" applyBorder="1" applyAlignment="1">
      <alignment horizontal="center" vertical="center" shrinkToFit="1"/>
    </xf>
    <xf numFmtId="0" fontId="33" fillId="5" borderId="7" xfId="0" applyNumberFormat="1" applyFont="1" applyFill="1" applyBorder="1" applyAlignment="1">
      <alignment horizontal="right" vertical="center"/>
    </xf>
    <xf numFmtId="9" fontId="33" fillId="5" borderId="7" xfId="0" applyNumberFormat="1" applyFont="1" applyFill="1" applyBorder="1" applyAlignment="1">
      <alignment horizontal="right" vertical="center"/>
    </xf>
    <xf numFmtId="0" fontId="33" fillId="5" borderId="7" xfId="60" applyNumberFormat="1" applyFont="1" applyFill="1" applyBorder="1" applyAlignment="1">
      <alignment horizontal="right" vertical="center"/>
    </xf>
    <xf numFmtId="0" fontId="33" fillId="5" borderId="7" xfId="0" applyNumberFormat="1" applyFont="1" applyFill="1" applyBorder="1" applyAlignment="1">
      <alignment horizontal="center" vertical="center"/>
    </xf>
    <xf numFmtId="0" fontId="33" fillId="0" borderId="7" xfId="682" applyFont="1" applyFill="1" applyBorder="1" applyAlignment="1">
      <alignment vertical="center" wrapText="1"/>
    </xf>
    <xf numFmtId="3" fontId="33" fillId="0" borderId="0" xfId="61" applyNumberFormat="1" applyFont="1" applyFill="1" applyBorder="1" applyAlignment="1">
      <alignment horizontal="center" vertical="center"/>
    </xf>
    <xf numFmtId="0" fontId="33" fillId="0" borderId="7" xfId="61" applyNumberFormat="1" applyFont="1" applyFill="1" applyBorder="1" applyAlignment="1">
      <alignment horizontal="center" vertical="center"/>
    </xf>
    <xf numFmtId="0" fontId="33" fillId="5" borderId="7" xfId="55" applyFont="1" applyFill="1" applyBorder="1" applyAlignment="1">
      <alignment vertical="center"/>
    </xf>
    <xf numFmtId="0" fontId="33" fillId="5" borderId="7" xfId="55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0" borderId="12" xfId="60" applyNumberFormat="1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 shrinkToFit="1"/>
    </xf>
    <xf numFmtId="0" fontId="33" fillId="3" borderId="7" xfId="55" applyFont="1" applyFill="1" applyBorder="1" applyAlignment="1">
      <alignment horizontal="center" vertical="center"/>
    </xf>
    <xf numFmtId="0" fontId="33" fillId="3" borderId="10" xfId="55" applyFont="1" applyFill="1" applyBorder="1" applyAlignment="1">
      <alignment horizontal="center" vertical="center"/>
    </xf>
    <xf numFmtId="0" fontId="33" fillId="3" borderId="12" xfId="55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3" fontId="38" fillId="3" borderId="0" xfId="55" applyNumberFormat="1" applyFont="1" applyFill="1" applyAlignment="1">
      <alignment vertical="center"/>
    </xf>
    <xf numFmtId="3" fontId="38" fillId="3" borderId="0" xfId="55" quotePrefix="1" applyNumberFormat="1" applyFont="1" applyFill="1" applyAlignment="1">
      <alignment vertical="center"/>
    </xf>
    <xf numFmtId="3" fontId="33" fillId="3" borderId="7" xfId="59" applyNumberFormat="1" applyFont="1" applyFill="1" applyBorder="1" applyAlignment="1">
      <alignment vertical="center"/>
    </xf>
    <xf numFmtId="184" fontId="33" fillId="3" borderId="7" xfId="56" applyNumberFormat="1" applyFont="1" applyFill="1" applyBorder="1" applyAlignment="1">
      <alignment horizontal="right" vertical="center"/>
    </xf>
    <xf numFmtId="184" fontId="33" fillId="3" borderId="7" xfId="56" applyNumberFormat="1" applyFont="1" applyFill="1" applyBorder="1" applyAlignment="1">
      <alignment vertical="center"/>
    </xf>
    <xf numFmtId="3" fontId="33" fillId="3" borderId="7" xfId="56" applyNumberFormat="1" applyFont="1" applyFill="1" applyBorder="1" applyAlignment="1">
      <alignment vertical="center"/>
    </xf>
    <xf numFmtId="0" fontId="33" fillId="3" borderId="7" xfId="55" applyFont="1" applyFill="1" applyBorder="1" applyAlignment="1">
      <alignment horizontal="left" vertical="center"/>
    </xf>
    <xf numFmtId="3" fontId="33" fillId="3" borderId="7" xfId="55" applyNumberFormat="1" applyFont="1" applyFill="1" applyBorder="1" applyAlignment="1">
      <alignment vertical="center"/>
    </xf>
    <xf numFmtId="0" fontId="33" fillId="5" borderId="7" xfId="55" applyFont="1" applyFill="1" applyBorder="1" applyAlignment="1">
      <alignment horizontal="center" vertical="center" wrapText="1"/>
    </xf>
    <xf numFmtId="3" fontId="33" fillId="5" borderId="7" xfId="56" applyNumberFormat="1" applyFont="1" applyFill="1" applyBorder="1" applyAlignment="1">
      <alignment horizontal="right" vertical="center"/>
    </xf>
    <xf numFmtId="3" fontId="33" fillId="5" borderId="7" xfId="56" applyNumberFormat="1" applyFont="1" applyFill="1" applyBorder="1" applyAlignment="1">
      <alignment vertical="center"/>
    </xf>
    <xf numFmtId="0" fontId="38" fillId="3" borderId="0" xfId="55" quotePrefix="1" applyFont="1" applyFill="1" applyAlignment="1">
      <alignment horizontal="left" vertical="center"/>
    </xf>
    <xf numFmtId="49" fontId="33" fillId="3" borderId="7" xfId="55" applyNumberFormat="1" applyFont="1" applyFill="1" applyBorder="1" applyAlignment="1">
      <alignment horizontal="distributed" vertical="center"/>
    </xf>
    <xf numFmtId="0" fontId="11" fillId="3" borderId="7" xfId="55" applyFont="1" applyFill="1" applyBorder="1" applyAlignment="1">
      <alignment vertical="center"/>
    </xf>
    <xf numFmtId="0" fontId="33" fillId="3" borderId="7" xfId="55" applyFont="1" applyFill="1" applyBorder="1" applyAlignment="1">
      <alignment horizontal="distributed" vertical="center" wrapText="1"/>
    </xf>
    <xf numFmtId="0" fontId="33" fillId="0" borderId="7" xfId="61" applyNumberFormat="1" applyFont="1" applyFill="1" applyBorder="1" applyAlignment="1">
      <alignment horizontal="right" vertical="center"/>
    </xf>
    <xf numFmtId="3" fontId="11" fillId="0" borderId="7" xfId="61" applyNumberFormat="1" applyFont="1" applyFill="1" applyBorder="1" applyAlignment="1">
      <alignment horizontal="center" vertical="center"/>
    </xf>
    <xf numFmtId="3" fontId="27" fillId="0" borderId="7" xfId="61" applyNumberFormat="1" applyFont="1" applyFill="1" applyBorder="1" applyAlignment="1">
      <alignment horizontal="left" vertical="center"/>
    </xf>
    <xf numFmtId="3" fontId="27" fillId="0" borderId="7" xfId="61" applyNumberFormat="1" applyFont="1" applyFill="1" applyBorder="1" applyAlignment="1">
      <alignment horizontal="center" vertical="center"/>
    </xf>
    <xf numFmtId="187" fontId="27" fillId="0" borderId="7" xfId="61" applyNumberFormat="1" applyFont="1" applyFill="1" applyBorder="1" applyAlignment="1">
      <alignment horizontal="center" vertical="center"/>
    </xf>
    <xf numFmtId="3" fontId="27" fillId="0" borderId="7" xfId="61" applyNumberFormat="1" applyFont="1" applyFill="1" applyBorder="1" applyAlignment="1">
      <alignment horizontal="right" vertical="center"/>
    </xf>
    <xf numFmtId="3" fontId="27" fillId="0" borderId="7" xfId="61" applyNumberFormat="1" applyFont="1" applyFill="1" applyBorder="1" applyAlignment="1">
      <alignment vertical="center"/>
    </xf>
    <xf numFmtId="37" fontId="33" fillId="0" borderId="0" xfId="0" applyFont="1"/>
    <xf numFmtId="37" fontId="33" fillId="0" borderId="38" xfId="0" applyFont="1" applyBorder="1" applyAlignment="1">
      <alignment horizontal="center" vertical="center"/>
    </xf>
    <xf numFmtId="37" fontId="33" fillId="0" borderId="39" xfId="0" applyFont="1" applyBorder="1" applyAlignment="1">
      <alignment horizontal="center" vertical="center"/>
    </xf>
    <xf numFmtId="37" fontId="33" fillId="0" borderId="40" xfId="0" applyFont="1" applyBorder="1" applyAlignment="1">
      <alignment horizontal="center" vertical="center"/>
    </xf>
    <xf numFmtId="37" fontId="33" fillId="0" borderId="0" xfId="0" applyFont="1" applyAlignment="1">
      <alignment horizontal="center" vertical="center"/>
    </xf>
    <xf numFmtId="37" fontId="33" fillId="0" borderId="41" xfId="0" applyFont="1" applyBorder="1" applyAlignment="1">
      <alignment horizontal="center" vertical="center"/>
    </xf>
    <xf numFmtId="37" fontId="33" fillId="0" borderId="4" xfId="0" applyFont="1" applyBorder="1" applyAlignment="1">
      <alignment horizontal="left" vertical="center"/>
    </xf>
    <xf numFmtId="37" fontId="33" fillId="0" borderId="4" xfId="0" applyFont="1" applyBorder="1" applyAlignment="1">
      <alignment horizontal="center" vertical="center"/>
    </xf>
    <xf numFmtId="3" fontId="124" fillId="3" borderId="5" xfId="815" applyNumberFormat="1" applyFont="1" applyFill="1" applyBorder="1" applyAlignment="1">
      <alignment horizontal="right" vertical="center"/>
    </xf>
    <xf numFmtId="37" fontId="33" fillId="0" borderId="42" xfId="0" applyFont="1" applyBorder="1" applyAlignment="1">
      <alignment horizontal="left" vertical="center"/>
    </xf>
    <xf numFmtId="0" fontId="33" fillId="3" borderId="43" xfId="815" applyFont="1" applyFill="1" applyBorder="1" applyAlignment="1">
      <alignment horizontal="center" vertical="center"/>
    </xf>
    <xf numFmtId="0" fontId="33" fillId="3" borderId="5" xfId="815" applyFont="1" applyFill="1" applyBorder="1" applyAlignment="1">
      <alignment horizontal="left" vertical="center"/>
    </xf>
    <xf numFmtId="180" fontId="33" fillId="3" borderId="5" xfId="816" applyFont="1" applyFill="1" applyBorder="1" applyAlignment="1">
      <alignment horizontal="center" vertical="center"/>
    </xf>
    <xf numFmtId="3" fontId="33" fillId="3" borderId="5" xfId="815" applyNumberFormat="1" applyFont="1" applyFill="1" applyBorder="1" applyAlignment="1">
      <alignment vertical="center"/>
    </xf>
    <xf numFmtId="4" fontId="33" fillId="3" borderId="5" xfId="815" applyNumberFormat="1" applyFont="1" applyFill="1" applyBorder="1" applyAlignment="1">
      <alignment vertical="center"/>
    </xf>
    <xf numFmtId="3" fontId="33" fillId="3" borderId="44" xfId="815" applyNumberFormat="1" applyFont="1" applyFill="1" applyBorder="1" applyAlignment="1">
      <alignment horizontal="left" vertical="center"/>
    </xf>
    <xf numFmtId="0" fontId="27" fillId="0" borderId="0" xfId="815" applyFont="1" applyFill="1" applyBorder="1" applyAlignment="1">
      <alignment horizontal="center" vertical="center"/>
    </xf>
    <xf numFmtId="3" fontId="33" fillId="0" borderId="15" xfId="816" applyNumberFormat="1" applyFont="1" applyFill="1" applyBorder="1" applyAlignment="1">
      <alignment horizontal="center" vertical="center"/>
    </xf>
    <xf numFmtId="0" fontId="27" fillId="0" borderId="0" xfId="815" applyFont="1" applyFill="1"/>
    <xf numFmtId="3" fontId="33" fillId="0" borderId="16" xfId="816" applyNumberFormat="1" applyFont="1" applyFill="1" applyBorder="1" applyAlignment="1">
      <alignment horizontal="center" vertical="center"/>
    </xf>
    <xf numFmtId="185" fontId="33" fillId="0" borderId="16" xfId="816" applyNumberFormat="1" applyFont="1" applyFill="1" applyBorder="1" applyAlignment="1">
      <alignment horizontal="center" vertical="center"/>
    </xf>
    <xf numFmtId="0" fontId="27" fillId="3" borderId="5" xfId="815" applyFont="1" applyFill="1" applyBorder="1" applyAlignment="1">
      <alignment horizontal="center" vertical="center"/>
    </xf>
    <xf numFmtId="0" fontId="27" fillId="3" borderId="5" xfId="815" applyFont="1" applyFill="1" applyBorder="1" applyAlignment="1">
      <alignment vertical="center"/>
    </xf>
    <xf numFmtId="3" fontId="33" fillId="0" borderId="16" xfId="815" applyNumberFormat="1" applyFont="1" applyFill="1" applyBorder="1" applyAlignment="1">
      <alignment horizontal="center" vertical="center"/>
    </xf>
    <xf numFmtId="0" fontId="33" fillId="3" borderId="45" xfId="815" applyFont="1" applyFill="1" applyBorder="1" applyAlignment="1">
      <alignment horizontal="center" vertical="center"/>
    </xf>
    <xf numFmtId="0" fontId="33" fillId="3" borderId="46" xfId="815" applyFont="1" applyFill="1" applyBorder="1" applyAlignment="1">
      <alignment horizontal="left" vertical="center"/>
    </xf>
    <xf numFmtId="180" fontId="33" fillId="3" borderId="46" xfId="816" applyFont="1" applyFill="1" applyBorder="1" applyAlignment="1">
      <alignment horizontal="center" vertical="center"/>
    </xf>
    <xf numFmtId="0" fontId="27" fillId="3" borderId="46" xfId="815" applyFont="1" applyFill="1" applyBorder="1" applyAlignment="1">
      <alignment horizontal="center" vertical="center"/>
    </xf>
    <xf numFmtId="0" fontId="27" fillId="3" borderId="46" xfId="815" applyFont="1" applyFill="1" applyBorder="1" applyAlignment="1">
      <alignment vertical="center"/>
    </xf>
    <xf numFmtId="3" fontId="124" fillId="3" borderId="46" xfId="815" applyNumberFormat="1" applyFont="1" applyFill="1" applyBorder="1" applyAlignment="1">
      <alignment horizontal="right" vertical="center"/>
    </xf>
    <xf numFmtId="3" fontId="33" fillId="3" borderId="47" xfId="815" applyNumberFormat="1" applyFont="1" applyFill="1" applyBorder="1" applyAlignment="1">
      <alignment horizontal="left" vertical="center"/>
    </xf>
    <xf numFmtId="3" fontId="33" fillId="0" borderId="18" xfId="815" applyNumberFormat="1" applyFont="1" applyFill="1" applyBorder="1" applyAlignment="1">
      <alignment horizontal="center" vertical="center"/>
    </xf>
    <xf numFmtId="0" fontId="33" fillId="3" borderId="10" xfId="55" applyFont="1" applyFill="1" applyBorder="1" applyAlignment="1">
      <alignment horizontal="center" vertical="center"/>
    </xf>
    <xf numFmtId="0" fontId="33" fillId="3" borderId="12" xfId="55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 shrinkToFit="1"/>
    </xf>
    <xf numFmtId="0" fontId="33" fillId="0" borderId="12" xfId="60" applyNumberFormat="1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3" fontId="125" fillId="0" borderId="7" xfId="61" applyNumberFormat="1" applyFont="1" applyFill="1" applyBorder="1" applyAlignment="1">
      <alignment horizontal="center" vertical="center"/>
    </xf>
    <xf numFmtId="187" fontId="125" fillId="0" borderId="7" xfId="61" applyNumberFormat="1" applyFont="1" applyFill="1" applyBorder="1" applyAlignment="1">
      <alignment horizontal="center" vertical="center"/>
    </xf>
    <xf numFmtId="3" fontId="125" fillId="0" borderId="7" xfId="61" applyNumberFormat="1" applyFont="1" applyFill="1" applyBorder="1" applyAlignment="1">
      <alignment horizontal="right" vertical="center"/>
    </xf>
    <xf numFmtId="3" fontId="125" fillId="0" borderId="8" xfId="61" applyNumberFormat="1" applyFont="1" applyFill="1" applyBorder="1" applyAlignment="1">
      <alignment horizontal="center" vertical="center"/>
    </xf>
    <xf numFmtId="3" fontId="125" fillId="0" borderId="7" xfId="61" applyNumberFormat="1" applyFont="1" applyFill="1" applyBorder="1" applyAlignment="1">
      <alignment vertical="center"/>
    </xf>
    <xf numFmtId="3" fontId="33" fillId="0" borderId="7" xfId="61" applyNumberFormat="1" applyFont="1" applyFill="1" applyBorder="1" applyAlignment="1">
      <alignment horizontal="center" vertical="center"/>
    </xf>
    <xf numFmtId="0" fontId="33" fillId="0" borderId="10" xfId="55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2" xfId="4" applyNumberFormat="1" applyFont="1" applyFill="1" applyBorder="1" applyAlignment="1">
      <alignment horizontal="center" vertical="center"/>
    </xf>
    <xf numFmtId="0" fontId="33" fillId="0" borderId="12" xfId="682" applyFont="1" applyFill="1" applyBorder="1" applyAlignment="1">
      <alignment horizontal="center" vertical="center" wrapText="1"/>
    </xf>
    <xf numFmtId="0" fontId="33" fillId="0" borderId="12" xfId="817" applyFont="1" applyFill="1" applyBorder="1" applyAlignment="1">
      <alignment horizontal="center" vertical="center" wrapText="1"/>
    </xf>
    <xf numFmtId="0" fontId="33" fillId="0" borderId="12" xfId="4" applyNumberFormat="1" applyFont="1" applyFill="1" applyBorder="1" applyAlignment="1">
      <alignment horizontal="center" vertical="center" shrinkToFit="1"/>
    </xf>
    <xf numFmtId="3" fontId="33" fillId="0" borderId="7" xfId="61" applyNumberFormat="1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37" fontId="11" fillId="0" borderId="7" xfId="0" quotePrefix="1" applyFont="1" applyFill="1" applyBorder="1" applyAlignment="1">
      <alignment horizontal="center" vertical="center"/>
    </xf>
    <xf numFmtId="0" fontId="11" fillId="0" borderId="7" xfId="55" applyFont="1" applyFill="1" applyBorder="1" applyAlignment="1">
      <alignment horizontal="center" vertical="center" shrinkToFit="1"/>
    </xf>
    <xf numFmtId="0" fontId="38" fillId="0" borderId="3" xfId="55" applyFont="1" applyFill="1" applyBorder="1" applyAlignment="1">
      <alignment horizontal="left" vertical="center"/>
    </xf>
    <xf numFmtId="3" fontId="33" fillId="0" borderId="0" xfId="61" applyNumberFormat="1" applyFont="1" applyFill="1" applyAlignment="1">
      <alignment horizontal="center" vertical="center"/>
    </xf>
    <xf numFmtId="183" fontId="33" fillId="0" borderId="0" xfId="61" applyNumberFormat="1" applyFont="1" applyFill="1" applyAlignment="1">
      <alignment horizontal="center" vertical="center"/>
    </xf>
    <xf numFmtId="3" fontId="27" fillId="0" borderId="0" xfId="61" applyNumberFormat="1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3" fontId="33" fillId="0" borderId="7" xfId="61" applyNumberFormat="1" applyFont="1" applyFill="1" applyBorder="1" applyAlignment="1">
      <alignment horizontal="center" vertical="center"/>
    </xf>
    <xf numFmtId="0" fontId="11" fillId="0" borderId="12" xfId="55" applyFont="1" applyFill="1" applyBorder="1" applyAlignment="1">
      <alignment horizontal="left" vertical="center" shrinkToFit="1"/>
    </xf>
    <xf numFmtId="0" fontId="33" fillId="3" borderId="7" xfId="0" applyNumberFormat="1" applyFont="1" applyFill="1" applyBorder="1" applyAlignment="1">
      <alignment horizontal="center" vertical="center"/>
    </xf>
    <xf numFmtId="9" fontId="33" fillId="3" borderId="7" xfId="0" applyNumberFormat="1" applyFont="1" applyFill="1" applyBorder="1" applyAlignment="1">
      <alignment horizontal="center" vertical="center"/>
    </xf>
    <xf numFmtId="0" fontId="33" fillId="3" borderId="7" xfId="60" applyNumberFormat="1" applyFont="1" applyFill="1" applyBorder="1" applyAlignment="1">
      <alignment horizontal="center" vertical="center"/>
    </xf>
    <xf numFmtId="2" fontId="33" fillId="3" borderId="7" xfId="60" applyNumberFormat="1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 shrinkToFit="1"/>
    </xf>
    <xf numFmtId="0" fontId="33" fillId="0" borderId="12" xfId="60" applyNumberFormat="1" applyFont="1" applyFill="1" applyBorder="1" applyAlignment="1">
      <alignment horizontal="center" vertical="center"/>
    </xf>
    <xf numFmtId="0" fontId="44" fillId="0" borderId="23" xfId="4" applyFont="1" applyFill="1" applyBorder="1" applyAlignment="1">
      <alignment horizontal="center" vertical="center"/>
    </xf>
    <xf numFmtId="0" fontId="44" fillId="0" borderId="0" xfId="4" applyFont="1" applyFill="1" applyBorder="1" applyAlignment="1">
      <alignment horizontal="center" vertical="center"/>
    </xf>
    <xf numFmtId="0" fontId="44" fillId="0" borderId="28" xfId="4" applyFont="1" applyFill="1" applyBorder="1" applyAlignment="1">
      <alignment horizontal="center" vertical="center"/>
    </xf>
    <xf numFmtId="0" fontId="43" fillId="0" borderId="23" xfId="4" applyFont="1" applyFill="1" applyBorder="1" applyAlignment="1">
      <alignment horizontal="center"/>
    </xf>
    <xf numFmtId="0" fontId="43" fillId="0" borderId="0" xfId="4" applyFont="1" applyFill="1" applyBorder="1" applyAlignment="1">
      <alignment horizontal="center"/>
    </xf>
    <xf numFmtId="0" fontId="43" fillId="0" borderId="28" xfId="4" applyFont="1" applyFill="1" applyBorder="1" applyAlignment="1">
      <alignment horizontal="center"/>
    </xf>
    <xf numFmtId="0" fontId="41" fillId="0" borderId="23" xfId="4" applyFont="1" applyFill="1" applyBorder="1" applyAlignment="1">
      <alignment horizontal="center" vertical="center"/>
    </xf>
    <xf numFmtId="0" fontId="41" fillId="0" borderId="0" xfId="4" applyFont="1" applyFill="1" applyBorder="1" applyAlignment="1">
      <alignment horizontal="center" vertical="center"/>
    </xf>
    <xf numFmtId="0" fontId="41" fillId="0" borderId="28" xfId="4" applyFont="1" applyFill="1" applyBorder="1" applyAlignment="1">
      <alignment horizontal="center" vertical="center"/>
    </xf>
    <xf numFmtId="0" fontId="40" fillId="0" borderId="23" xfId="4" applyFont="1" applyFill="1" applyBorder="1" applyAlignment="1">
      <alignment horizontal="center" vertical="center"/>
    </xf>
    <xf numFmtId="0" fontId="40" fillId="0" borderId="0" xfId="4" applyFont="1" applyFill="1" applyBorder="1" applyAlignment="1">
      <alignment horizontal="center" vertical="center"/>
    </xf>
    <xf numFmtId="0" fontId="40" fillId="0" borderId="28" xfId="4" applyFont="1" applyFill="1" applyBorder="1" applyAlignment="1">
      <alignment horizontal="center" vertical="center"/>
    </xf>
    <xf numFmtId="0" fontId="51" fillId="0" borderId="0" xfId="55" applyNumberFormat="1" applyFont="1" applyFill="1" applyBorder="1" applyAlignment="1">
      <alignment horizontal="center"/>
    </xf>
    <xf numFmtId="0" fontId="51" fillId="0" borderId="29" xfId="55" applyNumberFormat="1" applyFont="1" applyFill="1" applyBorder="1" applyAlignment="1">
      <alignment horizontal="center"/>
    </xf>
    <xf numFmtId="0" fontId="33" fillId="3" borderId="10" xfId="55" applyFont="1" applyFill="1" applyBorder="1" applyAlignment="1">
      <alignment horizontal="center" vertical="center"/>
    </xf>
    <xf numFmtId="0" fontId="33" fillId="3" borderId="12" xfId="55" applyFont="1" applyFill="1" applyBorder="1" applyAlignment="1">
      <alignment horizontal="center" vertical="center"/>
    </xf>
    <xf numFmtId="3" fontId="33" fillId="3" borderId="1" xfId="56" applyNumberFormat="1" applyFont="1" applyFill="1" applyBorder="1" applyAlignment="1">
      <alignment horizontal="center" vertical="center"/>
    </xf>
    <xf numFmtId="3" fontId="33" fillId="3" borderId="17" xfId="56" applyNumberFormat="1" applyFont="1" applyFill="1" applyBorder="1" applyAlignment="1">
      <alignment horizontal="center" vertical="center"/>
    </xf>
    <xf numFmtId="3" fontId="33" fillId="3" borderId="10" xfId="55" applyNumberFormat="1" applyFont="1" applyFill="1" applyBorder="1" applyAlignment="1">
      <alignment horizontal="center" vertical="center"/>
    </xf>
    <xf numFmtId="3" fontId="33" fillId="3" borderId="12" xfId="55" applyNumberFormat="1" applyFont="1" applyFill="1" applyBorder="1" applyAlignment="1">
      <alignment horizontal="center" vertical="center"/>
    </xf>
    <xf numFmtId="0" fontId="33" fillId="3" borderId="10" xfId="55" applyFont="1" applyFill="1" applyBorder="1" applyAlignment="1">
      <alignment horizontal="center" vertical="center" shrinkToFit="1"/>
    </xf>
    <xf numFmtId="0" fontId="33" fillId="3" borderId="12" xfId="55" applyFont="1" applyFill="1" applyBorder="1" applyAlignment="1">
      <alignment horizontal="center" vertical="center" shrinkToFit="1"/>
    </xf>
    <xf numFmtId="0" fontId="33" fillId="3" borderId="10" xfId="55" applyNumberFormat="1" applyFont="1" applyFill="1" applyBorder="1" applyAlignment="1">
      <alignment horizontal="center" vertical="center"/>
    </xf>
    <xf numFmtId="0" fontId="33" fillId="3" borderId="12" xfId="55" applyNumberFormat="1" applyFont="1" applyFill="1" applyBorder="1" applyAlignment="1">
      <alignment horizontal="center" vertical="center"/>
    </xf>
    <xf numFmtId="3" fontId="33" fillId="0" borderId="1" xfId="56" applyNumberFormat="1" applyFont="1" applyFill="1" applyBorder="1" applyAlignment="1">
      <alignment horizontal="center" vertical="center"/>
    </xf>
    <xf numFmtId="0" fontId="33" fillId="0" borderId="17" xfId="55" applyFont="1" applyFill="1" applyBorder="1" applyAlignment="1">
      <alignment horizontal="center" vertical="center"/>
    </xf>
    <xf numFmtId="0" fontId="33" fillId="0" borderId="10" xfId="55" applyFont="1" applyFill="1" applyBorder="1" applyAlignment="1">
      <alignment horizontal="center" vertical="center"/>
    </xf>
    <xf numFmtId="0" fontId="33" fillId="0" borderId="12" xfId="55" applyFont="1" applyFill="1" applyBorder="1" applyAlignment="1">
      <alignment horizontal="center" vertical="center"/>
    </xf>
    <xf numFmtId="0" fontId="33" fillId="3" borderId="17" xfId="55" applyFont="1" applyFill="1" applyBorder="1" applyAlignment="1">
      <alignment horizontal="center" vertical="center"/>
    </xf>
    <xf numFmtId="0" fontId="33" fillId="0" borderId="10" xfId="60" applyFont="1" applyFill="1" applyBorder="1" applyAlignment="1">
      <alignment horizontal="center" vertical="center"/>
    </xf>
    <xf numFmtId="0" fontId="33" fillId="0" borderId="12" xfId="60" applyFont="1" applyFill="1" applyBorder="1" applyAlignment="1">
      <alignment horizontal="center" vertical="center"/>
    </xf>
    <xf numFmtId="0" fontId="33" fillId="0" borderId="10" xfId="60" applyFont="1" applyFill="1" applyBorder="1" applyAlignment="1">
      <alignment horizontal="center" vertical="center" shrinkToFit="1"/>
    </xf>
    <xf numFmtId="0" fontId="33" fillId="0" borderId="12" xfId="60" applyFont="1" applyFill="1" applyBorder="1" applyAlignment="1">
      <alignment horizontal="center" vertical="center" shrinkToFit="1"/>
    </xf>
    <xf numFmtId="0" fontId="33" fillId="0" borderId="10" xfId="60" applyNumberFormat="1" applyFont="1" applyFill="1" applyBorder="1" applyAlignment="1">
      <alignment horizontal="center" vertical="center"/>
    </xf>
    <xf numFmtId="0" fontId="33" fillId="0" borderId="12" xfId="60" applyNumberFormat="1" applyFont="1" applyFill="1" applyBorder="1" applyAlignment="1">
      <alignment horizontal="center" vertical="center"/>
    </xf>
    <xf numFmtId="0" fontId="33" fillId="0" borderId="10" xfId="4" applyNumberFormat="1" applyFont="1" applyFill="1" applyBorder="1" applyAlignment="1">
      <alignment horizontal="center" vertical="center"/>
    </xf>
    <xf numFmtId="0" fontId="33" fillId="0" borderId="12" xfId="4" applyNumberFormat="1" applyFont="1" applyFill="1" applyBorder="1" applyAlignment="1">
      <alignment horizontal="center" vertical="center"/>
    </xf>
    <xf numFmtId="0" fontId="33" fillId="0" borderId="10" xfId="4" applyNumberFormat="1" applyFont="1" applyFill="1" applyBorder="1" applyAlignment="1">
      <alignment horizontal="center" vertical="center" shrinkToFit="1"/>
    </xf>
    <xf numFmtId="0" fontId="33" fillId="0" borderId="12" xfId="4" applyNumberFormat="1" applyFont="1" applyFill="1" applyBorder="1" applyAlignment="1">
      <alignment horizontal="center" vertical="center" shrinkToFit="1"/>
    </xf>
    <xf numFmtId="0" fontId="33" fillId="0" borderId="10" xfId="682" applyFont="1" applyFill="1" applyBorder="1" applyAlignment="1">
      <alignment horizontal="center" vertical="center" wrapText="1"/>
    </xf>
    <xf numFmtId="0" fontId="33" fillId="0" borderId="12" xfId="682" applyFont="1" applyFill="1" applyBorder="1" applyAlignment="1">
      <alignment horizontal="center" vertical="center" wrapText="1"/>
    </xf>
    <xf numFmtId="0" fontId="33" fillId="0" borderId="10" xfId="817" applyFont="1" applyFill="1" applyBorder="1" applyAlignment="1">
      <alignment horizontal="center" vertical="center" wrapText="1"/>
    </xf>
    <xf numFmtId="0" fontId="33" fillId="0" borderId="12" xfId="817" applyFont="1" applyFill="1" applyBorder="1" applyAlignment="1">
      <alignment horizontal="center" vertical="center" wrapText="1"/>
    </xf>
    <xf numFmtId="0" fontId="33" fillId="0" borderId="10" xfId="682" applyNumberFormat="1" applyFont="1" applyFill="1" applyBorder="1" applyAlignment="1">
      <alignment horizontal="center" vertical="center" wrapText="1"/>
    </xf>
    <xf numFmtId="0" fontId="33" fillId="0" borderId="12" xfId="682" applyNumberFormat="1" applyFont="1" applyFill="1" applyBorder="1" applyAlignment="1">
      <alignment horizontal="center" vertical="center" wrapText="1"/>
    </xf>
    <xf numFmtId="3" fontId="54" fillId="0" borderId="0" xfId="61" applyNumberFormat="1" applyFont="1" applyFill="1" applyBorder="1" applyAlignment="1">
      <alignment horizontal="center" vertical="center"/>
    </xf>
    <xf numFmtId="3" fontId="33" fillId="0" borderId="7" xfId="61" applyNumberFormat="1" applyFont="1" applyFill="1" applyBorder="1" applyAlignment="1">
      <alignment horizontal="center" vertical="center"/>
    </xf>
    <xf numFmtId="0" fontId="54" fillId="3" borderId="3" xfId="55" applyFont="1" applyFill="1" applyBorder="1" applyAlignment="1">
      <alignment horizontal="center" vertical="center"/>
    </xf>
    <xf numFmtId="41" fontId="33" fillId="3" borderId="7" xfId="55" applyNumberFormat="1" applyFont="1" applyFill="1" applyBorder="1" applyAlignment="1">
      <alignment horizontal="center" vertical="center"/>
    </xf>
    <xf numFmtId="0" fontId="33" fillId="3" borderId="7" xfId="55" applyFont="1" applyFill="1" applyBorder="1" applyAlignment="1">
      <alignment horizontal="center" vertical="center"/>
    </xf>
    <xf numFmtId="37" fontId="54" fillId="0" borderId="0" xfId="0" applyFont="1" applyAlignment="1">
      <alignment horizontal="center" vertical="center"/>
    </xf>
  </cellXfs>
  <cellStyles count="821">
    <cellStyle name=" " xfId="43"/>
    <cellStyle name="          _x000d__x000a_386grabber=vga.3gr_x000d__x000a_" xfId="1"/>
    <cellStyle name=" _97연말" xfId="44"/>
    <cellStyle name=" _97연말1" xfId="45"/>
    <cellStyle name=" _Book1" xfId="46"/>
    <cellStyle name="#" xfId="66"/>
    <cellStyle name="#,##0" xfId="67"/>
    <cellStyle name="#,##0.0" xfId="68"/>
    <cellStyle name="#,##0.00" xfId="69"/>
    <cellStyle name="#,##0.000" xfId="70"/>
    <cellStyle name="#,##0_견적서 가로양식" xfId="71"/>
    <cellStyle name="#_090728-인천남동구내역(조명)" xfId="72"/>
    <cellStyle name="#_목차 " xfId="2"/>
    <cellStyle name="_x0004__x0004__x0019__x001b__x0004_$_x0010__x0010__x0008__x0001_" xfId="73"/>
    <cellStyle name="(△콤마)" xfId="74"/>
    <cellStyle name="(백분율)" xfId="75"/>
    <cellStyle name="(콤마)" xfId="76"/>
    <cellStyle name="??_x0001_" xfId="77"/>
    <cellStyle name="??_x000c_둄_x001b__x000d_|?_x0001_?_x0003__x0014__x0007__x0001__x0001_" xfId="78"/>
    <cellStyle name="??&amp;O?&amp;H?_x0008__x000f__x0007_?_x0007__x0001__x0001_" xfId="79"/>
    <cellStyle name="??&amp;O?&amp;H?_x0008_??_x0007__x0001__x0001_" xfId="80"/>
    <cellStyle name="?W?_laroux" xfId="81"/>
    <cellStyle name="_(양식)_견적서_사운드솔루션(도장)" xfId="82"/>
    <cellStyle name="_01전기공사-공사원가계산서수정" xfId="83"/>
    <cellStyle name="_0201전기실정보고서(변경)-1" xfId="84"/>
    <cellStyle name="_03 화성동탄 조명내역서 2007-04-17" xfId="85"/>
    <cellStyle name="_070810 강동문예회관 대,소극장(전기내역서)" xfId="86"/>
    <cellStyle name="_070910 강동문예회관 대,소극장(전기내역서)" xfId="87"/>
    <cellStyle name="_0904무대음향내역(최종임)" xfId="88"/>
    <cellStyle name="_2953-01L" xfId="89"/>
    <cellStyle name="_30820ICG" xfId="90"/>
    <cellStyle name="_AV-1" xfId="91"/>
    <cellStyle name="_Book1" xfId="92"/>
    <cellStyle name="_CCTV증설" xfId="93"/>
    <cellStyle name="_KBS홀(전동마이크교체)예산안" xfId="94"/>
    <cellStyle name="_거창군공설운동장1203" xfId="95"/>
    <cellStyle name="_경기예고(수정)" xfId="96"/>
    <cellStyle name="_경기예고내역서" xfId="97"/>
    <cellStyle name="_경기예고내역서(20060420)" xfId="98"/>
    <cellStyle name="_계원정산건(최종)" xfId="99"/>
    <cellStyle name="_공량산출1105" xfId="100"/>
    <cellStyle name="_공문(감리단1)" xfId="101"/>
    <cellStyle name="_관급서류(재출용)" xfId="102"/>
    <cellStyle name="_광탄내역서(050722)" xfId="103"/>
    <cellStyle name="_난계국악당일위대가" xfId="104"/>
    <cellStyle name="_난계국악당일위대가_1" xfId="105"/>
    <cellStyle name="_난계국악당일위대가_2" xfId="106"/>
    <cellStyle name="_남원춘향문화예술회관리모델링 무대조명장치내역서 " xfId="5"/>
    <cellStyle name="_내역서" xfId="107"/>
    <cellStyle name="_내역서(07.1.19)" xfId="108"/>
    <cellStyle name="_내역서(세미나실)" xfId="109"/>
    <cellStyle name="_내역서(파라다이스)9월" xfId="110"/>
    <cellStyle name="_내역서최종" xfId="111"/>
    <cellStyle name="_단가견적서(광탄)" xfId="112"/>
    <cellStyle name="_당진(송)_준공내역서" xfId="113"/>
    <cellStyle name="_롯데2층일위대가-1" xfId="114"/>
    <cellStyle name="_롯데2층일위대가-1_1" xfId="115"/>
    <cellStyle name="_무대음향내역(최종)" xfId="116"/>
    <cellStyle name="_무대장치 예산서 2008-12-03" xfId="117"/>
    <cellStyle name="_무선인터컴" xfId="118"/>
    <cellStyle name="_물가_2009년도" xfId="119"/>
    <cellStyle name="_물가2006년9월" xfId="120"/>
    <cellStyle name="_물가자료(2006년3월)-1" xfId="121"/>
    <cellStyle name="_물가자료(2006년6월)" xfId="122"/>
    <cellStyle name="_방송중계시스템" xfId="123"/>
    <cellStyle name="_부안예술회관" xfId="124"/>
    <cellStyle name="_산동 농협동로지소 청사 신축공사-1" xfId="125"/>
    <cellStyle name="_산동 농협동로지소 청사 신축공사-1_1" xfId="126"/>
    <cellStyle name="_석고보드-차음시트" xfId="127"/>
    <cellStyle name="_안동최종정산" xfId="128"/>
    <cellStyle name="_역T형옹벽" xfId="129"/>
    <cellStyle name="_역T형옹벽_1" xfId="130"/>
    <cellStyle name="_역T형옹벽_2" xfId="131"/>
    <cellStyle name="_역T형옹벽_3" xfId="132"/>
    <cellStyle name="_역T형옹벽_4" xfId="133"/>
    <cellStyle name="_역T형옹벽_5" xfId="134"/>
    <cellStyle name="_역T형옹벽_6" xfId="135"/>
    <cellStyle name="_역T형옹벽_7" xfId="136"/>
    <cellStyle name="_역T형옹벽_8" xfId="137"/>
    <cellStyle name="_역T형옹벽_9" xfId="138"/>
    <cellStyle name="_역T형옹벽_A" xfId="139"/>
    <cellStyle name="_역T형옹벽_B" xfId="140"/>
    <cellStyle name="_역T형옹벽_C" xfId="141"/>
    <cellStyle name="_역T형옹벽_D" xfId="142"/>
    <cellStyle name="_역T형옹벽_E" xfId="143"/>
    <cellStyle name="_역T형옹벽_F" xfId="144"/>
    <cellStyle name="_영남대-중강당1" xfId="145"/>
    <cellStyle name="_영남대-중강당1(수정)" xfId="146"/>
    <cellStyle name="_영남대-최종안-1" xfId="147"/>
    <cellStyle name="_원가계산서" xfId="148"/>
    <cellStyle name="_유기전기1(동영ENG내역)" xfId="149"/>
    <cellStyle name="_음향실정보고2차041216" xfId="150"/>
    <cellStyle name="_일위대가" xfId="151"/>
    <cellStyle name="_일위대가(2005년12월)" xfId="152"/>
    <cellStyle name="_일위대가_1" xfId="153"/>
    <cellStyle name="_일위대가_2" xfId="154"/>
    <cellStyle name="_장애인 실내체육관 신축공사 " xfId="6"/>
    <cellStyle name="_정산내역서(음향)" xfId="155"/>
    <cellStyle name="_제주대학교무대조명" xfId="156"/>
    <cellStyle name="_제주대학교무대조명-" xfId="157"/>
    <cellStyle name="_제주도문예회관(동아PA)" xfId="158"/>
    <cellStyle name="_제주시 문예회관 면막 내역서" xfId="159"/>
    <cellStyle name="_조명실정보고2차041108" xfId="160"/>
    <cellStyle name="_청소년수련관산출근거조서" xfId="161"/>
    <cellStyle name="_청소년수련관산출근거조서_1" xfId="162"/>
    <cellStyle name="_청소년수련관일위대가" xfId="163"/>
    <cellStyle name="_청소년수련관일위대가_1" xfId="164"/>
    <cellStyle name="_파라다이스내역서(061204)" xfId="165"/>
    <cellStyle name="_파라다이스내역서(061204)-조명" xfId="166"/>
    <cellStyle name="_화성동탄 내역서 2007-03-14" xfId="167"/>
    <cellStyle name="_후면영사실" xfId="168"/>
    <cellStyle name="´Þ·?" xfId="169"/>
    <cellStyle name="´Þ·¯" xfId="170"/>
    <cellStyle name="’E‰Y [0.00]_laroux" xfId="171"/>
    <cellStyle name="’E‰Y_laroux" xfId="172"/>
    <cellStyle name="¤@?e_TEST-1 " xfId="7"/>
    <cellStyle name="△백분율" xfId="173"/>
    <cellStyle name="△콤마" xfId="174"/>
    <cellStyle name="°iA¤¼O¼yA¡" xfId="175"/>
    <cellStyle name="°íÁ¤¼Ò¼ýÁ¡" xfId="176"/>
    <cellStyle name="°iA¤¼O¼yA¡_경찰종합학교 내역-작성" xfId="177"/>
    <cellStyle name="°iA¤Aa·A1" xfId="178"/>
    <cellStyle name="°íÁ¤Ãâ·Â1" xfId="179"/>
    <cellStyle name="°iA¤Aa·A2" xfId="180"/>
    <cellStyle name="°íÁ¤Ãâ·Â2" xfId="181"/>
    <cellStyle name="" xfId="182"/>
    <cellStyle name="_300 3013 서귀포종합문예회관 무대조명장치 내역서 2009-01-15" xfId="183"/>
    <cellStyle name="_3013 서귀포종합문예회관 무대기계장치 내역서(래헌)" xfId="184"/>
    <cellStyle name="_3013 서귀포종합문예회관 무대기계장치 내역서(래헌)_가현리조트 신축공사 설계서-09.10.23" xfId="185"/>
    <cellStyle name="_808-강진문회복지관-무대기계(조사,대비)" xfId="186"/>
    <cellStyle name="_808-강진문회복지관-무대기계(조사,대비)_가현리조트 신축공사 설계서-09.10.23" xfId="187"/>
    <cellStyle name="_견적서 가로양식" xfId="188"/>
    <cellStyle name="_명-견적서" xfId="189"/>
    <cellStyle name="_물가_2009년도" xfId="190"/>
    <cellStyle name="_물가_2009년도_가현리조트 신축공사 설계서-09.10.23" xfId="191"/>
    <cellStyle name="_서울대학교내역서" xfId="192"/>
    <cellStyle name="_우송예술회관 무대장치 보수 계약내역서(20090827)" xfId="193"/>
    <cellStyle name="_타견적1" xfId="194"/>
    <cellStyle name="_타견적1_1" xfId="195"/>
    <cellStyle name="_x0007__x0009__x000d__x000d_­­_x0007__x0009_­" xfId="196"/>
    <cellStyle name="0%" xfId="197"/>
    <cellStyle name="0,0_x000d__x000a_NA_x000d__x000a_" xfId="198"/>
    <cellStyle name="0.0" xfId="199"/>
    <cellStyle name="0.0%" xfId="200"/>
    <cellStyle name="0.00" xfId="201"/>
    <cellStyle name="0.00%" xfId="202"/>
    <cellStyle name="0.000%" xfId="203"/>
    <cellStyle name="0.0000%" xfId="204"/>
    <cellStyle name="1" xfId="205"/>
    <cellStyle name="1_808-강진문회복지관-무대기계(조사,대비)" xfId="206"/>
    <cellStyle name="1_가현리조트 신축공사 설계서-09.10.23" xfId="207"/>
    <cellStyle name="1_물가_2009년도" xfId="208"/>
    <cellStyle name="123" xfId="209"/>
    <cellStyle name="19990216" xfId="210"/>
    <cellStyle name="2" xfId="211"/>
    <cellStyle name="²" xfId="212"/>
    <cellStyle name="2)" xfId="213"/>
    <cellStyle name="³?A￥" xfId="214"/>
    <cellStyle name="³¯Â¥" xfId="215"/>
    <cellStyle name="60" xfId="216"/>
    <cellStyle name="90" xfId="217"/>
    <cellStyle name="A¨­￠￢￠O [0]_AO¨uRCN¡¾U " xfId="8"/>
    <cellStyle name="A¨­￠￢￠O_AO¨uRCN¡¾U " xfId="9"/>
    <cellStyle name="AA" xfId="218"/>
    <cellStyle name="Actual Date" xfId="219"/>
    <cellStyle name="Aee­ " xfId="10"/>
    <cellStyle name="AeE­ [0]_ 2ÆAAþº° " xfId="11"/>
    <cellStyle name="ÅëÈ­ [0]_¸ðÇü¸·" xfId="220"/>
    <cellStyle name="AeE­ [0]_¸n·I-±a°e" xfId="221"/>
    <cellStyle name="ÅëÈ­ [0]_¸ñ·Ï-±â°è" xfId="222"/>
    <cellStyle name="AeE­ [0]_¸n·I-±a°e_AIA§-es2A÷" xfId="223"/>
    <cellStyle name="ÅëÈ­ [0]_¸ñ·Ï-±â°è_ÀÏÀ§-es2Â÷" xfId="224"/>
    <cellStyle name="AeE­ [0]_¸n-E?" xfId="225"/>
    <cellStyle name="ÅëÈ­ [0]_¸ñ-È¯" xfId="226"/>
    <cellStyle name="AeE­ [0]_±a°e-¸n·I" xfId="227"/>
    <cellStyle name="ÅëÈ­ [0]_±â°è-¸ñ·Ï" xfId="228"/>
    <cellStyle name="AeE­ [0]_±a°e¼³ºn-AIA§¸n·I " xfId="229"/>
    <cellStyle name="ÅëÈ­ [0]_±â°è¼³ºñ-ÀÏÀ§¸ñ·Ï " xfId="34"/>
    <cellStyle name="AeE­ [0]_°ø≫cºn¿¹≫e¼­" xfId="230"/>
    <cellStyle name="ÅëÈ­ [0]_0004 MECH COST  " xfId="231"/>
    <cellStyle name="AeE­ [0]_¼oAI¼º " xfId="12"/>
    <cellStyle name="ÅëÈ­ [0]_ÀÏ-±â" xfId="232"/>
    <cellStyle name="AeE­ [0]_AIA§-es2A÷" xfId="233"/>
    <cellStyle name="ÅëÈ­ [0]_ÀÏÀ§-es2Â÷" xfId="234"/>
    <cellStyle name="AeE­ [0]_AMT " xfId="235"/>
    <cellStyle name="ÅëÈ­ [0]_Áý°èÇ¥°ÇÃàºÐ" xfId="236"/>
    <cellStyle name="AeE­ [0]_BOM°eAa" xfId="237"/>
    <cellStyle name="ÅëÈ­ [0]_BOM°èÀå" xfId="238"/>
    <cellStyle name="AeE­ [0]_INQUIRY ¿μ¾÷AßAø " xfId="239"/>
    <cellStyle name="ÅëÈ­ [0]_laroux" xfId="240"/>
    <cellStyle name="AeE­ [0]_laroux_1" xfId="241"/>
    <cellStyle name="ÅëÈ­ [0]_laroux_1" xfId="242"/>
    <cellStyle name="AeE­ [0]_laroux_2" xfId="243"/>
    <cellStyle name="ÅëÈ­ [0]_laroux_2" xfId="244"/>
    <cellStyle name="AeE­ [0]_PERSONAL" xfId="245"/>
    <cellStyle name="ÅëÈ­ [0]_Sheet1" xfId="246"/>
    <cellStyle name="AeE­_ 2ÆAAþº° " xfId="13"/>
    <cellStyle name="ÅëÈ­_¸ðÇü¸·" xfId="247"/>
    <cellStyle name="AeE­_¸n·I-±a°e" xfId="248"/>
    <cellStyle name="ÅëÈ­_¸ñ·Ï-±â°è" xfId="249"/>
    <cellStyle name="AeE­_¸n·I-±a°e_AIA§-es2A÷" xfId="250"/>
    <cellStyle name="ÅëÈ­_¸ñ·Ï-±â°è_ÀÏÀ§-es2Â÷" xfId="251"/>
    <cellStyle name="AeE­_¸n-E?" xfId="252"/>
    <cellStyle name="ÅëÈ­_¸ñ-È¯" xfId="253"/>
    <cellStyle name="AeE­_±a°e-¸n·I" xfId="254"/>
    <cellStyle name="ÅëÈ­_±â°è-¸ñ·Ï" xfId="255"/>
    <cellStyle name="AeE­_±a°e¼³ºn-AIA§¸n·I " xfId="256"/>
    <cellStyle name="ÅëÈ­_±â°è¼³ºñ-ÀÏÀ§¸ñ·Ï " xfId="35"/>
    <cellStyle name="AeE­_°ø≫cºn¿¹≫e¼­" xfId="257"/>
    <cellStyle name="ÅëÈ­_0004 MECH COST  " xfId="258"/>
    <cellStyle name="AeE­_¼oAI¼º " xfId="14"/>
    <cellStyle name="ÅëÈ­_ÀÏ-±â" xfId="259"/>
    <cellStyle name="AeE­_AIA§-es2A÷" xfId="260"/>
    <cellStyle name="ÅëÈ­_ÀÏÀ§-es2Â÷" xfId="261"/>
    <cellStyle name="AeE­_AMT " xfId="262"/>
    <cellStyle name="ÅëÈ­_Áý°èÇ¥°ÇÃàºÐ" xfId="263"/>
    <cellStyle name="AeE­_BOM°eAa" xfId="264"/>
    <cellStyle name="ÅëÈ­_BOM°èÀå" xfId="265"/>
    <cellStyle name="AeE­_INQUIRY ¿μ¾÷AßAø " xfId="266"/>
    <cellStyle name="ÅëÈ­_laroux" xfId="267"/>
    <cellStyle name="AeE­_laroux_1" xfId="268"/>
    <cellStyle name="ÅëÈ­_laroux_1" xfId="269"/>
    <cellStyle name="AeE­_laroux_2" xfId="270"/>
    <cellStyle name="ÅëÈ­_laroux_2" xfId="271"/>
    <cellStyle name="AeE­_PERSONAL" xfId="272"/>
    <cellStyle name="ÅëÈ­_Sheet1" xfId="273"/>
    <cellStyle name="AeE¡ⓒ [0]_AO¨uRCN¡¾U " xfId="15"/>
    <cellStyle name="AeE¡ⓒ_AO¨uRCN¡¾U " xfId="16"/>
    <cellStyle name="ÆÛ¼¾Æ®" xfId="274"/>
    <cellStyle name="ÆU¼¾ÆR" xfId="275"/>
    <cellStyle name="Afrundet valuta_PLDT" xfId="276"/>
    <cellStyle name="ALIGNMENT" xfId="277"/>
    <cellStyle name="AÞ¸¶ [0]_ 2ÆAAþº° " xfId="17"/>
    <cellStyle name="ÄÞ¸¶ [0]_¸ðÇü¸·" xfId="278"/>
    <cellStyle name="AÞ¸¶ [0]_¸n·I-±a°e" xfId="279"/>
    <cellStyle name="ÄÞ¸¶ [0]_¸ñ·Ï-±â°è" xfId="280"/>
    <cellStyle name="AÞ¸¶ [0]_¸n·I-±a°e_AIA§-es2A÷" xfId="281"/>
    <cellStyle name="ÄÞ¸¶ [0]_¸ñ·Ï-±â°è_ÀÏÀ§-es2Â÷" xfId="282"/>
    <cellStyle name="AÞ¸¶ [0]_¸n-E?" xfId="283"/>
    <cellStyle name="ÄÞ¸¶ [0]_¸ñ-È¯" xfId="284"/>
    <cellStyle name="AÞ¸¶ [0]_±a°e-¸n·I" xfId="285"/>
    <cellStyle name="ÄÞ¸¶ [0]_±â°è-¸ñ·Ï" xfId="286"/>
    <cellStyle name="AÞ¸¶ [0]_±a°e¼³ºn-AIA§¸n·I " xfId="287"/>
    <cellStyle name="ÄÞ¸¶ [0]_±â°è¼³ºñ-ÀÏÀ§¸ñ·Ï " xfId="36"/>
    <cellStyle name="AÞ¸¶ [0]_°ø≫cºn¿¹≫e¼­" xfId="288"/>
    <cellStyle name="ÄÞ¸¶ [0]_0004 MECH COST  " xfId="289"/>
    <cellStyle name="AÞ¸¶ [0]_¼oAI¼º " xfId="18"/>
    <cellStyle name="ÄÞ¸¶ [0]_¼öÀÍ¼º " xfId="47"/>
    <cellStyle name="AÞ¸¶ [0]_AIA§-es2A÷" xfId="290"/>
    <cellStyle name="ÄÞ¸¶ [0]_ÀÏÀ§-es2Â÷" xfId="291"/>
    <cellStyle name="AÞ¸¶ [0]_AN°y(1.25) " xfId="37"/>
    <cellStyle name="ÄÞ¸¶ [0]_Áý°èÇ¥°ÇÃàºÐ" xfId="292"/>
    <cellStyle name="AÞ¸¶ [0]_BOM°eAa" xfId="293"/>
    <cellStyle name="ÄÞ¸¶ [0]_BOM°èÀå" xfId="294"/>
    <cellStyle name="AÞ¸¶ [0]_INQUIRY ¿μ¾÷AßAø " xfId="295"/>
    <cellStyle name="ÄÞ¸¶ [0]_laroux" xfId="296"/>
    <cellStyle name="AÞ¸¶ [0]_Sheet1" xfId="297"/>
    <cellStyle name="ÄÞ¸¶ [0]_Sheet1" xfId="298"/>
    <cellStyle name="AÞ¸¶_ 2ÆAAþº° " xfId="19"/>
    <cellStyle name="ÄÞ¸¶_¸ðÇü¸·" xfId="299"/>
    <cellStyle name="AÞ¸¶_¸n·I-±a°e" xfId="300"/>
    <cellStyle name="ÄÞ¸¶_¸ñ·Ï-±â°è" xfId="301"/>
    <cellStyle name="AÞ¸¶_¸n·I-±a°e_AIA§-es2A÷" xfId="302"/>
    <cellStyle name="ÄÞ¸¶_¸ñ·Ï-±â°è_ÀÏÀ§-es2Â÷" xfId="303"/>
    <cellStyle name="AÞ¸¶_¸n-E?" xfId="304"/>
    <cellStyle name="ÄÞ¸¶_¸ñ-È¯" xfId="305"/>
    <cellStyle name="AÞ¸¶_±a°e-¸n·I" xfId="306"/>
    <cellStyle name="ÄÞ¸¶_±â°è-¸ñ·Ï" xfId="307"/>
    <cellStyle name="AÞ¸¶_±a°e¼³ºn-AIA§¸n·I " xfId="308"/>
    <cellStyle name="ÄÞ¸¶_±â°è¼³ºñ-ÀÏÀ§¸ñ·Ï " xfId="38"/>
    <cellStyle name="AÞ¸¶_°ø≫cºn¿¹≫e¼­" xfId="309"/>
    <cellStyle name="ÄÞ¸¶_0004 MECH COST  " xfId="310"/>
    <cellStyle name="AÞ¸¶_¼oAI¼º " xfId="20"/>
    <cellStyle name="ÄÞ¸¶_¼öÀÍ¼º " xfId="48"/>
    <cellStyle name="AÞ¸¶_AIA§-es2A÷" xfId="311"/>
    <cellStyle name="ÄÞ¸¶_ÀÏÀ§-es2Â÷" xfId="312"/>
    <cellStyle name="AÞ¸¶_AN°y(1.25) " xfId="39"/>
    <cellStyle name="ÄÞ¸¶_Áý°èÇ¥°ÇÃàºÐ" xfId="313"/>
    <cellStyle name="AÞ¸¶_BOM°eAa" xfId="314"/>
    <cellStyle name="ÄÞ¸¶_BOM°èÀå" xfId="315"/>
    <cellStyle name="AÞ¸¶_INQUIRY ¿μ¾÷AßAø " xfId="316"/>
    <cellStyle name="ÄÞ¸¶_laroux" xfId="317"/>
    <cellStyle name="AÞ¸¶_Sheet1" xfId="318"/>
    <cellStyle name="ÄÞ¸¶_Sheet1" xfId="319"/>
    <cellStyle name="ÀÚ¸®¼ö" xfId="320"/>
    <cellStyle name="ÀÚ¸®¼ö0" xfId="321"/>
    <cellStyle name="AU¸R¼o" xfId="322"/>
    <cellStyle name="AU¸R¼o0" xfId="323"/>
    <cellStyle name="_x0001_b" xfId="324"/>
    <cellStyle name="C¡IA¨ª_¡ic¨u¡A¨￢I¨￢¡Æ AN¡Æe " xfId="40"/>
    <cellStyle name="C￥AØ_  FAB AIA¤  " xfId="21"/>
    <cellStyle name="Ç¥ÁØ_(%)ºñ¸ñ±ººÐ·ùÇ¥" xfId="325"/>
    <cellStyle name="C￥AØ_(%)ºn¸n±ººÐ·uC￥_1" xfId="326"/>
    <cellStyle name="Ç¥ÁØ_(%)ºñ¸ñ±ººÐ·ùÇ¥_1" xfId="327"/>
    <cellStyle name="C￥AØ_(%)ºn¸n±ººÐ·uC￥_1_경찰종합학교 내역-작성" xfId="328"/>
    <cellStyle name="Ç¥ÁØ_¸ðÇü¸·" xfId="329"/>
    <cellStyle name="C￥AØ_¸n·I-±a°e_1" xfId="330"/>
    <cellStyle name="Ç¥ÁØ_¸ñ·Ï-±â°è_1" xfId="331"/>
    <cellStyle name="C￥AØ_¸n·I-±a°e_1_경찰종합학교 내역-작성" xfId="332"/>
    <cellStyle name="Ç¥ÁØ_¸ñ·Ï-±â°è_ÀÏÀ§-es2Â÷" xfId="333"/>
    <cellStyle name="C￥AØ_¸n·I-±a°e_AIA§-es2A÷_목록-조경 (2)" xfId="334"/>
    <cellStyle name="Ç¥ÁØ_¸ñ-È¯" xfId="335"/>
    <cellStyle name="C￥AØ_¿μ¾÷CoE² " xfId="336"/>
    <cellStyle name="Ç¥ÁØ_±â°è(4)" xfId="337"/>
    <cellStyle name="C￥AØ_±a°e(4)_목록-조경 (2)" xfId="338"/>
    <cellStyle name="Ç¥ÁØ_±â°è(5)" xfId="339"/>
    <cellStyle name="C￥AØ_±a°e(5)_HY-단산출" xfId="340"/>
    <cellStyle name="Ç¥ÁØ_±â°è-¸ñ·Ï" xfId="341"/>
    <cellStyle name="C￥AØ_±a°e-¸n·I_목록-조경 (2)" xfId="342"/>
    <cellStyle name="Ç¥ÁØ_±â°è¼³ºñ-ÀÏÀ§¸ñ·Ï " xfId="41"/>
    <cellStyle name="C￥AØ_±a°e¼³ºn-AIA§¸n·I _일-토목" xfId="343"/>
    <cellStyle name="Ç¥ÁØ_±âÅ¸ºñ¸ñ±ºÁö¼ö»êÃâ¼­ (2)" xfId="344"/>
    <cellStyle name="C￥AØ_±aA¸ºn¸n±ºAo¼o≫eAa¼­ (2)" xfId="345"/>
    <cellStyle name="Ç¥ÁØ_°­´ç (2)" xfId="346"/>
    <cellStyle name="C￥AØ_°­´c (2)_광명견적대비1010" xfId="347"/>
    <cellStyle name="Ç¥ÁØ_°­´ç (2)_광명견적대비1010" xfId="348"/>
    <cellStyle name="C￥AØ_°­´c (2)_광명견적대비1010_1차공사분 반사판(수정)" xfId="349"/>
    <cellStyle name="Ç¥ÁØ_°­´ç (2)_광명견적대비1010_1차공사분 반사판(수정)" xfId="350"/>
    <cellStyle name="C￥AØ_°­´c (2)_광명견적대비1010_2953-01L" xfId="351"/>
    <cellStyle name="Ç¥ÁØ_°­´ç (2)_광명견적대비1010_2953-01L" xfId="352"/>
    <cellStyle name="C￥AØ_°­´c (2)_광명견적대비1010_2953-01L_090728-인천남동구내역(조명)" xfId="353"/>
    <cellStyle name="Ç¥ÁØ_°­´ç (2)_광명견적대비1010_2953-01L_090728-인천남동구내역(조명)" xfId="354"/>
    <cellStyle name="C￥AØ_°­´c (2)_광명견적대비1010_2953-01L_090729-인천남동구내역(조명)" xfId="355"/>
    <cellStyle name="Ç¥ÁØ_°­´ç (2)_광명견적대비1010_2953-01L_090729-인천남동구내역(조명)" xfId="356"/>
    <cellStyle name="C￥AØ_°­´c (2)_광명견적대비1010_2953-01L_호원조명서류" xfId="357"/>
    <cellStyle name="Ç¥ÁØ_°­´ç (2)_광명견적대비1010_2953-01L_호원조명서류" xfId="358"/>
    <cellStyle name="C￥AØ_°­´c (2)_광명견적대비1010_견적서" xfId="359"/>
    <cellStyle name="Ç¥ÁØ_°­´ç (2)_광명견적대비1010_견적서" xfId="360"/>
    <cellStyle name="C￥AØ_°­´c (2)_광명견적대비1010_견적서_090729-인천남동구내역(조명)" xfId="361"/>
    <cellStyle name="Ç¥ÁØ_°­´ç (2)_광명견적대비1010_견적서_090729-인천남동구내역(조명)" xfId="362"/>
    <cellStyle name="C￥AØ_°­´c (2)_광명견적대비1010_견적서_가현리조트 신축공사 설계서-09.10.23" xfId="363"/>
    <cellStyle name="Ç¥ÁØ_°­´ç (2)_광명견적대비1010_견적서_가현리조트 신축공사 설계서-09.10.23" xfId="364"/>
    <cellStyle name="C￥AØ_°­´c (2)_광명견적대비1010_견적서_호원조명서류" xfId="365"/>
    <cellStyle name="Ç¥ÁØ_°­´ç (2)_광명견적대비1010_견적서_호원조명서류" xfId="366"/>
    <cellStyle name="C￥AØ_°­´c (2)_광명견적대비1010_경기예고(수정)" xfId="367"/>
    <cellStyle name="Ç¥ÁØ_°­´ç (2)_광명견적대비1010_경기예고(수정)" xfId="368"/>
    <cellStyle name="C￥AØ_°­´c (2)_광명견적대비1010_경기예고내역서" xfId="369"/>
    <cellStyle name="Ç¥ÁØ_°­´ç (2)_광명견적대비1010_경기예고내역서" xfId="370"/>
    <cellStyle name="C￥AØ_°­´c (2)_광명견적대비1010_경기예고내역서(20060420)" xfId="371"/>
    <cellStyle name="Ç¥ÁØ_°­´ç (2)_광명견적대비1010_경기예고내역서(20060420)" xfId="372"/>
    <cellStyle name="C￥AØ_°­´c (2)_광명견적대비1010_경기예고내역서_090728-인천남동구내역(조명)" xfId="373"/>
    <cellStyle name="Ç¥ÁØ_°­´ç (2)_광명견적대비1010_경기예고내역서_090728-인천남동구내역(조명)" xfId="374"/>
    <cellStyle name="C￥AØ_°­´c (2)_광명견적대비1010_경기예고내역서_090729-인천남동구내역(조명)" xfId="375"/>
    <cellStyle name="Ç¥ÁØ_°­´ç (2)_광명견적대비1010_경기예고내역서_090729-인천남동구내역(조명)" xfId="376"/>
    <cellStyle name="C￥AØ_°­´c (2)_광명견적대비1010_경기예고내역서_호원조명서류" xfId="377"/>
    <cellStyle name="Ç¥ÁØ_°­´ç (2)_광명견적대비1010_경기예고내역서_호원조명서류" xfId="378"/>
    <cellStyle name="C￥AØ_°­´c (2)_광명견적대비1010_물가자료(2006년3월)-1" xfId="379"/>
    <cellStyle name="Ç¥ÁØ_°­´ç (2)_광명견적대비1010_물가자료(2006년3월)-1" xfId="380"/>
    <cellStyle name="C￥AØ_°­´c (2)_광명견적대비1010_복사본 상부기계(수정)kjs" xfId="381"/>
    <cellStyle name="Ç¥ÁØ_°­´ç (2)_광명견적대비1010_복사본 상부기계(수정)kjs" xfId="382"/>
    <cellStyle name="C￥AØ_°­´c (2)_광명견적대비1010_상부기계(수정)" xfId="383"/>
    <cellStyle name="Ç¥ÁØ_°­´ç (2)_광명견적대비1010_상부기계(수정)" xfId="384"/>
    <cellStyle name="C￥AØ_°­´c (2)_광명견적대비1010_일위대가(2005년12월)" xfId="385"/>
    <cellStyle name="Ç¥ÁØ_°­´ç (2)_광명견적대비1010_일위대가(2005년12월)" xfId="386"/>
    <cellStyle name="C￥AØ_°­´c (2)_광명견적대비1010_제주시 문예회관 면막 내역서" xfId="387"/>
    <cellStyle name="Ç¥ÁØ_°­´ç (2)_광명견적대비1010_제주시 문예회관 면막 내역서" xfId="388"/>
    <cellStyle name="C￥AØ_°­´c (2)_광명견적대비1010_최종2차단가대비(MAIN CURTAIN)" xfId="389"/>
    <cellStyle name="Ç¥ÁØ_°­´ç (2)_광명견적대비1010_최종2차단가대비(MAIN CURTAIN)" xfId="390"/>
    <cellStyle name="C￥AØ_°­´c (2)_광명관급" xfId="391"/>
    <cellStyle name="Ç¥ÁØ_°­´ç (2)_광명관급" xfId="392"/>
    <cellStyle name="C￥AØ_°­´c (2)_금광" xfId="393"/>
    <cellStyle name="Ç¥ÁØ_°­´ç (2)_금광" xfId="394"/>
    <cellStyle name="C￥AØ_°­´c (2)_금광_복사본 상부기계(수정)kjs" xfId="395"/>
    <cellStyle name="Ç¥ÁØ_°­´ç (2)_금광_복사본 상부기계(수정)kjs" xfId="396"/>
    <cellStyle name="C￥AØ_°­´c (2)_금광_상부기계(수정)" xfId="397"/>
    <cellStyle name="Ç¥ÁØ_°­´ç (2)_금광_상부기계(수정)" xfId="398"/>
    <cellStyle name="C￥AØ_°­´c (2)_금광_최종2차단가대비(MAIN CURTAIN)" xfId="399"/>
    <cellStyle name="Ç¥ÁØ_°­´ç (2)_금광_최종2차단가대비(MAIN CURTAIN)" xfId="400"/>
    <cellStyle name="C￥AØ_°­´c (2)_삼사" xfId="401"/>
    <cellStyle name="Ç¥ÁØ_°­´ç (2)_삼사" xfId="402"/>
    <cellStyle name="C￥AØ_°­´c (2)_삼사_복사본 상부기계(수정)kjs" xfId="403"/>
    <cellStyle name="Ç¥ÁØ_°­´ç (2)_삼사_복사본 상부기계(수정)kjs" xfId="404"/>
    <cellStyle name="C￥AØ_°­´c (2)_삼사_상부기계(수정)" xfId="405"/>
    <cellStyle name="Ç¥ÁØ_°­´ç (2)_삼사_상부기계(수정)" xfId="406"/>
    <cellStyle name="C￥AØ_°­´c (2)_삼사_최종2차단가대비(MAIN CURTAIN)" xfId="407"/>
    <cellStyle name="Ç¥ÁØ_°­´ç (2)_삼사_최종2차단가대비(MAIN CURTAIN)" xfId="408"/>
    <cellStyle name="C￥AØ_°CAa(1)_IL-건축" xfId="409"/>
    <cellStyle name="Ç¥ÁØ_°ÇÃà(4)" xfId="410"/>
    <cellStyle name="C￥AØ_°CAa(4)_목록-조경 (2)" xfId="411"/>
    <cellStyle name="Ç¥ÁØ_°ÇÃà(5)" xfId="412"/>
    <cellStyle name="C￥AØ_°CAa(5)_목록-조경 (2)" xfId="413"/>
    <cellStyle name="Ç¥ÁØ_°ÇÃà(6)" xfId="414"/>
    <cellStyle name="C￥AØ_°CAa(6)_일-토목" xfId="415"/>
    <cellStyle name="Ç¥ÁØ_°ÇÃàµµ±Þ" xfId="416"/>
    <cellStyle name="C￥AØ_°CAa-1" xfId="417"/>
    <cellStyle name="Ç¥ÁØ_°ÇÃà-1" xfId="418"/>
    <cellStyle name="C￥AØ_°CAa-1_경찰종합학교 내역-작성" xfId="419"/>
    <cellStyle name="Ç¥ÁØ_°èÀå" xfId="420"/>
    <cellStyle name="C￥AØ_°eAa_목록-조경 (2)" xfId="421"/>
    <cellStyle name="Ç¥ÁØ_°ø»çºñ¸ñ±ººÐ·ùÇ¥" xfId="422"/>
    <cellStyle name="C￥AØ_°ø≫cºn¸n±ººÐ·uC￥" xfId="423"/>
    <cellStyle name="Ç¥ÁØ_0001 ELECT COST_0004 ARCH SUM  " xfId="424"/>
    <cellStyle name="C￥AØ_0N-HANDLING " xfId="49"/>
    <cellStyle name="Ç¥ÁØ_¼öÀÍ¼º " xfId="50"/>
    <cellStyle name="C￥AØ_¼OE­_일-토목" xfId="425"/>
    <cellStyle name="Ç¥ÁØ_½ÃÁß³ëÀÓ´Ü°¡Ç¥" xfId="426"/>
    <cellStyle name="C￥AØ_½AAß³eAO´U°¡C￥_일-토목" xfId="427"/>
    <cellStyle name="Ç¥ÁØ_½ÃÁß³ëÀÓÆò±Õ" xfId="428"/>
    <cellStyle name="C￥AØ_½AAß³eAOÆo±O_목록-조경 (2)" xfId="429"/>
    <cellStyle name="Ç¥ÁØ_1" xfId="430"/>
    <cellStyle name="C￥AØ_1_일-토목" xfId="431"/>
    <cellStyle name="Ç¥ÁØ_¹®Á¥¿ª»ç" xfId="432"/>
    <cellStyle name="C￥AØ_¹°°¡º?μ¿(±a°e)" xfId="433"/>
    <cellStyle name="Ç¥ÁØ_¹°°¡º¯µ¿(±â°è)" xfId="434"/>
    <cellStyle name="C￥AØ_¹RA￥¿ª≫c" xfId="435"/>
    <cellStyle name="Ç¥ÁØ_2" xfId="436"/>
    <cellStyle name="C￥AØ_2_일-토목" xfId="437"/>
    <cellStyle name="Ç¥ÁØ_³»¿ª¼­" xfId="438"/>
    <cellStyle name="C￥AØ_³≫¿ª¼­" xfId="439"/>
    <cellStyle name="Ç¥ÁØ_95010" xfId="440"/>
    <cellStyle name="C￥AØ_95010 (2)" xfId="441"/>
    <cellStyle name="Ç¥ÁØ_95010 (2)" xfId="442"/>
    <cellStyle name="C￥AØ_95010 (2)_경찰종합학교 내역-작성" xfId="443"/>
    <cellStyle name="Ç¥ÁØ_95020" xfId="444"/>
    <cellStyle name="C￥AØ_95020 (2)" xfId="445"/>
    <cellStyle name="Ç¥ÁØ_95020 (2)" xfId="446"/>
    <cellStyle name="C￥AØ_95020 (2)_경찰종합학교 내역-작성" xfId="447"/>
    <cellStyle name="Ç¥ÁØ_95030" xfId="448"/>
    <cellStyle name="C￥AØ_95030 (2)" xfId="449"/>
    <cellStyle name="Ç¥ÁØ_95030 (2)" xfId="450"/>
    <cellStyle name="C￥AØ_95030 (2)_경찰종합학교 내역-작성" xfId="451"/>
    <cellStyle name="Ç¥ÁØ_95050" xfId="452"/>
    <cellStyle name="C￥AØ_95050_목록-조경 (2)" xfId="453"/>
    <cellStyle name="Ç¥ÁØ_95060" xfId="454"/>
    <cellStyle name="C￥AØ_95060_목록-조경 (2)" xfId="455"/>
    <cellStyle name="Ç¥ÁØ_95070" xfId="456"/>
    <cellStyle name="C￥AØ_95070_일-토목" xfId="457"/>
    <cellStyle name="Ç¥ÁØ_À§»ý" xfId="458"/>
    <cellStyle name="C￥AØ_A§≫y" xfId="459"/>
    <cellStyle name="Ç¥ÁØ_Åä¸ñ(5)" xfId="460"/>
    <cellStyle name="C￥AØ_Aa¸n(5)_목록-조경 (2)" xfId="461"/>
    <cellStyle name="Ç¥ÁØ_Àå-1" xfId="462"/>
    <cellStyle name="C￥AØ_Aa-1_목록-조경 (2)" xfId="463"/>
    <cellStyle name="Ç¥ÁØ_ÀåÁö¿ª»ç" xfId="464"/>
    <cellStyle name="C￥AØ_AaAo¿ª≫c" xfId="465"/>
    <cellStyle name="Ç¥ÁØ_ÀåÁö-2" xfId="466"/>
    <cellStyle name="C￥AØ_AaAo-2_일-토목" xfId="467"/>
    <cellStyle name="Ç¥ÁØ_ÀåÁö-3" xfId="468"/>
    <cellStyle name="C￥AØ_AaAo-3_일-토목" xfId="469"/>
    <cellStyle name="Ç¥ÁØ_ÀåÁö-4" xfId="470"/>
    <cellStyle name="C￥AØ_AaAo-4_일-토목" xfId="471"/>
    <cellStyle name="Ç¥ÁØ_ÀåÁö-5" xfId="472"/>
    <cellStyle name="C￥AØ_AaAo-5_일-토목" xfId="473"/>
    <cellStyle name="Ç¥ÁØ_ÀåÁöÁý°è" xfId="474"/>
    <cellStyle name="C￥AØ_AaAoAy°e_일-토목" xfId="475"/>
    <cellStyle name="Ç¥ÁØ_Àç·áºñºñ¸ñº¯µ¿À²" xfId="476"/>
    <cellStyle name="C￥AØ_AI-±a" xfId="477"/>
    <cellStyle name="Ç¥ÁØ_ÀÏ-±â" xfId="478"/>
    <cellStyle name="C￥AØ_AI-±a_경찰종합학교 내역-작성" xfId="479"/>
    <cellStyle name="Ç¥ÁØ_ÀÏÀ§-es2Â÷" xfId="480"/>
    <cellStyle name="C￥AØ_AIA§-es2A÷_일-토목" xfId="481"/>
    <cellStyle name="Ç¥ÁØ_Áö¼öÁ¶Á¤À²" xfId="482"/>
    <cellStyle name="C￥AØ_Ao¼oA¶A¤A²(±Øμ¿)" xfId="483"/>
    <cellStyle name="Ç¥ÁØ_Áö¼öÁ¶Á¤À²_±âÅ¸ºñ¸ñ±ºÁö¼ö»êÃâ¼­" xfId="484"/>
    <cellStyle name="C￥AØ_Ao¼oA¶A¤A²_±aA¸ºn¸n±ºAo¼o≫eAa¼­" xfId="485"/>
    <cellStyle name="Ç¥ÁØ_Áö¼öÁ¶Á¤À²_1" xfId="486"/>
    <cellStyle name="C￥AØ_Ao¼oA¶A¤A²_1_목록-조경 (2)" xfId="487"/>
    <cellStyle name="Ç¥ÁØ_Áö¼öÁ¶Á¤À²_Àç·áºñºñ¸ñº¯µ¿À²" xfId="488"/>
    <cellStyle name="C￥AØ_Ao¼oA¶A¤A²_HY-단산출" xfId="489"/>
    <cellStyle name="Ç¥ÁØ_Áö¼öÁ¶Á¤À²_KIM" xfId="490"/>
    <cellStyle name="C￥AØ_Ao¼oA¶A¤A²_KIM_il-건축" xfId="491"/>
    <cellStyle name="Ç¥ÁØ_Áö¼öÁ¶Á¤À²_ºñ¸ñ±ºÆò±ÕÁö¼ö" xfId="492"/>
    <cellStyle name="C￥AØ_Ao¼oA¶A¤A²_ºn¸n±ºÆo±OAo¼o_일-토목" xfId="493"/>
    <cellStyle name="Ç¥ÁØ_Áö¼öÁ¶Á¤À²2" xfId="494"/>
    <cellStyle name="C￥AØ_Ao¼oA¶A¤A²2_HY-단산출" xfId="495"/>
    <cellStyle name="Ç¥ÁØ_Àü±â»êÃâ" xfId="496"/>
    <cellStyle name="C￥AØ_Au±a≫eAa" xfId="497"/>
    <cellStyle name="Ç¥ÁØ_ÀÚµ¿Á¦¾î" xfId="498"/>
    <cellStyle name="C￥AØ_AUμ¿A|¾i" xfId="499"/>
    <cellStyle name="Ç¥ÁØ_Áý°è" xfId="500"/>
    <cellStyle name="C￥AØ_Ay°e_일-토목" xfId="501"/>
    <cellStyle name="Ç¥ÁØ_Áý°èÇ¥°ÇÃàºÐ" xfId="502"/>
    <cellStyle name="C￥AØ_Ay°eC￥°CAaºÐ_일-토목" xfId="503"/>
    <cellStyle name="Ç¥ÁØ_B" xfId="504"/>
    <cellStyle name="C￥AØ_B_목록-조경 (2)" xfId="505"/>
    <cellStyle name="Ç¥ÁØ_BOB-1" xfId="506"/>
    <cellStyle name="C￥AØ_BOB-1_목록-조경 (2)" xfId="507"/>
    <cellStyle name="Ç¥ÁØ_BOB-2" xfId="508"/>
    <cellStyle name="C￥AØ_BOB-2_목록-조경 (2)" xfId="509"/>
    <cellStyle name="Ç¥ÁØ_BOM°èÀå" xfId="510"/>
    <cellStyle name="C￥AØ_BOM°eAa_일-토목" xfId="511"/>
    <cellStyle name="Ç¥ÁØ_EACT10" xfId="512"/>
    <cellStyle name="C￥AØ_HHHH001_HY-단산출" xfId="513"/>
    <cellStyle name="Ç¥ÁØ_HHHHH002" xfId="514"/>
    <cellStyle name="C￥AØ_HHHHH002_일-토목" xfId="515"/>
    <cellStyle name="Ç¥ÁØ_JENAE01" xfId="516"/>
    <cellStyle name="C￥AØ_JENAE01_일-토목" xfId="517"/>
    <cellStyle name="Ç¥ÁØ_JUN-MS05" xfId="518"/>
    <cellStyle name="C￥AØ_JUN-MS05_일-토목" xfId="519"/>
    <cellStyle name="Ç¥ÁØ_JUN-MS06" xfId="520"/>
    <cellStyle name="C￥AØ_JUN-MS06_일-토목" xfId="521"/>
    <cellStyle name="Ç¥ÁØ_KANG" xfId="522"/>
    <cellStyle name="C￥AØ_KANG_일-토목" xfId="523"/>
    <cellStyle name="Ç¥ÁØ_KUN" xfId="524"/>
    <cellStyle name="C￥AØ_KUN_il-건축" xfId="525"/>
    <cellStyle name="Ç¥ÁØ_laroux" xfId="526"/>
    <cellStyle name="C￥AØ_laroux_°ø≫cºn¿¹≫e¼­" xfId="527"/>
    <cellStyle name="Ç¥ÁØ_laroux_1" xfId="528"/>
    <cellStyle name="C￥AØ_laroux_1_°ø≫cºn¿¹≫e¼­" xfId="529"/>
    <cellStyle name="Ç¥ÁØ_laroux_1_Áý°èÇ¥°ÇÃàºÐ" xfId="530"/>
    <cellStyle name="C￥AØ_laroux_1_Ay°eC￥°CAaºÐ_HY-단산출" xfId="531"/>
    <cellStyle name="Ç¥ÁØ_laroux_1_laroux" xfId="532"/>
    <cellStyle name="C￥AØ_laroux_1_laroux_HY-단산출" xfId="533"/>
    <cellStyle name="Ç¥ÁØ_laroux_2" xfId="534"/>
    <cellStyle name="C￥AØ_laroux_2_HY-단산출" xfId="535"/>
    <cellStyle name="Ç¥ÁØ_laroux_3" xfId="536"/>
    <cellStyle name="C￥AØ_laroux_3_목록-조경 (2)" xfId="537"/>
    <cellStyle name="Ç¥ÁØ_laroux_4" xfId="538"/>
    <cellStyle name="C￥AØ_laroux_5" xfId="539"/>
    <cellStyle name="Ç¥ÁØ_laroux_5" xfId="540"/>
    <cellStyle name="C￥AØ_laroux_5_목록-조경 (2)" xfId="541"/>
    <cellStyle name="Ç¥ÁØ_laroux_Áý°èÇ¥°ÇÃàºÐ" xfId="542"/>
    <cellStyle name="C￥AØ_laroux_Ay°eC￥°CAaºÐ_목록-조경 (2)" xfId="543"/>
    <cellStyle name="Ç¥ÁØ_laroux_laroux" xfId="544"/>
    <cellStyle name="C￥AØ_laroux_laroux_목록-조경 (2)" xfId="545"/>
    <cellStyle name="Ç¥ÁØ_LIST01" xfId="546"/>
    <cellStyle name="C￥AØ_LIST01_목록-조경 (2)" xfId="547"/>
    <cellStyle name="Ç¥ÁØ_LIST03" xfId="548"/>
    <cellStyle name="C￥AØ_LIST03_일-토목" xfId="549"/>
    <cellStyle name="Ç¥ÁØ_NAE101" xfId="550"/>
    <cellStyle name="C￥AØ_NAE101 (2)" xfId="551"/>
    <cellStyle name="Ç¥ÁØ_NAE101 (2)" xfId="552"/>
    <cellStyle name="C￥AØ_NAE101 (2)_경찰종합학교 내역-작성" xfId="553"/>
    <cellStyle name="Ç¥ÁØ_NAE201" xfId="554"/>
    <cellStyle name="C￥AØ_NAE201_일-토목" xfId="555"/>
    <cellStyle name="Ç¥ÁØ_NAE202" xfId="556"/>
    <cellStyle name="C￥AØ_NAE202_목록-조경 (2)" xfId="557"/>
    <cellStyle name="Ç¥ÁØ_NAE203" xfId="558"/>
    <cellStyle name="C￥AØ_NAE203_HY-단산출" xfId="559"/>
    <cellStyle name="Ç¥ÁØ_NAE204" xfId="560"/>
    <cellStyle name="C￥AØ_NAE204_일-토목" xfId="561"/>
    <cellStyle name="Ç¥ÁØ_NAE301" xfId="562"/>
    <cellStyle name="C￥AØ_NAE301_목록-조경 (2)" xfId="563"/>
    <cellStyle name="Ç¥ÁØ_º»¼±" xfId="564"/>
    <cellStyle name="C￥AØ_º≫¼±" xfId="565"/>
    <cellStyle name="Ç¥ÁØ_ºñ¸ñ±º(±â°è)" xfId="566"/>
    <cellStyle name="C￥AØ_ºn¸n±º(±a°e)_목록-조경 (2)" xfId="567"/>
    <cellStyle name="Ç¥ÁØ_ºñ¸ñ±º(°ÇÃà)" xfId="568"/>
    <cellStyle name="C￥AØ_ºn¸n±º(°CAa)_목록-조경 (2)" xfId="569"/>
    <cellStyle name="Ç¥ÁØ_ºñ¸ñ±ºÆò±ÕÁö¼ö" xfId="570"/>
    <cellStyle name="C￥AØ_ºn¸n±ºÆo±OAo¼o_HY-단산출" xfId="571"/>
    <cellStyle name="Ç¥ÁØ_Sheet1" xfId="572"/>
    <cellStyle name="C￥AØ_Sheet1_il-건축" xfId="573"/>
    <cellStyle name="Calc Currency (0)" xfId="574"/>
    <cellStyle name="category" xfId="575"/>
    <cellStyle name="CIAIÆU¸μAⓒ" xfId="576"/>
    <cellStyle name="ÇÕ»ê" xfId="577"/>
    <cellStyle name="CO≫e" xfId="578"/>
    <cellStyle name="Comma" xfId="22"/>
    <cellStyle name="Comma [0]" xfId="23"/>
    <cellStyle name="Comma [0]?RQSTFRM_97회비" xfId="579"/>
    <cellStyle name="Comma [0]_ SG&amp;A Bridge " xfId="580"/>
    <cellStyle name="comma zerodec" xfId="581"/>
    <cellStyle name="Comma_ SG&amp;A Bridge" xfId="582"/>
    <cellStyle name="Comma0" xfId="583"/>
    <cellStyle name="Copied" xfId="584"/>
    <cellStyle name="Curren?_x0012_퐀_x0017_?" xfId="585"/>
    <cellStyle name="Currency" xfId="24"/>
    <cellStyle name="Currency [0]" xfId="25"/>
    <cellStyle name="currency-$" xfId="586"/>
    <cellStyle name="Currency_ SG&amp;A Bridge " xfId="26"/>
    <cellStyle name="Currency0" xfId="587"/>
    <cellStyle name="Currency1" xfId="27"/>
    <cellStyle name="Date" xfId="588"/>
    <cellStyle name="Dezimal [0]_Ausdruck RUND (D)" xfId="589"/>
    <cellStyle name="Dezimal_Ausdruck RUND (D)" xfId="590"/>
    <cellStyle name="Dollar (zero dec)" xfId="591"/>
    <cellStyle name="E­Æo±aE￡" xfId="592"/>
    <cellStyle name="È­Æó±âÈ£" xfId="593"/>
    <cellStyle name="E­Æo±aE￡_경찰종합학교 내역-작성" xfId="594"/>
    <cellStyle name="E­Æo±aE￡0" xfId="595"/>
    <cellStyle name="È­Æó±âÈ£0" xfId="596"/>
    <cellStyle name="E­Æo±aE￡0_경찰종합학교 내역-작성" xfId="597"/>
    <cellStyle name="Entered" xfId="598"/>
    <cellStyle name="F2" xfId="599"/>
    <cellStyle name="F3" xfId="600"/>
    <cellStyle name="F4" xfId="601"/>
    <cellStyle name="F5" xfId="602"/>
    <cellStyle name="F6" xfId="603"/>
    <cellStyle name="F7" xfId="604"/>
    <cellStyle name="F8" xfId="605"/>
    <cellStyle name="Fixed" xfId="606"/>
    <cellStyle name="ǦǦ_x0003_" xfId="607"/>
    <cellStyle name="Grey" xfId="608"/>
    <cellStyle name="H1" xfId="609"/>
    <cellStyle name="H2" xfId="610"/>
    <cellStyle name="HEADER" xfId="611"/>
    <cellStyle name="Header1" xfId="612"/>
    <cellStyle name="Header2" xfId="613"/>
    <cellStyle name="Heading 1" xfId="614"/>
    <cellStyle name="Heading 2" xfId="615"/>
    <cellStyle name="Heading1" xfId="616"/>
    <cellStyle name="Heading2" xfId="617"/>
    <cellStyle name="Helv8_PFD4.XLS" xfId="618"/>
    <cellStyle name="HIGHLIGHT" xfId="619"/>
    <cellStyle name="Hyperlink_NEGS" xfId="620"/>
    <cellStyle name="Input [yellow]" xfId="621"/>
    <cellStyle name="_x0001__x0002_ĵĵ_x0007__x0009_ĵĵ_x000d__x000d_ƨƬ_x0001__x0002_ƨƬ_x0007__x000d_ǒǓ_x0009__x000d_ǜǜ_x000d__x000d_ǪǪ_x0007__x0007__x0005__x0005__x0010__x0001_ဠ" xfId="622"/>
    <cellStyle name="Milliers [0]_Arabian Spec" xfId="623"/>
    <cellStyle name="Milliers_Arabian Spec" xfId="624"/>
    <cellStyle name="Model" xfId="625"/>
    <cellStyle name="Mon?aire [0]_Arabian Spec" xfId="626"/>
    <cellStyle name="Mon?aire_Arabian Spec" xfId="627"/>
    <cellStyle name="no dec" xfId="628"/>
    <cellStyle name="Normal - Style1" xfId="629"/>
    <cellStyle name="Normal - Style2" xfId="630"/>
    <cellStyle name="Normal - Style3" xfId="631"/>
    <cellStyle name="Normal - Style4" xfId="632"/>
    <cellStyle name="Normal - Style5" xfId="633"/>
    <cellStyle name="Normal - Style6" xfId="634"/>
    <cellStyle name="Normal - Style7" xfId="635"/>
    <cellStyle name="Normal - Style8" xfId="636"/>
    <cellStyle name="Normal_ SG&amp;A Bridge " xfId="28"/>
    <cellStyle name="Œ…?æ맖?e [0.00]_laroux" xfId="637"/>
    <cellStyle name="Œ…?æ맖?e_laroux" xfId="638"/>
    <cellStyle name="oft Excel]_x000d__x000a_Comment=The open=/f lines load custom functions into the Paste Function list._x000d__x000a_Maximized=3_x000d__x000a_AutoFormat=" xfId="639"/>
    <cellStyle name="Over1" xfId="640"/>
    <cellStyle name="Percent" xfId="29"/>
    <cellStyle name="Percent [2]" xfId="641"/>
    <cellStyle name="Percent_가현리조트 신축공사 설계서-09.10.23" xfId="642"/>
    <cellStyle name="Produkt oversk." xfId="643"/>
    <cellStyle name="RevList" xfId="644"/>
    <cellStyle name="_x0001__x0002_ƨƬ_x0007__x000d_ǒǓ_x0009__x000d_ǜǜ_x000d__x000d_ǪǪ_x0007__x0007__x0005__x0005__x0010__x0001_ဠ" xfId="645"/>
    <cellStyle name="STANDARD" xfId="646"/>
    <cellStyle name="STD" xfId="647"/>
    <cellStyle name="subhead" xfId="648"/>
    <cellStyle name="Subtotal" xfId="649"/>
    <cellStyle name="Title" xfId="650"/>
    <cellStyle name="title [1]" xfId="651"/>
    <cellStyle name="title [2]" xfId="652"/>
    <cellStyle name="Total" xfId="653"/>
    <cellStyle name="UM" xfId="654"/>
    <cellStyle name="under overskrft" xfId="655"/>
    <cellStyle name="Unprot" xfId="656"/>
    <cellStyle name="Unprot$" xfId="657"/>
    <cellStyle name="Unprotect" xfId="658"/>
    <cellStyle name="Valuta_PLDT" xfId="659"/>
    <cellStyle name="W?rung [0]_Ausdruck RUND (D)" xfId="660"/>
    <cellStyle name="W?rung_Ausdruck RUND (D)" xfId="661"/>
    <cellStyle name="μU¿¡ ¿A´A CIAIÆU¸μAⓒ" xfId="662"/>
    <cellStyle name="_x0010__x0001_ဠ" xfId="663"/>
    <cellStyle name="가?_x0001_" xfId="664"/>
    <cellStyle name="견적" xfId="665"/>
    <cellStyle name="고정소숫점" xfId="666"/>
    <cellStyle name="고정출력1" xfId="667"/>
    <cellStyle name="고정출력2" xfId="668"/>
    <cellStyle name="咬訌裝?INCOM1" xfId="669"/>
    <cellStyle name="咬訌裝?INCOM10" xfId="670"/>
    <cellStyle name="咬訌裝?INCOM2" xfId="671"/>
    <cellStyle name="咬訌裝?INCOM3" xfId="672"/>
    <cellStyle name="咬訌裝?INCOM4" xfId="673"/>
    <cellStyle name="咬訌裝?INCOM5" xfId="674"/>
    <cellStyle name="咬訌裝?INCOM6" xfId="675"/>
    <cellStyle name="咬訌裝?INCOM7" xfId="676"/>
    <cellStyle name="咬訌裝?INCOM8" xfId="677"/>
    <cellStyle name="咬訌裝?INCOM9" xfId="678"/>
    <cellStyle name="咬訌裝?PRIB11" xfId="679"/>
    <cellStyle name="금액" xfId="680"/>
    <cellStyle name="기계" xfId="681"/>
    <cellStyle name="김해전기" xfId="682"/>
    <cellStyle name="김호(E4전환)" xfId="683"/>
    <cellStyle name="날짜" xfId="684"/>
    <cellStyle name="내역" xfId="685"/>
    <cellStyle name="내역서" xfId="686"/>
    <cellStyle name="단위" xfId="687"/>
    <cellStyle name="단위(원)" xfId="688"/>
    <cellStyle name="단위_090728-인천남동구내역(조명)" xfId="689"/>
    <cellStyle name="달러" xfId="690"/>
    <cellStyle name="뒤에 오는 하이퍼링크" xfId="691"/>
    <cellStyle name="똿뗦먛귟 [0.00]_laroux" xfId="692"/>
    <cellStyle name="똿뗦먛귟_laroux" xfId="693"/>
    <cellStyle name="믅됞 [0.00]_laroux" xfId="694"/>
    <cellStyle name="믅됞_laroux" xfId="695"/>
    <cellStyle name="백" xfId="696"/>
    <cellStyle name="백_대비표(0828)" xfId="697"/>
    <cellStyle name="백_대비표(0828)_가현리조트 신축공사 설계서-09.10.23" xfId="698"/>
    <cellStyle name="백_부대동(습식)" xfId="699"/>
    <cellStyle name="백_부대동(습식)_가현리조트 신축공사 설계서-09.10.23" xfId="700"/>
    <cellStyle name="백_부대시설" xfId="701"/>
    <cellStyle name="백_수완8-1 가실행" xfId="702"/>
    <cellStyle name="백_수완8-1 가실행_가현리조트 신축공사 설계서-09.10.23" xfId="703"/>
    <cellStyle name="백_수완8-1보활공정표(12월)" xfId="704"/>
    <cellStyle name="백_수완8-1보활공정표(12월)_가현리조트 신축공사 설계서-09.10.23" xfId="705"/>
    <cellStyle name="백_천안실행(06.09.12결재)" xfId="706"/>
    <cellStyle name="백_천안실행(06.09.12결재)_가현리조트 신축공사 설계서-09.10.23" xfId="707"/>
    <cellStyle name="백분율" xfId="54" builtinId="5" hidden="1"/>
    <cellStyle name="백분율 [0]" xfId="708"/>
    <cellStyle name="백분율 [2]" xfId="709"/>
    <cellStyle name="백분율 2" xfId="710"/>
    <cellStyle name="백분율 2 2" xfId="819"/>
    <cellStyle name="뷭?_?긚??_1" xfId="711"/>
    <cellStyle name="빨강" xfId="712"/>
    <cellStyle name="설계서" xfId="713"/>
    <cellStyle name="설계서-내용" xfId="714"/>
    <cellStyle name="설계서-내용-소수점" xfId="715"/>
    <cellStyle name="설계서-내용-우" xfId="716"/>
    <cellStyle name="설계서-내용-좌" xfId="717"/>
    <cellStyle name="설계서-소제목" xfId="718"/>
    <cellStyle name="설계서-타이틀" xfId="719"/>
    <cellStyle name="설계서-항목" xfId="720"/>
    <cellStyle name="수량" xfId="721"/>
    <cellStyle name="숫자" xfId="722"/>
    <cellStyle name="숫자(R)" xfId="723"/>
    <cellStyle name="쉼표" xfId="51" builtinId="3" hidden="1"/>
    <cellStyle name="쉼표 [0]" xfId="30" builtinId="6" hidden="1"/>
    <cellStyle name="쉼표 [0]" xfId="3" builtinId="6" hidden="1"/>
    <cellStyle name="쉼표 [0]" xfId="57" builtinId="6"/>
    <cellStyle name="쉼표 [0] 2" xfId="725"/>
    <cellStyle name="쉼표 [0] 2 2" xfId="726"/>
    <cellStyle name="쉼표 [0] 2 3" xfId="727"/>
    <cellStyle name="쉼표 [0] 3" xfId="65"/>
    <cellStyle name="쉼표 [0] 4" xfId="728"/>
    <cellStyle name="쉼표 [0] 5" xfId="724"/>
    <cellStyle name="쉼표 [0]_B061030-장성기계내역서" xfId="816"/>
    <cellStyle name="쉼표 [0]_가현리조트 신축공사 설계서-09.10.23" xfId="56"/>
    <cellStyle name="스타일 1" xfId="729"/>
    <cellStyle name="스타일 10" xfId="730"/>
    <cellStyle name="스타일 11" xfId="731"/>
    <cellStyle name="스타일 12" xfId="732"/>
    <cellStyle name="스타일 13" xfId="733"/>
    <cellStyle name="스타일 14" xfId="734"/>
    <cellStyle name="스타일 15" xfId="735"/>
    <cellStyle name="스타일 2" xfId="736"/>
    <cellStyle name="스타일 3" xfId="737"/>
    <cellStyle name="스타일 4" xfId="738"/>
    <cellStyle name="스타일 5" xfId="739"/>
    <cellStyle name="스타일 6" xfId="740"/>
    <cellStyle name="스타일 7" xfId="741"/>
    <cellStyle name="스타일 8" xfId="742"/>
    <cellStyle name="스타일 9" xfId="743"/>
    <cellStyle name="안건회계법인" xfId="744"/>
    <cellStyle name="원" xfId="745"/>
    <cellStyle name="원_내역서(07.1.19)" xfId="746"/>
    <cellStyle name="유영" xfId="747"/>
    <cellStyle name="자리수" xfId="748"/>
    <cellStyle name="자리수0" xfId="749"/>
    <cellStyle name="제목" xfId="31" builtinId="15" customBuiltin="1"/>
    <cellStyle name="지정되지 않음" xfId="750"/>
    <cellStyle name="코드" xfId="751"/>
    <cellStyle name="콤" xfId="752"/>
    <cellStyle name="콤_대비표(0828)" xfId="753"/>
    <cellStyle name="콤_대비표(0828)_가현리조트 신축공사 설계서-09.10.23" xfId="754"/>
    <cellStyle name="콤_부대동(습식)" xfId="755"/>
    <cellStyle name="콤_부대동(습식)_가현리조트 신축공사 설계서-09.10.23" xfId="756"/>
    <cellStyle name="콤_부대시설" xfId="757"/>
    <cellStyle name="콤_수완8-1 가실행" xfId="758"/>
    <cellStyle name="콤_수완8-1 가실행_가현리조트 신축공사 설계서-09.10.23" xfId="759"/>
    <cellStyle name="콤_수완8-1보활공정표(12월)" xfId="760"/>
    <cellStyle name="콤_수완8-1보활공정표(12월)_가현리조트 신축공사 설계서-09.10.23" xfId="761"/>
    <cellStyle name="콤_천안실행(06.09.12결재)" xfId="762"/>
    <cellStyle name="콤_천안실행(06.09.12결재)_가현리조트 신축공사 설계서-09.10.23" xfId="763"/>
    <cellStyle name="콤냡?&lt;_x000f_$??: `1_1 " xfId="42"/>
    <cellStyle name="콤냡?&lt;_x000f_$??:_x0009_`1_1 " xfId="32"/>
    <cellStyle name="콤마 [" xfId="764"/>
    <cellStyle name="콤마 [0]" xfId="765"/>
    <cellStyle name="콤마 [0]_538" xfId="59"/>
    <cellStyle name="콤마 [2]" xfId="766"/>
    <cellStyle name="콤마[0]" xfId="767"/>
    <cellStyle name="콤마_  종  합  " xfId="33"/>
    <cellStyle name="통" xfId="768"/>
    <cellStyle name="통_대비표(0828)" xfId="769"/>
    <cellStyle name="통_대비표(0828)_가현리조트 신축공사 설계서-09.10.23" xfId="770"/>
    <cellStyle name="통_부대동(습식)" xfId="771"/>
    <cellStyle name="통_부대동(습식)_가현리조트 신축공사 설계서-09.10.23" xfId="772"/>
    <cellStyle name="통_부대시설" xfId="773"/>
    <cellStyle name="통_수완8-1 가실행" xfId="774"/>
    <cellStyle name="통_수완8-1 가실행_가현리조트 신축공사 설계서-09.10.23" xfId="775"/>
    <cellStyle name="통_수완8-1보활공정표(12월)" xfId="776"/>
    <cellStyle name="통_수완8-1보활공정표(12월)_가현리조트 신축공사 설계서-09.10.23" xfId="777"/>
    <cellStyle name="통_천안실행(06.09.12결재)" xfId="778"/>
    <cellStyle name="통_천안실행(06.09.12결재)_가현리조트 신축공사 설계서-09.10.23" xfId="779"/>
    <cellStyle name="통화" xfId="52" builtinId="4" hidden="1"/>
    <cellStyle name="통화 [" xfId="780"/>
    <cellStyle name="통화 [0]" xfId="53" builtinId="7" hidden="1"/>
    <cellStyle name="통화 [0] 2" xfId="63"/>
    <cellStyle name="통화 [0]_가현리조트 신축공사 설계서-09.10.23" xfId="58"/>
    <cellStyle name="퍼센트" xfId="781"/>
    <cellStyle name="표" xfId="782"/>
    <cellStyle name="표_대비표(0828)" xfId="783"/>
    <cellStyle name="표_대비표(0828)_가현리조트 신축공사 설계서-09.10.23" xfId="784"/>
    <cellStyle name="표_부대동(습식)" xfId="785"/>
    <cellStyle name="표_부대동(습식)_가현리조트 신축공사 설계서-09.10.23" xfId="786"/>
    <cellStyle name="표_부대시설" xfId="787"/>
    <cellStyle name="표_수완8-1 가실행" xfId="788"/>
    <cellStyle name="표_수완8-1 가실행_가현리조트 신축공사 설계서-09.10.23" xfId="789"/>
    <cellStyle name="표_수완8-1보활공정표(12월)" xfId="790"/>
    <cellStyle name="표_수완8-1보활공정표(12월)_가현리조트 신축공사 설계서-09.10.23" xfId="791"/>
    <cellStyle name="표_천안실행(06.09.12결재)" xfId="792"/>
    <cellStyle name="표_천안실행(06.09.12결재)_가현리조트 신축공사 설계서-09.10.23" xfId="793"/>
    <cellStyle name="표준" xfId="0" builtinId="0"/>
    <cellStyle name="표준 10" xfId="794"/>
    <cellStyle name="표준 10 2" xfId="795"/>
    <cellStyle name="표준 11" xfId="796"/>
    <cellStyle name="표준 13" xfId="797"/>
    <cellStyle name="표준 14" xfId="798"/>
    <cellStyle name="표준 2" xfId="799"/>
    <cellStyle name="표준 2 2" xfId="4"/>
    <cellStyle name="표준 2 2 2" xfId="800"/>
    <cellStyle name="표준 2 3" xfId="818"/>
    <cellStyle name="표준 2_견적서양식(가로)" xfId="801"/>
    <cellStyle name="표준 3" xfId="802"/>
    <cellStyle name="표준 3 2" xfId="803"/>
    <cellStyle name="표준 4" xfId="64"/>
    <cellStyle name="표준 4 2" xfId="804"/>
    <cellStyle name="표준 5" xfId="62"/>
    <cellStyle name="표준 6" xfId="805"/>
    <cellStyle name="표준 7" xfId="806"/>
    <cellStyle name="표준 8" xfId="807"/>
    <cellStyle name="표준 9" xfId="808"/>
    <cellStyle name="표준_03-9월조사" xfId="61"/>
    <cellStyle name="표준_570-서류" xfId="60"/>
    <cellStyle name="標準_Akia(F）-8" xfId="809"/>
    <cellStyle name="표준_가현리조트 신축공사 설계서-09.10.23" xfId="55"/>
    <cellStyle name="표준_강남구민회관안전진단견적서및내역서(2007년4월3일)" xfId="817"/>
    <cellStyle name="표준_용인" xfId="820"/>
    <cellStyle name="표준_임율기준표" xfId="815"/>
    <cellStyle name="표쥰" xfId="810"/>
    <cellStyle name="합계" xfId="811"/>
    <cellStyle name="합산" xfId="812"/>
    <cellStyle name="화폐기호" xfId="813"/>
    <cellStyle name="화폐기호0" xfId="814"/>
  </cellStyles>
  <dxfs count="0"/>
  <tableStyles count="0" defaultTableStyle="TableStyleMedium9" defaultPivotStyle="PivotStyleLight16"/>
  <colors>
    <mruColors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8</xdr:row>
      <xdr:rowOff>9525</xdr:rowOff>
    </xdr:from>
    <xdr:to>
      <xdr:col>7</xdr:col>
      <xdr:colOff>581025</xdr:colOff>
      <xdr:row>8</xdr:row>
      <xdr:rowOff>9525</xdr:rowOff>
    </xdr:to>
    <xdr:cxnSp macro="">
      <xdr:nvCxnSpPr>
        <xdr:cNvPr id="10988" name="AutoShape 1"/>
        <xdr:cNvCxnSpPr>
          <a:cxnSpLocks noChangeShapeType="1"/>
        </xdr:cNvCxnSpPr>
      </xdr:nvCxnSpPr>
      <xdr:spPr bwMode="auto">
        <a:xfrm>
          <a:off x="1590675" y="1457325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40</xdr:row>
      <xdr:rowOff>9525</xdr:rowOff>
    </xdr:from>
    <xdr:to>
      <xdr:col>7</xdr:col>
      <xdr:colOff>581025</xdr:colOff>
      <xdr:row>40</xdr:row>
      <xdr:rowOff>9525</xdr:rowOff>
    </xdr:to>
    <xdr:cxnSp macro="">
      <xdr:nvCxnSpPr>
        <xdr:cNvPr id="10989" name="AutoShape 1"/>
        <xdr:cNvCxnSpPr>
          <a:cxnSpLocks noChangeShapeType="1"/>
        </xdr:cNvCxnSpPr>
      </xdr:nvCxnSpPr>
      <xdr:spPr bwMode="auto">
        <a:xfrm>
          <a:off x="1590675" y="7677150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72</xdr:row>
      <xdr:rowOff>9525</xdr:rowOff>
    </xdr:from>
    <xdr:to>
      <xdr:col>7</xdr:col>
      <xdr:colOff>581025</xdr:colOff>
      <xdr:row>72</xdr:row>
      <xdr:rowOff>9525</xdr:rowOff>
    </xdr:to>
    <xdr:cxnSp macro="">
      <xdr:nvCxnSpPr>
        <xdr:cNvPr id="10990" name="AutoShape 1"/>
        <xdr:cNvCxnSpPr>
          <a:cxnSpLocks noChangeShapeType="1"/>
        </xdr:cNvCxnSpPr>
      </xdr:nvCxnSpPr>
      <xdr:spPr bwMode="auto">
        <a:xfrm>
          <a:off x="1590675" y="13896975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104</xdr:row>
      <xdr:rowOff>9525</xdr:rowOff>
    </xdr:from>
    <xdr:to>
      <xdr:col>7</xdr:col>
      <xdr:colOff>581025</xdr:colOff>
      <xdr:row>104</xdr:row>
      <xdr:rowOff>9525</xdr:rowOff>
    </xdr:to>
    <xdr:cxnSp macro="">
      <xdr:nvCxnSpPr>
        <xdr:cNvPr id="10991" name="AutoShape 1"/>
        <xdr:cNvCxnSpPr>
          <a:cxnSpLocks noChangeShapeType="1"/>
        </xdr:cNvCxnSpPr>
      </xdr:nvCxnSpPr>
      <xdr:spPr bwMode="auto">
        <a:xfrm>
          <a:off x="1590675" y="20116800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136</xdr:row>
      <xdr:rowOff>9525</xdr:rowOff>
    </xdr:from>
    <xdr:to>
      <xdr:col>7</xdr:col>
      <xdr:colOff>581025</xdr:colOff>
      <xdr:row>136</xdr:row>
      <xdr:rowOff>9525</xdr:rowOff>
    </xdr:to>
    <xdr:cxnSp macro="">
      <xdr:nvCxnSpPr>
        <xdr:cNvPr id="10992" name="AutoShape 1"/>
        <xdr:cNvCxnSpPr>
          <a:cxnSpLocks noChangeShapeType="1"/>
        </xdr:cNvCxnSpPr>
      </xdr:nvCxnSpPr>
      <xdr:spPr bwMode="auto">
        <a:xfrm>
          <a:off x="1590675" y="26336625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168</xdr:row>
      <xdr:rowOff>9525</xdr:rowOff>
    </xdr:from>
    <xdr:to>
      <xdr:col>7</xdr:col>
      <xdr:colOff>581025</xdr:colOff>
      <xdr:row>168</xdr:row>
      <xdr:rowOff>9525</xdr:rowOff>
    </xdr:to>
    <xdr:cxnSp macro="">
      <xdr:nvCxnSpPr>
        <xdr:cNvPr id="10993" name="AutoShape 1"/>
        <xdr:cNvCxnSpPr>
          <a:cxnSpLocks noChangeShapeType="1"/>
        </xdr:cNvCxnSpPr>
      </xdr:nvCxnSpPr>
      <xdr:spPr bwMode="auto">
        <a:xfrm>
          <a:off x="1590675" y="32556450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1</xdr:col>
      <xdr:colOff>323850</xdr:colOff>
      <xdr:row>200</xdr:row>
      <xdr:rowOff>9525</xdr:rowOff>
    </xdr:from>
    <xdr:to>
      <xdr:col>7</xdr:col>
      <xdr:colOff>581025</xdr:colOff>
      <xdr:row>200</xdr:row>
      <xdr:rowOff>9525</xdr:rowOff>
    </xdr:to>
    <xdr:cxnSp macro="">
      <xdr:nvCxnSpPr>
        <xdr:cNvPr id="10994" name="AutoShape 1"/>
        <xdr:cNvCxnSpPr>
          <a:cxnSpLocks noChangeShapeType="1"/>
        </xdr:cNvCxnSpPr>
      </xdr:nvCxnSpPr>
      <xdr:spPr bwMode="auto">
        <a:xfrm>
          <a:off x="1590675" y="38776275"/>
          <a:ext cx="6572250" cy="0"/>
        </a:xfrm>
        <a:prstGeom prst="straightConnector1">
          <a:avLst/>
        </a:prstGeom>
        <a:noFill/>
        <a:ln w="381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4"/>
  <sheetViews>
    <sheetView workbookViewId="0"/>
  </sheetViews>
  <sheetFormatPr defaultRowHeight="13.5"/>
  <cols>
    <col min="1" max="1" width="16.625" style="4" customWidth="1"/>
    <col min="2" max="3" width="11" style="4" customWidth="1"/>
    <col min="4" max="6" width="16.625" style="4" customWidth="1"/>
    <col min="7" max="8" width="11" style="4" customWidth="1"/>
    <col min="9" max="9" width="16.625" style="4" customWidth="1"/>
    <col min="10" max="16384" width="9" style="8"/>
  </cols>
  <sheetData>
    <row r="1" spans="1:9">
      <c r="A1" s="2"/>
      <c r="B1" s="10"/>
      <c r="C1" s="10"/>
      <c r="D1" s="10"/>
      <c r="E1" s="10"/>
      <c r="F1" s="10"/>
      <c r="G1" s="10"/>
      <c r="H1" s="10"/>
      <c r="I1" s="6"/>
    </row>
    <row r="2" spans="1:9">
      <c r="A2" s="5"/>
      <c r="I2" s="1"/>
    </row>
    <row r="3" spans="1:9" ht="12" customHeight="1">
      <c r="A3" s="9"/>
      <c r="I3" s="1"/>
    </row>
    <row r="4" spans="1:9" ht="12" customHeight="1">
      <c r="A4" s="7"/>
      <c r="I4" s="1"/>
    </row>
    <row r="5" spans="1:9" ht="12" customHeight="1">
      <c r="A5" s="9"/>
      <c r="I5" s="1"/>
    </row>
    <row r="6" spans="1:9" ht="12" customHeight="1">
      <c r="A6" s="7"/>
      <c r="I6" s="1"/>
    </row>
    <row r="7" spans="1:9" ht="12" customHeight="1">
      <c r="A7" s="5"/>
      <c r="I7" s="1"/>
    </row>
    <row r="8" spans="1:9" ht="27">
      <c r="A8" s="369" t="s">
        <v>412</v>
      </c>
      <c r="B8" s="370"/>
      <c r="C8" s="370"/>
      <c r="D8" s="370"/>
      <c r="E8" s="370"/>
      <c r="F8" s="370"/>
      <c r="G8" s="370"/>
      <c r="H8" s="370"/>
      <c r="I8" s="371"/>
    </row>
    <row r="9" spans="1:9" ht="30" customHeight="1">
      <c r="A9" s="5"/>
      <c r="B9" s="3"/>
      <c r="C9" s="3"/>
      <c r="D9" s="3"/>
      <c r="E9" s="3"/>
      <c r="F9" s="3"/>
      <c r="G9" s="3"/>
      <c r="H9" s="3"/>
      <c r="I9" s="1"/>
    </row>
    <row r="10" spans="1:9" s="40" customFormat="1" ht="24.95" customHeight="1">
      <c r="A10" s="372" t="s">
        <v>78</v>
      </c>
      <c r="B10" s="373"/>
      <c r="C10" s="373"/>
      <c r="D10" s="373"/>
      <c r="E10" s="373"/>
      <c r="F10" s="373"/>
      <c r="G10" s="373"/>
      <c r="H10" s="373"/>
      <c r="I10" s="374"/>
    </row>
    <row r="11" spans="1:9" ht="12" customHeight="1">
      <c r="A11" s="41"/>
      <c r="I11" s="1"/>
    </row>
    <row r="12" spans="1:9">
      <c r="A12" s="5"/>
      <c r="I12" s="1"/>
    </row>
    <row r="13" spans="1:9">
      <c r="A13" s="5"/>
      <c r="I13" s="1"/>
    </row>
    <row r="14" spans="1:9">
      <c r="A14" s="5"/>
      <c r="I14" s="1"/>
    </row>
    <row r="15" spans="1:9">
      <c r="A15" s="5"/>
      <c r="I15" s="1"/>
    </row>
    <row r="16" spans="1:9">
      <c r="A16" s="5"/>
      <c r="I16" s="1"/>
    </row>
    <row r="17" spans="1:9">
      <c r="A17" s="5"/>
      <c r="I17" s="1"/>
    </row>
    <row r="18" spans="1:9">
      <c r="A18" s="5"/>
      <c r="I18" s="1"/>
    </row>
    <row r="19" spans="1:9">
      <c r="A19" s="5"/>
      <c r="I19" s="1"/>
    </row>
    <row r="20" spans="1:9">
      <c r="A20" s="5"/>
      <c r="I20" s="1"/>
    </row>
    <row r="21" spans="1:9" ht="20.25">
      <c r="A21" s="375" t="s">
        <v>413</v>
      </c>
      <c r="B21" s="376"/>
      <c r="C21" s="376"/>
      <c r="D21" s="376"/>
      <c r="E21" s="376"/>
      <c r="F21" s="376"/>
      <c r="G21" s="376"/>
      <c r="H21" s="376"/>
      <c r="I21" s="377"/>
    </row>
    <row r="22" spans="1:9">
      <c r="A22" s="5"/>
      <c r="I22" s="1"/>
    </row>
    <row r="23" spans="1:9">
      <c r="A23" s="5"/>
      <c r="I23" s="1"/>
    </row>
    <row r="24" spans="1:9">
      <c r="A24" s="5"/>
      <c r="I24" s="1"/>
    </row>
    <row r="25" spans="1:9">
      <c r="A25" s="5"/>
      <c r="I25" s="1"/>
    </row>
    <row r="26" spans="1:9">
      <c r="A26" s="5"/>
      <c r="I26" s="1"/>
    </row>
    <row r="27" spans="1:9">
      <c r="A27" s="5"/>
      <c r="I27" s="1"/>
    </row>
    <row r="28" spans="1:9" ht="22.5">
      <c r="A28" s="378"/>
      <c r="B28" s="379"/>
      <c r="C28" s="379"/>
      <c r="D28" s="379"/>
      <c r="E28" s="379"/>
      <c r="F28" s="379"/>
      <c r="G28" s="379"/>
      <c r="H28" s="379"/>
      <c r="I28" s="380"/>
    </row>
    <row r="29" spans="1:9" ht="22.5">
      <c r="A29" s="378"/>
      <c r="B29" s="379"/>
      <c r="C29" s="379"/>
      <c r="D29" s="379"/>
      <c r="E29" s="379"/>
      <c r="F29" s="379"/>
      <c r="G29" s="379"/>
      <c r="H29" s="379"/>
      <c r="I29" s="380"/>
    </row>
    <row r="30" spans="1:9">
      <c r="A30" s="5"/>
      <c r="I30" s="1"/>
    </row>
    <row r="31" spans="1:9">
      <c r="A31" s="5"/>
      <c r="I31" s="1"/>
    </row>
    <row r="32" spans="1:9" ht="14.25" thickBot="1">
      <c r="A32" s="42"/>
      <c r="B32" s="43"/>
      <c r="C32" s="43"/>
      <c r="D32" s="43"/>
      <c r="E32" s="43"/>
      <c r="F32" s="43"/>
      <c r="G32" s="43"/>
      <c r="H32" s="43"/>
      <c r="I32" s="44"/>
    </row>
    <row r="33" spans="1:9">
      <c r="A33" s="2"/>
      <c r="B33" s="10"/>
      <c r="C33" s="10"/>
      <c r="D33" s="10"/>
      <c r="E33" s="10"/>
      <c r="F33" s="10"/>
      <c r="G33" s="10"/>
      <c r="H33" s="10"/>
      <c r="I33" s="6"/>
    </row>
    <row r="34" spans="1:9">
      <c r="A34" s="5"/>
      <c r="I34" s="1"/>
    </row>
    <row r="35" spans="1:9" ht="12" customHeight="1">
      <c r="A35" s="9"/>
      <c r="I35" s="1"/>
    </row>
    <row r="36" spans="1:9" ht="12" customHeight="1">
      <c r="A36" s="7"/>
      <c r="I36" s="1"/>
    </row>
    <row r="37" spans="1:9" ht="12" customHeight="1">
      <c r="A37" s="9"/>
      <c r="I37" s="1"/>
    </row>
    <row r="38" spans="1:9" ht="12" customHeight="1">
      <c r="A38" s="7"/>
      <c r="I38" s="1"/>
    </row>
    <row r="39" spans="1:9" ht="12" customHeight="1">
      <c r="A39" s="5"/>
      <c r="I39" s="1"/>
    </row>
    <row r="40" spans="1:9" ht="27">
      <c r="A40" s="369" t="str">
        <f>A8</f>
        <v>경기도 어린이 박물관 무대장치 보수</v>
      </c>
      <c r="B40" s="370"/>
      <c r="C40" s="370"/>
      <c r="D40" s="370"/>
      <c r="E40" s="370"/>
      <c r="F40" s="370"/>
      <c r="G40" s="370"/>
      <c r="H40" s="370"/>
      <c r="I40" s="371"/>
    </row>
    <row r="41" spans="1:9" ht="30" customHeight="1">
      <c r="A41" s="5"/>
      <c r="B41" s="3"/>
      <c r="C41" s="3"/>
      <c r="D41" s="3"/>
      <c r="E41" s="3"/>
      <c r="F41" s="3"/>
      <c r="G41" s="3"/>
      <c r="H41" s="3"/>
      <c r="I41" s="1"/>
    </row>
    <row r="42" spans="1:9" s="40" customFormat="1" ht="24.95" customHeight="1">
      <c r="A42" s="372" t="s">
        <v>77</v>
      </c>
      <c r="B42" s="373"/>
      <c r="C42" s="373"/>
      <c r="D42" s="373"/>
      <c r="E42" s="373"/>
      <c r="F42" s="373"/>
      <c r="G42" s="373"/>
      <c r="H42" s="373"/>
      <c r="I42" s="374"/>
    </row>
    <row r="43" spans="1:9" ht="12" customHeight="1">
      <c r="A43" s="41"/>
      <c r="I43" s="1"/>
    </row>
    <row r="44" spans="1:9">
      <c r="A44" s="5"/>
      <c r="I44" s="1"/>
    </row>
    <row r="45" spans="1:9">
      <c r="A45" s="5"/>
      <c r="I45" s="1"/>
    </row>
    <row r="46" spans="1:9">
      <c r="A46" s="5"/>
      <c r="I46" s="1"/>
    </row>
    <row r="47" spans="1:9">
      <c r="A47" s="5"/>
      <c r="I47" s="1"/>
    </row>
    <row r="48" spans="1:9">
      <c r="A48" s="5"/>
      <c r="I48" s="1"/>
    </row>
    <row r="49" spans="1:9">
      <c r="A49" s="5"/>
      <c r="I49" s="1"/>
    </row>
    <row r="50" spans="1:9">
      <c r="A50" s="5"/>
      <c r="I50" s="1"/>
    </row>
    <row r="51" spans="1:9">
      <c r="A51" s="5"/>
      <c r="I51" s="1"/>
    </row>
    <row r="52" spans="1:9">
      <c r="A52" s="5"/>
      <c r="I52" s="1"/>
    </row>
    <row r="53" spans="1:9" ht="20.25">
      <c r="A53" s="375" t="str">
        <f>A21</f>
        <v>2016. 04</v>
      </c>
      <c r="B53" s="376"/>
      <c r="C53" s="376"/>
      <c r="D53" s="376"/>
      <c r="E53" s="376"/>
      <c r="F53" s="376"/>
      <c r="G53" s="376"/>
      <c r="H53" s="376"/>
      <c r="I53" s="377"/>
    </row>
    <row r="54" spans="1:9">
      <c r="A54" s="5"/>
      <c r="I54" s="1"/>
    </row>
    <row r="55" spans="1:9">
      <c r="A55" s="5"/>
      <c r="I55" s="1"/>
    </row>
    <row r="56" spans="1:9">
      <c r="A56" s="5"/>
      <c r="I56" s="1"/>
    </row>
    <row r="57" spans="1:9">
      <c r="A57" s="5"/>
      <c r="I57" s="1"/>
    </row>
    <row r="58" spans="1:9">
      <c r="A58" s="5"/>
      <c r="I58" s="1"/>
    </row>
    <row r="59" spans="1:9">
      <c r="A59" s="5"/>
      <c r="I59" s="1"/>
    </row>
    <row r="60" spans="1:9" ht="22.5">
      <c r="A60" s="378"/>
      <c r="B60" s="379"/>
      <c r="C60" s="379"/>
      <c r="D60" s="379"/>
      <c r="E60" s="379"/>
      <c r="F60" s="379"/>
      <c r="G60" s="379"/>
      <c r="H60" s="379"/>
      <c r="I60" s="380"/>
    </row>
    <row r="61" spans="1:9" ht="22.5">
      <c r="A61" s="378"/>
      <c r="B61" s="379"/>
      <c r="C61" s="379"/>
      <c r="D61" s="379"/>
      <c r="E61" s="379"/>
      <c r="F61" s="379"/>
      <c r="G61" s="379"/>
      <c r="H61" s="379"/>
      <c r="I61" s="380"/>
    </row>
    <row r="62" spans="1:9">
      <c r="A62" s="5"/>
      <c r="I62" s="1"/>
    </row>
    <row r="63" spans="1:9">
      <c r="A63" s="5"/>
      <c r="I63" s="1"/>
    </row>
    <row r="64" spans="1:9" ht="14.25" thickBot="1">
      <c r="A64" s="42"/>
      <c r="B64" s="43"/>
      <c r="C64" s="43"/>
      <c r="D64" s="43"/>
      <c r="E64" s="43"/>
      <c r="F64" s="43"/>
      <c r="G64" s="43"/>
      <c r="H64" s="43"/>
      <c r="I64" s="44"/>
    </row>
    <row r="65" spans="1:9">
      <c r="A65" s="2"/>
      <c r="B65" s="10"/>
      <c r="C65" s="10"/>
      <c r="D65" s="10"/>
      <c r="E65" s="10"/>
      <c r="F65" s="10"/>
      <c r="G65" s="10"/>
      <c r="H65" s="10"/>
      <c r="I65" s="6"/>
    </row>
    <row r="66" spans="1:9">
      <c r="A66" s="5"/>
      <c r="I66" s="1"/>
    </row>
    <row r="67" spans="1:9" ht="12" customHeight="1">
      <c r="A67" s="9"/>
      <c r="I67" s="1"/>
    </row>
    <row r="68" spans="1:9" ht="12" customHeight="1">
      <c r="A68" s="7"/>
      <c r="I68" s="1"/>
    </row>
    <row r="69" spans="1:9" ht="12" customHeight="1">
      <c r="A69" s="9"/>
      <c r="I69" s="1"/>
    </row>
    <row r="70" spans="1:9" ht="12" customHeight="1">
      <c r="A70" s="7"/>
      <c r="I70" s="1"/>
    </row>
    <row r="71" spans="1:9" ht="12" customHeight="1">
      <c r="A71" s="5"/>
      <c r="I71" s="1"/>
    </row>
    <row r="72" spans="1:9" ht="27">
      <c r="A72" s="369" t="str">
        <f>A40</f>
        <v>경기도 어린이 박물관 무대장치 보수</v>
      </c>
      <c r="B72" s="370"/>
      <c r="C72" s="370"/>
      <c r="D72" s="370"/>
      <c r="E72" s="370"/>
      <c r="F72" s="370"/>
      <c r="G72" s="370"/>
      <c r="H72" s="370"/>
      <c r="I72" s="371"/>
    </row>
    <row r="73" spans="1:9" ht="30" customHeight="1">
      <c r="A73" s="5"/>
      <c r="B73" s="3"/>
      <c r="C73" s="3"/>
      <c r="D73" s="3"/>
      <c r="E73" s="3"/>
      <c r="F73" s="3"/>
      <c r="G73" s="3"/>
      <c r="H73" s="3"/>
      <c r="I73" s="1"/>
    </row>
    <row r="74" spans="1:9" s="40" customFormat="1" ht="24.95" customHeight="1">
      <c r="A74" s="372" t="s">
        <v>76</v>
      </c>
      <c r="B74" s="373"/>
      <c r="C74" s="373"/>
      <c r="D74" s="373"/>
      <c r="E74" s="373"/>
      <c r="F74" s="373"/>
      <c r="G74" s="373"/>
      <c r="H74" s="373"/>
      <c r="I74" s="374"/>
    </row>
    <row r="75" spans="1:9" ht="12" customHeight="1">
      <c r="A75" s="41"/>
      <c r="I75" s="1"/>
    </row>
    <row r="76" spans="1:9">
      <c r="A76" s="5"/>
      <c r="I76" s="1"/>
    </row>
    <row r="77" spans="1:9">
      <c r="A77" s="5"/>
      <c r="I77" s="1"/>
    </row>
    <row r="78" spans="1:9">
      <c r="A78" s="5"/>
      <c r="I78" s="1"/>
    </row>
    <row r="79" spans="1:9">
      <c r="A79" s="5"/>
      <c r="I79" s="1"/>
    </row>
    <row r="80" spans="1:9">
      <c r="A80" s="5"/>
      <c r="I80" s="1"/>
    </row>
    <row r="81" spans="1:9">
      <c r="A81" s="5"/>
      <c r="I81" s="1"/>
    </row>
    <row r="82" spans="1:9">
      <c r="A82" s="5"/>
      <c r="I82" s="1"/>
    </row>
    <row r="83" spans="1:9">
      <c r="A83" s="5"/>
      <c r="I83" s="1"/>
    </row>
    <row r="84" spans="1:9">
      <c r="A84" s="5"/>
      <c r="I84" s="1"/>
    </row>
    <row r="85" spans="1:9" ht="20.25">
      <c r="A85" s="375" t="str">
        <f>A53</f>
        <v>2016. 04</v>
      </c>
      <c r="B85" s="376"/>
      <c r="C85" s="376"/>
      <c r="D85" s="376"/>
      <c r="E85" s="376"/>
      <c r="F85" s="376"/>
      <c r="G85" s="376"/>
      <c r="H85" s="376"/>
      <c r="I85" s="377"/>
    </row>
    <row r="86" spans="1:9">
      <c r="A86" s="5"/>
      <c r="I86" s="1"/>
    </row>
    <row r="87" spans="1:9">
      <c r="A87" s="5"/>
      <c r="I87" s="1"/>
    </row>
    <row r="88" spans="1:9">
      <c r="A88" s="5"/>
      <c r="I88" s="1"/>
    </row>
    <row r="89" spans="1:9">
      <c r="A89" s="5"/>
      <c r="I89" s="1"/>
    </row>
    <row r="90" spans="1:9">
      <c r="A90" s="5"/>
      <c r="I90" s="1"/>
    </row>
    <row r="91" spans="1:9">
      <c r="A91" s="5"/>
      <c r="I91" s="1"/>
    </row>
    <row r="92" spans="1:9" ht="22.5">
      <c r="A92" s="378"/>
      <c r="B92" s="379"/>
      <c r="C92" s="379"/>
      <c r="D92" s="379"/>
      <c r="E92" s="379"/>
      <c r="F92" s="379"/>
      <c r="G92" s="379"/>
      <c r="H92" s="379"/>
      <c r="I92" s="380"/>
    </row>
    <row r="93" spans="1:9" ht="22.5">
      <c r="A93" s="378"/>
      <c r="B93" s="379"/>
      <c r="C93" s="379"/>
      <c r="D93" s="379"/>
      <c r="E93" s="379"/>
      <c r="F93" s="379"/>
      <c r="G93" s="379"/>
      <c r="H93" s="379"/>
      <c r="I93" s="380"/>
    </row>
    <row r="94" spans="1:9">
      <c r="A94" s="5"/>
      <c r="I94" s="1"/>
    </row>
    <row r="95" spans="1:9">
      <c r="A95" s="5"/>
      <c r="I95" s="1"/>
    </row>
    <row r="96" spans="1:9" ht="14.25" thickBot="1">
      <c r="A96" s="42"/>
      <c r="B96" s="43"/>
      <c r="C96" s="43"/>
      <c r="D96" s="43"/>
      <c r="E96" s="43"/>
      <c r="F96" s="43"/>
      <c r="G96" s="43"/>
      <c r="H96" s="43"/>
      <c r="I96" s="44"/>
    </row>
    <row r="97" spans="1:9">
      <c r="A97" s="2"/>
      <c r="B97" s="10"/>
      <c r="C97" s="10"/>
      <c r="D97" s="10"/>
      <c r="E97" s="10"/>
      <c r="F97" s="10"/>
      <c r="G97" s="10"/>
      <c r="H97" s="10"/>
      <c r="I97" s="6"/>
    </row>
    <row r="98" spans="1:9">
      <c r="A98" s="5"/>
      <c r="I98" s="1"/>
    </row>
    <row r="99" spans="1:9" ht="12" customHeight="1">
      <c r="A99" s="9"/>
      <c r="I99" s="1"/>
    </row>
    <row r="100" spans="1:9" ht="12" customHeight="1">
      <c r="A100" s="7"/>
      <c r="I100" s="1"/>
    </row>
    <row r="101" spans="1:9" ht="12" customHeight="1">
      <c r="A101" s="9"/>
      <c r="I101" s="1"/>
    </row>
    <row r="102" spans="1:9" ht="12" customHeight="1">
      <c r="A102" s="7"/>
      <c r="I102" s="1"/>
    </row>
    <row r="103" spans="1:9" ht="12" customHeight="1">
      <c r="A103" s="5"/>
      <c r="I103" s="1"/>
    </row>
    <row r="104" spans="1:9" ht="27">
      <c r="A104" s="369" t="str">
        <f>A72</f>
        <v>경기도 어린이 박물관 무대장치 보수</v>
      </c>
      <c r="B104" s="370"/>
      <c r="C104" s="370"/>
      <c r="D104" s="370"/>
      <c r="E104" s="370"/>
      <c r="F104" s="370"/>
      <c r="G104" s="370"/>
      <c r="H104" s="370"/>
      <c r="I104" s="371"/>
    </row>
    <row r="105" spans="1:9" ht="30" customHeight="1">
      <c r="A105" s="5"/>
      <c r="B105" s="3"/>
      <c r="C105" s="3"/>
      <c r="D105" s="3"/>
      <c r="E105" s="3"/>
      <c r="F105" s="3"/>
      <c r="G105" s="3"/>
      <c r="H105" s="3"/>
      <c r="I105" s="1"/>
    </row>
    <row r="106" spans="1:9" s="40" customFormat="1" ht="24.95" customHeight="1">
      <c r="A106" s="372" t="s">
        <v>75</v>
      </c>
      <c r="B106" s="373"/>
      <c r="C106" s="373"/>
      <c r="D106" s="373"/>
      <c r="E106" s="373"/>
      <c r="F106" s="373"/>
      <c r="G106" s="373"/>
      <c r="H106" s="373"/>
      <c r="I106" s="374"/>
    </row>
    <row r="107" spans="1:9" ht="12" customHeight="1">
      <c r="A107" s="41"/>
      <c r="I107" s="1"/>
    </row>
    <row r="108" spans="1:9">
      <c r="A108" s="5"/>
      <c r="I108" s="1"/>
    </row>
    <row r="109" spans="1:9">
      <c r="A109" s="5"/>
      <c r="I109" s="1"/>
    </row>
    <row r="110" spans="1:9">
      <c r="A110" s="5"/>
      <c r="I110" s="1"/>
    </row>
    <row r="111" spans="1:9">
      <c r="A111" s="5"/>
      <c r="I111" s="1"/>
    </row>
    <row r="112" spans="1:9">
      <c r="A112" s="5"/>
      <c r="I112" s="1"/>
    </row>
    <row r="113" spans="1:9">
      <c r="A113" s="5"/>
      <c r="I113" s="1"/>
    </row>
    <row r="114" spans="1:9">
      <c r="A114" s="5"/>
      <c r="I114" s="1"/>
    </row>
    <row r="115" spans="1:9">
      <c r="A115" s="5"/>
      <c r="I115" s="1"/>
    </row>
    <row r="116" spans="1:9">
      <c r="A116" s="5"/>
      <c r="I116" s="1"/>
    </row>
    <row r="117" spans="1:9" ht="20.25">
      <c r="A117" s="375" t="str">
        <f>A85</f>
        <v>2016. 04</v>
      </c>
      <c r="B117" s="376"/>
      <c r="C117" s="376"/>
      <c r="D117" s="376"/>
      <c r="E117" s="376"/>
      <c r="F117" s="376"/>
      <c r="G117" s="376"/>
      <c r="H117" s="376"/>
      <c r="I117" s="377"/>
    </row>
    <row r="118" spans="1:9">
      <c r="A118" s="5"/>
      <c r="I118" s="1"/>
    </row>
    <row r="119" spans="1:9">
      <c r="A119" s="5"/>
      <c r="I119" s="1"/>
    </row>
    <row r="120" spans="1:9">
      <c r="A120" s="5"/>
      <c r="I120" s="1"/>
    </row>
    <row r="121" spans="1:9">
      <c r="A121" s="5"/>
      <c r="I121" s="1"/>
    </row>
    <row r="122" spans="1:9">
      <c r="A122" s="5"/>
      <c r="I122" s="1"/>
    </row>
    <row r="123" spans="1:9">
      <c r="A123" s="5"/>
      <c r="I123" s="1"/>
    </row>
    <row r="124" spans="1:9" ht="22.5">
      <c r="A124" s="378"/>
      <c r="B124" s="379"/>
      <c r="C124" s="379"/>
      <c r="D124" s="379"/>
      <c r="E124" s="379"/>
      <c r="F124" s="379"/>
      <c r="G124" s="379"/>
      <c r="H124" s="379"/>
      <c r="I124" s="380"/>
    </row>
    <row r="125" spans="1:9" ht="22.5">
      <c r="A125" s="378"/>
      <c r="B125" s="379"/>
      <c r="C125" s="379"/>
      <c r="D125" s="379"/>
      <c r="E125" s="379"/>
      <c r="F125" s="379"/>
      <c r="G125" s="379"/>
      <c r="H125" s="379"/>
      <c r="I125" s="380"/>
    </row>
    <row r="126" spans="1:9">
      <c r="A126" s="5"/>
      <c r="I126" s="1"/>
    </row>
    <row r="127" spans="1:9">
      <c r="A127" s="5"/>
      <c r="I127" s="1"/>
    </row>
    <row r="128" spans="1:9" ht="14.25" thickBot="1">
      <c r="A128" s="42"/>
      <c r="B128" s="43"/>
      <c r="C128" s="43"/>
      <c r="D128" s="43"/>
      <c r="E128" s="43"/>
      <c r="F128" s="43"/>
      <c r="G128" s="43"/>
      <c r="H128" s="43"/>
      <c r="I128" s="44"/>
    </row>
    <row r="129" spans="1:9">
      <c r="A129" s="2"/>
      <c r="B129" s="10"/>
      <c r="C129" s="10"/>
      <c r="D129" s="10"/>
      <c r="E129" s="10"/>
      <c r="F129" s="10"/>
      <c r="G129" s="10"/>
      <c r="H129" s="10"/>
      <c r="I129" s="6"/>
    </row>
    <row r="130" spans="1:9">
      <c r="A130" s="5"/>
      <c r="I130" s="1"/>
    </row>
    <row r="131" spans="1:9" ht="12" customHeight="1">
      <c r="A131" s="9"/>
      <c r="I131" s="1"/>
    </row>
    <row r="132" spans="1:9" ht="12" customHeight="1">
      <c r="A132" s="7"/>
      <c r="I132" s="1"/>
    </row>
    <row r="133" spans="1:9" ht="12" customHeight="1">
      <c r="A133" s="9"/>
      <c r="I133" s="1"/>
    </row>
    <row r="134" spans="1:9" ht="12" customHeight="1">
      <c r="A134" s="7"/>
      <c r="I134" s="1"/>
    </row>
    <row r="135" spans="1:9" ht="12" customHeight="1">
      <c r="A135" s="5"/>
      <c r="I135" s="1"/>
    </row>
    <row r="136" spans="1:9" ht="27">
      <c r="A136" s="369" t="str">
        <f>A104</f>
        <v>경기도 어린이 박물관 무대장치 보수</v>
      </c>
      <c r="B136" s="370"/>
      <c r="C136" s="370"/>
      <c r="D136" s="370"/>
      <c r="E136" s="370"/>
      <c r="F136" s="370"/>
      <c r="G136" s="370"/>
      <c r="H136" s="370"/>
      <c r="I136" s="371"/>
    </row>
    <row r="137" spans="1:9" ht="30" customHeight="1">
      <c r="A137" s="5"/>
      <c r="B137" s="3"/>
      <c r="C137" s="3"/>
      <c r="D137" s="3"/>
      <c r="E137" s="3"/>
      <c r="F137" s="3"/>
      <c r="G137" s="3"/>
      <c r="H137" s="3"/>
      <c r="I137" s="1"/>
    </row>
    <row r="138" spans="1:9" s="40" customFormat="1" ht="24.95" customHeight="1">
      <c r="A138" s="372" t="s">
        <v>74</v>
      </c>
      <c r="B138" s="373"/>
      <c r="C138" s="373"/>
      <c r="D138" s="373"/>
      <c r="E138" s="373"/>
      <c r="F138" s="373"/>
      <c r="G138" s="373"/>
      <c r="H138" s="373"/>
      <c r="I138" s="374"/>
    </row>
    <row r="139" spans="1:9" ht="12" customHeight="1">
      <c r="A139" s="41"/>
      <c r="I139" s="1"/>
    </row>
    <row r="140" spans="1:9">
      <c r="A140" s="5"/>
      <c r="I140" s="1"/>
    </row>
    <row r="141" spans="1:9">
      <c r="A141" s="5"/>
      <c r="I141" s="1"/>
    </row>
    <row r="142" spans="1:9">
      <c r="A142" s="5"/>
      <c r="I142" s="1"/>
    </row>
    <row r="143" spans="1:9">
      <c r="A143" s="5"/>
      <c r="I143" s="1"/>
    </row>
    <row r="144" spans="1:9">
      <c r="A144" s="5"/>
      <c r="I144" s="1"/>
    </row>
    <row r="145" spans="1:9">
      <c r="A145" s="5"/>
      <c r="I145" s="1"/>
    </row>
    <row r="146" spans="1:9">
      <c r="A146" s="5"/>
      <c r="I146" s="1"/>
    </row>
    <row r="147" spans="1:9">
      <c r="A147" s="5"/>
      <c r="I147" s="1"/>
    </row>
    <row r="148" spans="1:9">
      <c r="A148" s="5"/>
      <c r="I148" s="1"/>
    </row>
    <row r="149" spans="1:9" ht="20.25">
      <c r="A149" s="375" t="str">
        <f>A117</f>
        <v>2016. 04</v>
      </c>
      <c r="B149" s="376"/>
      <c r="C149" s="376"/>
      <c r="D149" s="376"/>
      <c r="E149" s="376"/>
      <c r="F149" s="376"/>
      <c r="G149" s="376"/>
      <c r="H149" s="376"/>
      <c r="I149" s="377"/>
    </row>
    <row r="150" spans="1:9">
      <c r="A150" s="5"/>
      <c r="I150" s="1"/>
    </row>
    <row r="151" spans="1:9">
      <c r="A151" s="5"/>
      <c r="I151" s="1"/>
    </row>
    <row r="152" spans="1:9">
      <c r="A152" s="5"/>
      <c r="I152" s="1"/>
    </row>
    <row r="153" spans="1:9">
      <c r="A153" s="5"/>
      <c r="I153" s="1"/>
    </row>
    <row r="154" spans="1:9">
      <c r="A154" s="5"/>
      <c r="I154" s="1"/>
    </row>
    <row r="155" spans="1:9">
      <c r="A155" s="5"/>
      <c r="I155" s="1"/>
    </row>
    <row r="156" spans="1:9" ht="22.5">
      <c r="A156" s="378"/>
      <c r="B156" s="379"/>
      <c r="C156" s="379"/>
      <c r="D156" s="379"/>
      <c r="E156" s="379"/>
      <c r="F156" s="379"/>
      <c r="G156" s="379"/>
      <c r="H156" s="379"/>
      <c r="I156" s="380"/>
    </row>
    <row r="157" spans="1:9" ht="22.5">
      <c r="A157" s="378"/>
      <c r="B157" s="379"/>
      <c r="C157" s="379"/>
      <c r="D157" s="379"/>
      <c r="E157" s="379"/>
      <c r="F157" s="379"/>
      <c r="G157" s="379"/>
      <c r="H157" s="379"/>
      <c r="I157" s="380"/>
    </row>
    <row r="158" spans="1:9">
      <c r="A158" s="5"/>
      <c r="I158" s="1"/>
    </row>
    <row r="159" spans="1:9">
      <c r="A159" s="5"/>
      <c r="I159" s="1"/>
    </row>
    <row r="160" spans="1:9" ht="14.25" thickBot="1">
      <c r="A160" s="42"/>
      <c r="B160" s="43"/>
      <c r="C160" s="43"/>
      <c r="D160" s="43"/>
      <c r="E160" s="43"/>
      <c r="F160" s="43"/>
      <c r="G160" s="43"/>
      <c r="H160" s="43"/>
      <c r="I160" s="44"/>
    </row>
    <row r="161" spans="1:9">
      <c r="A161" s="2"/>
      <c r="B161" s="10"/>
      <c r="C161" s="10"/>
      <c r="D161" s="10"/>
      <c r="E161" s="10"/>
      <c r="F161" s="10"/>
      <c r="G161" s="10"/>
      <c r="H161" s="10"/>
      <c r="I161" s="6"/>
    </row>
    <row r="162" spans="1:9">
      <c r="A162" s="5"/>
      <c r="I162" s="1"/>
    </row>
    <row r="163" spans="1:9" ht="12" customHeight="1">
      <c r="A163" s="9"/>
      <c r="I163" s="1"/>
    </row>
    <row r="164" spans="1:9" ht="12" customHeight="1">
      <c r="A164" s="7"/>
      <c r="I164" s="1"/>
    </row>
    <row r="165" spans="1:9" ht="12" customHeight="1">
      <c r="A165" s="9"/>
      <c r="I165" s="1"/>
    </row>
    <row r="166" spans="1:9" ht="12" customHeight="1">
      <c r="A166" s="7"/>
      <c r="I166" s="1"/>
    </row>
    <row r="167" spans="1:9" ht="12" customHeight="1">
      <c r="A167" s="5"/>
      <c r="I167" s="1"/>
    </row>
    <row r="168" spans="1:9" ht="27">
      <c r="A168" s="369" t="str">
        <f>A136</f>
        <v>경기도 어린이 박물관 무대장치 보수</v>
      </c>
      <c r="B168" s="370"/>
      <c r="C168" s="370"/>
      <c r="D168" s="370"/>
      <c r="E168" s="370"/>
      <c r="F168" s="370"/>
      <c r="G168" s="370"/>
      <c r="H168" s="370"/>
      <c r="I168" s="371"/>
    </row>
    <row r="169" spans="1:9" ht="30" customHeight="1">
      <c r="A169" s="5"/>
      <c r="B169" s="3"/>
      <c r="C169" s="3"/>
      <c r="D169" s="3"/>
      <c r="E169" s="3"/>
      <c r="F169" s="3"/>
      <c r="G169" s="3"/>
      <c r="H169" s="3"/>
      <c r="I169" s="1"/>
    </row>
    <row r="170" spans="1:9" s="40" customFormat="1" ht="24.95" customHeight="1">
      <c r="A170" s="372" t="s">
        <v>73</v>
      </c>
      <c r="B170" s="373"/>
      <c r="C170" s="373"/>
      <c r="D170" s="373"/>
      <c r="E170" s="373"/>
      <c r="F170" s="373"/>
      <c r="G170" s="373"/>
      <c r="H170" s="373"/>
      <c r="I170" s="374"/>
    </row>
    <row r="171" spans="1:9" ht="12" customHeight="1">
      <c r="A171" s="41"/>
      <c r="I171" s="1"/>
    </row>
    <row r="172" spans="1:9">
      <c r="A172" s="5"/>
      <c r="I172" s="1"/>
    </row>
    <row r="173" spans="1:9">
      <c r="A173" s="5"/>
      <c r="I173" s="1"/>
    </row>
    <row r="174" spans="1:9">
      <c r="A174" s="5"/>
      <c r="I174" s="1"/>
    </row>
    <row r="175" spans="1:9">
      <c r="A175" s="5"/>
      <c r="I175" s="1"/>
    </row>
    <row r="176" spans="1:9">
      <c r="A176" s="5"/>
      <c r="I176" s="1"/>
    </row>
    <row r="177" spans="1:9">
      <c r="A177" s="5"/>
      <c r="I177" s="1"/>
    </row>
    <row r="178" spans="1:9">
      <c r="A178" s="5"/>
      <c r="I178" s="1"/>
    </row>
    <row r="179" spans="1:9">
      <c r="A179" s="5"/>
      <c r="I179" s="1"/>
    </row>
    <row r="180" spans="1:9">
      <c r="A180" s="5"/>
      <c r="I180" s="1"/>
    </row>
    <row r="181" spans="1:9" ht="20.25">
      <c r="A181" s="375" t="str">
        <f>A149</f>
        <v>2016. 04</v>
      </c>
      <c r="B181" s="376"/>
      <c r="C181" s="376"/>
      <c r="D181" s="376"/>
      <c r="E181" s="376"/>
      <c r="F181" s="376"/>
      <c r="G181" s="376"/>
      <c r="H181" s="376"/>
      <c r="I181" s="377"/>
    </row>
    <row r="182" spans="1:9">
      <c r="A182" s="5"/>
      <c r="I182" s="1"/>
    </row>
    <row r="183" spans="1:9">
      <c r="A183" s="5"/>
      <c r="I183" s="1"/>
    </row>
    <row r="184" spans="1:9">
      <c r="A184" s="5"/>
      <c r="I184" s="1"/>
    </row>
    <row r="185" spans="1:9">
      <c r="A185" s="5"/>
      <c r="I185" s="1"/>
    </row>
    <row r="186" spans="1:9">
      <c r="A186" s="5"/>
      <c r="I186" s="1"/>
    </row>
    <row r="187" spans="1:9">
      <c r="A187" s="5"/>
      <c r="I187" s="1"/>
    </row>
    <row r="188" spans="1:9" ht="22.5">
      <c r="A188" s="378"/>
      <c r="B188" s="379"/>
      <c r="C188" s="379"/>
      <c r="D188" s="379"/>
      <c r="E188" s="379"/>
      <c r="F188" s="379"/>
      <c r="G188" s="379"/>
      <c r="H188" s="379"/>
      <c r="I188" s="380"/>
    </row>
    <row r="189" spans="1:9" ht="22.5">
      <c r="A189" s="378"/>
      <c r="B189" s="379"/>
      <c r="C189" s="379"/>
      <c r="D189" s="379"/>
      <c r="E189" s="379"/>
      <c r="F189" s="379"/>
      <c r="G189" s="379"/>
      <c r="H189" s="379"/>
      <c r="I189" s="380"/>
    </row>
    <row r="190" spans="1:9">
      <c r="A190" s="5"/>
      <c r="I190" s="1"/>
    </row>
    <row r="191" spans="1:9">
      <c r="A191" s="5"/>
      <c r="I191" s="1"/>
    </row>
    <row r="192" spans="1:9" ht="14.25" thickBot="1">
      <c r="A192" s="42"/>
      <c r="B192" s="43"/>
      <c r="C192" s="43"/>
      <c r="D192" s="43"/>
      <c r="E192" s="43"/>
      <c r="F192" s="43"/>
      <c r="G192" s="43"/>
      <c r="H192" s="43"/>
      <c r="I192" s="44"/>
    </row>
    <row r="193" spans="1:9">
      <c r="A193" s="2"/>
      <c r="B193" s="10"/>
      <c r="C193" s="10"/>
      <c r="D193" s="10"/>
      <c r="E193" s="10"/>
      <c r="F193" s="10"/>
      <c r="G193" s="10"/>
      <c r="H193" s="10"/>
      <c r="I193" s="6"/>
    </row>
    <row r="194" spans="1:9">
      <c r="A194" s="5"/>
      <c r="I194" s="1"/>
    </row>
    <row r="195" spans="1:9" ht="12" customHeight="1">
      <c r="A195" s="9"/>
      <c r="I195" s="1"/>
    </row>
    <row r="196" spans="1:9" ht="12" customHeight="1">
      <c r="A196" s="7"/>
      <c r="I196" s="1"/>
    </row>
    <row r="197" spans="1:9" ht="12" customHeight="1">
      <c r="A197" s="9"/>
      <c r="I197" s="1"/>
    </row>
    <row r="198" spans="1:9" ht="12" customHeight="1">
      <c r="A198" s="7"/>
      <c r="I198" s="1"/>
    </row>
    <row r="199" spans="1:9" ht="12" customHeight="1">
      <c r="A199" s="5"/>
      <c r="I199" s="1"/>
    </row>
    <row r="200" spans="1:9" ht="27">
      <c r="A200" s="369" t="str">
        <f>A168</f>
        <v>경기도 어린이 박물관 무대장치 보수</v>
      </c>
      <c r="B200" s="370"/>
      <c r="C200" s="370"/>
      <c r="D200" s="370"/>
      <c r="E200" s="370"/>
      <c r="F200" s="370"/>
      <c r="G200" s="370"/>
      <c r="H200" s="370"/>
      <c r="I200" s="371"/>
    </row>
    <row r="201" spans="1:9" ht="30" customHeight="1">
      <c r="A201" s="5"/>
      <c r="B201" s="3"/>
      <c r="C201" s="3"/>
      <c r="D201" s="3"/>
      <c r="E201" s="3"/>
      <c r="F201" s="3"/>
      <c r="G201" s="3"/>
      <c r="H201" s="3"/>
      <c r="I201" s="1"/>
    </row>
    <row r="202" spans="1:9" s="40" customFormat="1" ht="24.95" customHeight="1">
      <c r="A202" s="372" t="s">
        <v>72</v>
      </c>
      <c r="B202" s="373"/>
      <c r="C202" s="373"/>
      <c r="D202" s="373"/>
      <c r="E202" s="373"/>
      <c r="F202" s="373"/>
      <c r="G202" s="373"/>
      <c r="H202" s="373"/>
      <c r="I202" s="374"/>
    </row>
    <row r="203" spans="1:9" ht="12" customHeight="1">
      <c r="A203" s="41"/>
      <c r="I203" s="1"/>
    </row>
    <row r="204" spans="1:9">
      <c r="A204" s="5"/>
      <c r="I204" s="1"/>
    </row>
    <row r="205" spans="1:9">
      <c r="A205" s="5"/>
      <c r="I205" s="1"/>
    </row>
    <row r="206" spans="1:9">
      <c r="A206" s="5"/>
      <c r="I206" s="1"/>
    </row>
    <row r="207" spans="1:9">
      <c r="A207" s="5"/>
      <c r="I207" s="1"/>
    </row>
    <row r="208" spans="1:9">
      <c r="A208" s="5"/>
      <c r="I208" s="1"/>
    </row>
    <row r="209" spans="1:9">
      <c r="A209" s="5"/>
      <c r="I209" s="1"/>
    </row>
    <row r="210" spans="1:9">
      <c r="A210" s="5"/>
      <c r="I210" s="1"/>
    </row>
    <row r="211" spans="1:9">
      <c r="A211" s="5"/>
      <c r="I211" s="1"/>
    </row>
    <row r="212" spans="1:9">
      <c r="A212" s="5"/>
      <c r="I212" s="1"/>
    </row>
    <row r="213" spans="1:9" ht="20.25">
      <c r="A213" s="375" t="str">
        <f>A181</f>
        <v>2016. 04</v>
      </c>
      <c r="B213" s="376"/>
      <c r="C213" s="376"/>
      <c r="D213" s="376"/>
      <c r="E213" s="376"/>
      <c r="F213" s="376"/>
      <c r="G213" s="376"/>
      <c r="H213" s="376"/>
      <c r="I213" s="377"/>
    </row>
    <row r="214" spans="1:9">
      <c r="A214" s="5"/>
      <c r="I214" s="1"/>
    </row>
    <row r="215" spans="1:9">
      <c r="A215" s="5"/>
      <c r="I215" s="1"/>
    </row>
    <row r="216" spans="1:9">
      <c r="A216" s="5"/>
      <c r="I216" s="1"/>
    </row>
    <row r="217" spans="1:9">
      <c r="A217" s="5"/>
      <c r="I217" s="1"/>
    </row>
    <row r="218" spans="1:9">
      <c r="A218" s="5"/>
      <c r="I218" s="1"/>
    </row>
    <row r="219" spans="1:9">
      <c r="A219" s="5"/>
      <c r="I219" s="1"/>
    </row>
    <row r="220" spans="1:9" ht="22.5">
      <c r="A220" s="378"/>
      <c r="B220" s="379"/>
      <c r="C220" s="379"/>
      <c r="D220" s="379"/>
      <c r="E220" s="379"/>
      <c r="F220" s="379"/>
      <c r="G220" s="379"/>
      <c r="H220" s="379"/>
      <c r="I220" s="380"/>
    </row>
    <row r="221" spans="1:9" ht="22.5">
      <c r="A221" s="378"/>
      <c r="B221" s="379"/>
      <c r="C221" s="379"/>
      <c r="D221" s="379"/>
      <c r="E221" s="379"/>
      <c r="F221" s="379"/>
      <c r="G221" s="379"/>
      <c r="H221" s="379"/>
      <c r="I221" s="380"/>
    </row>
    <row r="222" spans="1:9">
      <c r="A222" s="5"/>
      <c r="I222" s="1"/>
    </row>
    <row r="223" spans="1:9">
      <c r="A223" s="5"/>
      <c r="I223" s="1"/>
    </row>
    <row r="224" spans="1:9" ht="14.25" thickBot="1">
      <c r="A224" s="42"/>
      <c r="B224" s="43"/>
      <c r="C224" s="43"/>
      <c r="D224" s="43"/>
      <c r="E224" s="43"/>
      <c r="F224" s="43"/>
      <c r="G224" s="43"/>
      <c r="H224" s="43"/>
      <c r="I224" s="44"/>
    </row>
  </sheetData>
  <mergeCells count="35">
    <mergeCell ref="A200:I200"/>
    <mergeCell ref="A202:I202"/>
    <mergeCell ref="A213:I213"/>
    <mergeCell ref="A220:I220"/>
    <mergeCell ref="A221:I221"/>
    <mergeCell ref="A104:I104"/>
    <mergeCell ref="A106:I106"/>
    <mergeCell ref="A117:I117"/>
    <mergeCell ref="A189:I189"/>
    <mergeCell ref="A124:I124"/>
    <mergeCell ref="A125:I125"/>
    <mergeCell ref="A136:I136"/>
    <mergeCell ref="A138:I138"/>
    <mergeCell ref="A149:I149"/>
    <mergeCell ref="A156:I156"/>
    <mergeCell ref="A157:I157"/>
    <mergeCell ref="A168:I168"/>
    <mergeCell ref="A170:I170"/>
    <mergeCell ref="A181:I181"/>
    <mergeCell ref="A188:I188"/>
    <mergeCell ref="A72:I72"/>
    <mergeCell ref="A74:I74"/>
    <mergeCell ref="A85:I85"/>
    <mergeCell ref="A92:I92"/>
    <mergeCell ref="A93:I93"/>
    <mergeCell ref="A40:I40"/>
    <mergeCell ref="A42:I42"/>
    <mergeCell ref="A53:I53"/>
    <mergeCell ref="A60:I60"/>
    <mergeCell ref="A61:I61"/>
    <mergeCell ref="A8:I8"/>
    <mergeCell ref="A10:I10"/>
    <mergeCell ref="A21:I21"/>
    <mergeCell ref="A28:I28"/>
    <mergeCell ref="A29:I29"/>
  </mergeCells>
  <phoneticPr fontId="31" type="noConversion"/>
  <pageMargins left="0.78740157480314965" right="0.47244094488188981" top="0.78740157480314965" bottom="0.55118110236220474" header="0.51181102362204722" footer="0.19685039370078741"/>
  <pageSetup paperSize="9" scale="98" orientation="landscape" horizontalDpi="429496729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5"/>
  <sheetViews>
    <sheetView tabSelected="1" view="pageBreakPreview" zoomScaleNormal="100" zoomScaleSheetLayoutView="100" workbookViewId="0">
      <pane ySplit="1" topLeftCell="A2" activePane="bottomLeft" state="frozen"/>
      <selection pane="bottomLeft" activeCell="C12" sqref="C12"/>
    </sheetView>
  </sheetViews>
  <sheetFormatPr defaultRowHeight="21" customHeight="1"/>
  <cols>
    <col min="1" max="1" width="4.625" style="83" customWidth="1"/>
    <col min="2" max="2" width="28.625" style="83" customWidth="1"/>
    <col min="3" max="3" width="18.625" style="137" customWidth="1"/>
    <col min="4" max="4" width="6.625" style="137" customWidth="1"/>
    <col min="5" max="7" width="14.625" style="138" customWidth="1"/>
    <col min="8" max="8" width="14.625" style="138" hidden="1" customWidth="1"/>
    <col min="9" max="9" width="17.625" style="138" customWidth="1"/>
    <col min="10" max="10" width="7.625" style="139" customWidth="1"/>
    <col min="11" max="11" width="21.875" style="117" customWidth="1"/>
    <col min="12" max="16384" width="9" style="83"/>
  </cols>
  <sheetData>
    <row r="1" spans="1:13" ht="27.75" customHeight="1">
      <c r="A1" s="416" t="s">
        <v>188</v>
      </c>
      <c r="B1" s="416"/>
      <c r="C1" s="416"/>
      <c r="D1" s="416"/>
      <c r="E1" s="416"/>
      <c r="F1" s="416"/>
      <c r="G1" s="416"/>
      <c r="H1" s="416"/>
      <c r="I1" s="416"/>
      <c r="J1" s="416"/>
      <c r="K1" s="224"/>
      <c r="M1" s="86">
        <f>조사!P1</f>
        <v>0</v>
      </c>
    </row>
    <row r="2" spans="1:13" ht="21" customHeight="1">
      <c r="A2" s="418" t="s">
        <v>33</v>
      </c>
      <c r="B2" s="418" t="s">
        <v>34</v>
      </c>
      <c r="C2" s="418" t="s">
        <v>35</v>
      </c>
      <c r="D2" s="418" t="s">
        <v>36</v>
      </c>
      <c r="E2" s="417" t="s">
        <v>37</v>
      </c>
      <c r="F2" s="417"/>
      <c r="G2" s="417"/>
      <c r="H2" s="130"/>
      <c r="I2" s="417" t="s">
        <v>38</v>
      </c>
      <c r="J2" s="417" t="s">
        <v>39</v>
      </c>
      <c r="K2" s="231"/>
    </row>
    <row r="3" spans="1:13" ht="21" customHeight="1">
      <c r="A3" s="418"/>
      <c r="B3" s="418"/>
      <c r="C3" s="418"/>
      <c r="D3" s="418"/>
      <c r="E3" s="130" t="s">
        <v>40</v>
      </c>
      <c r="F3" s="130" t="s">
        <v>41</v>
      </c>
      <c r="G3" s="130" t="s">
        <v>42</v>
      </c>
      <c r="H3" s="130"/>
      <c r="I3" s="417"/>
      <c r="J3" s="417"/>
    </row>
    <row r="4" spans="1:13" ht="21" customHeight="1">
      <c r="A4" s="131">
        <v>1</v>
      </c>
      <c r="B4" s="100" t="s">
        <v>319</v>
      </c>
      <c r="C4" s="145" t="s">
        <v>148</v>
      </c>
      <c r="D4" s="115" t="s">
        <v>126</v>
      </c>
      <c r="E4" s="136">
        <v>3000000</v>
      </c>
      <c r="F4" s="116">
        <v>3300000</v>
      </c>
      <c r="G4" s="116">
        <v>3300000</v>
      </c>
      <c r="H4" s="132" t="str">
        <f t="shared" ref="H4" si="0">B4&amp;C4</f>
        <v>DRIVE M/C ASS'Y2.2KWx4P</v>
      </c>
      <c r="I4" s="133">
        <f t="shared" ref="I4" si="1">MIN(E4:G4)</f>
        <v>3000000</v>
      </c>
      <c r="J4" s="135"/>
      <c r="K4" s="134"/>
    </row>
    <row r="5" spans="1:13" ht="21" customHeight="1">
      <c r="A5" s="131">
        <v>2</v>
      </c>
      <c r="B5" s="100" t="s">
        <v>319</v>
      </c>
      <c r="C5" s="145" t="s">
        <v>204</v>
      </c>
      <c r="D5" s="115" t="s">
        <v>126</v>
      </c>
      <c r="E5" s="136">
        <v>2800000</v>
      </c>
      <c r="F5" s="116">
        <v>3500000</v>
      </c>
      <c r="G5" s="116">
        <v>3700000</v>
      </c>
      <c r="H5" s="132" t="str">
        <f t="shared" ref="H5:H21" si="2">B5&amp;C5</f>
        <v>DRIVE M/C ASS'Y1.5KWx4P</v>
      </c>
      <c r="I5" s="133">
        <f t="shared" ref="I5:I11" si="3">MIN(E5:G5)</f>
        <v>2800000</v>
      </c>
      <c r="J5" s="135"/>
      <c r="K5" s="134"/>
    </row>
    <row r="6" spans="1:13" ht="21" customHeight="1">
      <c r="A6" s="131">
        <v>3</v>
      </c>
      <c r="B6" s="100" t="s">
        <v>180</v>
      </c>
      <c r="C6" s="222" t="s">
        <v>280</v>
      </c>
      <c r="D6" s="115" t="s">
        <v>126</v>
      </c>
      <c r="E6" s="136">
        <v>78000</v>
      </c>
      <c r="F6" s="116">
        <v>80000</v>
      </c>
      <c r="G6" s="116">
        <v>88000</v>
      </c>
      <c r="H6" s="132" t="str">
        <f t="shared" si="2"/>
        <v>V-SHEAVEØ100x8P</v>
      </c>
      <c r="I6" s="133">
        <f t="shared" si="3"/>
        <v>78000</v>
      </c>
      <c r="J6" s="135"/>
      <c r="K6" s="134"/>
    </row>
    <row r="7" spans="1:13" ht="21" customHeight="1">
      <c r="A7" s="131">
        <v>4</v>
      </c>
      <c r="B7" s="100" t="s">
        <v>180</v>
      </c>
      <c r="C7" s="222" t="s">
        <v>279</v>
      </c>
      <c r="D7" s="115" t="s">
        <v>126</v>
      </c>
      <c r="E7" s="136">
        <v>53000</v>
      </c>
      <c r="F7" s="116">
        <v>70000</v>
      </c>
      <c r="G7" s="116">
        <v>65000</v>
      </c>
      <c r="H7" s="132" t="str">
        <f t="shared" si="2"/>
        <v>V-SHEAVEØ100x5P</v>
      </c>
      <c r="I7" s="133">
        <f t="shared" si="3"/>
        <v>53000</v>
      </c>
      <c r="J7" s="135"/>
      <c r="K7" s="134"/>
    </row>
    <row r="8" spans="1:13" ht="21" customHeight="1">
      <c r="A8" s="131">
        <v>5</v>
      </c>
      <c r="B8" s="100" t="s">
        <v>179</v>
      </c>
      <c r="C8" s="222" t="s">
        <v>181</v>
      </c>
      <c r="D8" s="115" t="s">
        <v>126</v>
      </c>
      <c r="E8" s="136">
        <v>70000</v>
      </c>
      <c r="F8" s="116">
        <v>78000</v>
      </c>
      <c r="G8" s="116">
        <v>75000</v>
      </c>
      <c r="H8" s="132" t="str">
        <f t="shared" si="2"/>
        <v>V-SHEAVEØ100x2P</v>
      </c>
      <c r="I8" s="133">
        <f t="shared" si="3"/>
        <v>70000</v>
      </c>
      <c r="J8" s="135"/>
      <c r="K8" s="134"/>
    </row>
    <row r="9" spans="1:13" ht="21" customHeight="1">
      <c r="A9" s="131">
        <v>6</v>
      </c>
      <c r="B9" s="100" t="s">
        <v>179</v>
      </c>
      <c r="C9" s="222" t="s">
        <v>182</v>
      </c>
      <c r="D9" s="115" t="s">
        <v>126</v>
      </c>
      <c r="E9" s="136">
        <v>50000</v>
      </c>
      <c r="F9" s="116">
        <v>58000</v>
      </c>
      <c r="G9" s="116">
        <v>55000</v>
      </c>
      <c r="H9" s="132" t="str">
        <f t="shared" si="2"/>
        <v>V-SHEAVEØ100x1P</v>
      </c>
      <c r="I9" s="133">
        <f t="shared" si="3"/>
        <v>50000</v>
      </c>
      <c r="J9" s="135"/>
      <c r="K9" s="134"/>
    </row>
    <row r="10" spans="1:13" ht="21" customHeight="1">
      <c r="A10" s="131">
        <v>7</v>
      </c>
      <c r="B10" s="100" t="s">
        <v>179</v>
      </c>
      <c r="C10" s="222" t="s">
        <v>183</v>
      </c>
      <c r="D10" s="115" t="s">
        <v>126</v>
      </c>
      <c r="E10" s="136">
        <v>100000</v>
      </c>
      <c r="F10" s="116">
        <v>110000</v>
      </c>
      <c r="G10" s="116">
        <v>115000</v>
      </c>
      <c r="H10" s="132" t="str">
        <f t="shared" si="2"/>
        <v>V-SHEAVEØ200x3P</v>
      </c>
      <c r="I10" s="133">
        <f t="shared" si="3"/>
        <v>100000</v>
      </c>
      <c r="J10" s="135"/>
      <c r="K10" s="134"/>
    </row>
    <row r="11" spans="1:13" ht="21" customHeight="1">
      <c r="A11" s="131">
        <v>8</v>
      </c>
      <c r="B11" s="100" t="s">
        <v>179</v>
      </c>
      <c r="C11" s="222" t="s">
        <v>184</v>
      </c>
      <c r="D11" s="115" t="s">
        <v>126</v>
      </c>
      <c r="E11" s="136">
        <v>70000</v>
      </c>
      <c r="F11" s="116">
        <v>88000</v>
      </c>
      <c r="G11" s="116">
        <v>85000</v>
      </c>
      <c r="H11" s="132" t="str">
        <f t="shared" si="2"/>
        <v>V-SHEAVEØ200x1P</v>
      </c>
      <c r="I11" s="133">
        <f t="shared" si="3"/>
        <v>70000</v>
      </c>
      <c r="J11" s="135"/>
      <c r="K11" s="134"/>
    </row>
    <row r="12" spans="1:13" ht="21" customHeight="1">
      <c r="A12" s="131">
        <v>9</v>
      </c>
      <c r="B12" s="33" t="s">
        <v>228</v>
      </c>
      <c r="C12" s="11"/>
      <c r="D12" s="271" t="s">
        <v>93</v>
      </c>
      <c r="E12" s="136">
        <v>33000</v>
      </c>
      <c r="F12" s="136">
        <v>34000</v>
      </c>
      <c r="G12" s="136">
        <v>32000</v>
      </c>
      <c r="H12" s="136" t="str">
        <f t="shared" si="2"/>
        <v>HANGER ASS'Y</v>
      </c>
      <c r="I12" s="136">
        <f t="shared" ref="I12:I21" si="4">MIN(E12:G12)</f>
        <v>32000</v>
      </c>
      <c r="J12" s="135"/>
      <c r="K12" s="134"/>
    </row>
    <row r="13" spans="1:13" ht="21" customHeight="1">
      <c r="A13" s="131">
        <v>10</v>
      </c>
      <c r="B13" s="33" t="s">
        <v>281</v>
      </c>
      <c r="C13" s="11"/>
      <c r="D13" s="115" t="s">
        <v>282</v>
      </c>
      <c r="E13" s="136">
        <v>1000000</v>
      </c>
      <c r="F13" s="116">
        <v>1300000</v>
      </c>
      <c r="G13" s="116">
        <v>1500000</v>
      </c>
      <c r="H13" s="136" t="str">
        <f t="shared" si="2"/>
        <v>점검사다리</v>
      </c>
      <c r="I13" s="136">
        <f t="shared" si="4"/>
        <v>1000000</v>
      </c>
      <c r="J13" s="135"/>
      <c r="K13" s="134"/>
    </row>
    <row r="14" spans="1:13" ht="21" customHeight="1">
      <c r="A14" s="131">
        <v>11</v>
      </c>
      <c r="B14" s="33" t="s">
        <v>389</v>
      </c>
      <c r="C14" s="11" t="s">
        <v>390</v>
      </c>
      <c r="D14" s="115" t="s">
        <v>391</v>
      </c>
      <c r="E14" s="136">
        <v>8000</v>
      </c>
      <c r="F14" s="116">
        <v>9500</v>
      </c>
      <c r="G14" s="116">
        <v>9900</v>
      </c>
      <c r="H14" s="136" t="str">
        <f t="shared" si="2"/>
        <v>CABLE2S14F</v>
      </c>
      <c r="I14" s="133">
        <f t="shared" si="4"/>
        <v>8000</v>
      </c>
      <c r="J14" s="135"/>
      <c r="K14" s="134"/>
    </row>
    <row r="15" spans="1:13" ht="21" customHeight="1">
      <c r="A15" s="131">
        <v>12</v>
      </c>
      <c r="B15" s="33" t="s">
        <v>392</v>
      </c>
      <c r="C15" s="11"/>
      <c r="D15" s="115" t="s">
        <v>189</v>
      </c>
      <c r="E15" s="136">
        <v>200000</v>
      </c>
      <c r="F15" s="116">
        <v>280000</v>
      </c>
      <c r="G15" s="116">
        <v>220000</v>
      </c>
      <c r="H15" s="136" t="str">
        <f t="shared" si="2"/>
        <v>MAIN SPEKER 철거</v>
      </c>
      <c r="I15" s="133">
        <f t="shared" si="4"/>
        <v>200000</v>
      </c>
      <c r="J15" s="135"/>
      <c r="K15" s="134"/>
    </row>
    <row r="16" spans="1:13" ht="21" customHeight="1">
      <c r="A16" s="131">
        <v>13</v>
      </c>
      <c r="B16" s="33" t="s">
        <v>393</v>
      </c>
      <c r="C16" s="11"/>
      <c r="D16" s="115" t="s">
        <v>189</v>
      </c>
      <c r="E16" s="136">
        <v>250000</v>
      </c>
      <c r="F16" s="116">
        <v>290000</v>
      </c>
      <c r="G16" s="116">
        <v>310000</v>
      </c>
      <c r="H16" s="136" t="str">
        <f t="shared" si="2"/>
        <v>MAIN SPEKER 재설치</v>
      </c>
      <c r="I16" s="133">
        <f t="shared" si="4"/>
        <v>250000</v>
      </c>
      <c r="J16" s="135"/>
      <c r="K16" s="134"/>
    </row>
    <row r="17" spans="1:11" ht="21" customHeight="1">
      <c r="A17" s="131">
        <v>14</v>
      </c>
      <c r="B17" s="33" t="s">
        <v>395</v>
      </c>
      <c r="C17" s="11"/>
      <c r="D17" s="115" t="s">
        <v>282</v>
      </c>
      <c r="E17" s="136">
        <v>600000</v>
      </c>
      <c r="F17" s="116">
        <v>1500000</v>
      </c>
      <c r="G17" s="116">
        <v>1430000</v>
      </c>
      <c r="H17" s="136" t="str">
        <f t="shared" si="2"/>
        <v>고소작업비용</v>
      </c>
      <c r="I17" s="133">
        <f t="shared" si="4"/>
        <v>600000</v>
      </c>
      <c r="J17" s="135"/>
      <c r="K17" s="134"/>
    </row>
    <row r="18" spans="1:11" ht="21" customHeight="1">
      <c r="A18" s="131">
        <v>15</v>
      </c>
      <c r="B18" s="33" t="s">
        <v>397</v>
      </c>
      <c r="C18" s="11"/>
      <c r="D18" s="115" t="s">
        <v>282</v>
      </c>
      <c r="E18" s="136">
        <v>500000</v>
      </c>
      <c r="F18" s="116">
        <v>1200000</v>
      </c>
      <c r="G18" s="116">
        <v>1150000</v>
      </c>
      <c r="H18" s="136" t="str">
        <f t="shared" si="2"/>
        <v>시험조정비</v>
      </c>
      <c r="I18" s="133">
        <f t="shared" si="4"/>
        <v>500000</v>
      </c>
      <c r="J18" s="135"/>
      <c r="K18" s="134"/>
    </row>
    <row r="19" spans="1:11" ht="21" customHeight="1">
      <c r="A19" s="131">
        <v>16</v>
      </c>
      <c r="B19" s="33" t="s">
        <v>405</v>
      </c>
      <c r="C19" s="11"/>
      <c r="D19" s="115" t="s">
        <v>282</v>
      </c>
      <c r="E19" s="136">
        <v>700000</v>
      </c>
      <c r="F19" s="116">
        <v>750000</v>
      </c>
      <c r="G19" s="116">
        <v>770000</v>
      </c>
      <c r="H19" s="136" t="str">
        <f t="shared" si="2"/>
        <v>천정텍스 철거 및 재단</v>
      </c>
      <c r="I19" s="133">
        <f t="shared" si="4"/>
        <v>700000</v>
      </c>
      <c r="J19" s="135"/>
      <c r="K19" s="134"/>
    </row>
    <row r="20" spans="1:11" ht="21" customHeight="1">
      <c r="A20" s="131">
        <v>17</v>
      </c>
      <c r="B20" s="33" t="s">
        <v>406</v>
      </c>
      <c r="C20" s="11"/>
      <c r="D20" s="115" t="s">
        <v>282</v>
      </c>
      <c r="E20" s="136">
        <v>300000</v>
      </c>
      <c r="F20" s="116">
        <v>380000</v>
      </c>
      <c r="G20" s="116">
        <v>350000</v>
      </c>
      <c r="H20" s="136" t="str">
        <f t="shared" si="2"/>
        <v>천정텍스 재설치</v>
      </c>
      <c r="I20" s="133">
        <f t="shared" si="4"/>
        <v>300000</v>
      </c>
      <c r="J20" s="135"/>
      <c r="K20" s="134"/>
    </row>
    <row r="21" spans="1:11" ht="21" customHeight="1">
      <c r="A21" s="131">
        <v>18</v>
      </c>
      <c r="B21" s="33" t="s">
        <v>466</v>
      </c>
      <c r="C21" s="11"/>
      <c r="D21" s="115" t="s">
        <v>282</v>
      </c>
      <c r="E21" s="136">
        <v>200000</v>
      </c>
      <c r="F21" s="116">
        <v>230000</v>
      </c>
      <c r="G21" s="116">
        <v>220000</v>
      </c>
      <c r="H21" s="136" t="str">
        <f t="shared" si="2"/>
        <v>스피커 받침대</v>
      </c>
      <c r="I21" s="133">
        <f t="shared" si="4"/>
        <v>200000</v>
      </c>
      <c r="J21" s="135"/>
      <c r="K21" s="134"/>
    </row>
    <row r="22" spans="1:11" ht="21" customHeight="1">
      <c r="A22" s="131">
        <v>19</v>
      </c>
      <c r="B22" s="33" t="s">
        <v>477</v>
      </c>
      <c r="C22" s="11"/>
      <c r="D22" s="115" t="s">
        <v>282</v>
      </c>
      <c r="E22" s="136">
        <v>500000</v>
      </c>
      <c r="F22" s="116">
        <v>540000</v>
      </c>
      <c r="G22" s="116">
        <v>560000</v>
      </c>
      <c r="H22" s="136" t="str">
        <f t="shared" ref="H22:H23" si="5">B22&amp;C22</f>
        <v>판낼내부배선 연장</v>
      </c>
      <c r="I22" s="133">
        <f t="shared" ref="I22:I23" si="6">MIN(E22:G22)</f>
        <v>500000</v>
      </c>
      <c r="J22" s="135"/>
      <c r="K22" s="134"/>
    </row>
    <row r="23" spans="1:11" ht="21" customHeight="1">
      <c r="A23" s="131">
        <v>20</v>
      </c>
      <c r="B23" s="33" t="s">
        <v>479</v>
      </c>
      <c r="C23" s="11"/>
      <c r="D23" s="115" t="s">
        <v>480</v>
      </c>
      <c r="E23" s="136">
        <v>100000</v>
      </c>
      <c r="F23" s="116">
        <v>120000</v>
      </c>
      <c r="G23" s="116">
        <v>150000</v>
      </c>
      <c r="H23" s="136" t="str">
        <f t="shared" si="5"/>
        <v>매쉬망 마감설치</v>
      </c>
      <c r="I23" s="133">
        <f t="shared" si="6"/>
        <v>100000</v>
      </c>
      <c r="J23" s="135"/>
      <c r="K23" s="134"/>
    </row>
    <row r="24" spans="1:11" ht="21" customHeight="1">
      <c r="A24" s="131"/>
      <c r="B24" s="33"/>
      <c r="C24" s="11"/>
      <c r="D24" s="115"/>
      <c r="E24" s="136"/>
      <c r="F24" s="116"/>
      <c r="G24" s="116"/>
      <c r="H24" s="136"/>
      <c r="I24" s="133"/>
      <c r="J24" s="135"/>
      <c r="K24" s="134"/>
    </row>
    <row r="25" spans="1:11" ht="21" customHeight="1">
      <c r="A25" s="131"/>
      <c r="B25" s="33"/>
      <c r="C25" s="11"/>
      <c r="D25" s="115"/>
      <c r="E25" s="136"/>
      <c r="F25" s="116"/>
      <c r="G25" s="116"/>
      <c r="H25" s="136"/>
      <c r="I25" s="133"/>
      <c r="J25" s="135"/>
      <c r="K25" s="134"/>
    </row>
  </sheetData>
  <mergeCells count="8">
    <mergeCell ref="A1:J1"/>
    <mergeCell ref="I2:I3"/>
    <mergeCell ref="J2:J3"/>
    <mergeCell ref="D2:D3"/>
    <mergeCell ref="A2:A3"/>
    <mergeCell ref="B2:B3"/>
    <mergeCell ref="C2:C3"/>
    <mergeCell ref="E2:G2"/>
  </mergeCells>
  <phoneticPr fontId="5" type="noConversion"/>
  <printOptions gridLinesSet="0"/>
  <pageMargins left="0.59055118110236227" right="0" top="0.47244094488188981" bottom="0" header="0" footer="0"/>
  <pageSetup paperSize="9" orientation="landscape" horizontalDpi="4294967295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D307"/>
  <sheetViews>
    <sheetView topLeftCell="A211" workbookViewId="0">
      <selection activeCell="C221" sqref="C221"/>
    </sheetView>
  </sheetViews>
  <sheetFormatPr defaultColWidth="7.125" defaultRowHeight="21.95" customHeight="1"/>
  <cols>
    <col min="1" max="1" width="32.5" style="20" bestFit="1" customWidth="1"/>
    <col min="2" max="2" width="12.75" style="21" customWidth="1"/>
    <col min="3" max="3" width="21.375" style="21" customWidth="1"/>
    <col min="4" max="4" width="7.625" style="21" bestFit="1" customWidth="1"/>
    <col min="5" max="16384" width="7.125" style="16"/>
  </cols>
  <sheetData>
    <row r="1" spans="1:4" ht="36" customHeight="1">
      <c r="A1" s="13" t="s">
        <v>16</v>
      </c>
      <c r="B1" s="14"/>
      <c r="C1" s="14"/>
      <c r="D1" s="15"/>
    </row>
    <row r="2" spans="1:4" ht="19.5" customHeight="1">
      <c r="A2" s="17" t="s">
        <v>17</v>
      </c>
      <c r="B2" s="17" t="s">
        <v>18</v>
      </c>
      <c r="C2" s="17"/>
      <c r="D2" s="17" t="s">
        <v>19</v>
      </c>
    </row>
    <row r="3" spans="1:4" ht="18.75" customHeight="1">
      <c r="A3" s="30" t="e">
        <f>조사!#REF!</f>
        <v>#REF!</v>
      </c>
      <c r="B3" s="18" t="e">
        <f>VLOOKUP(A:A,조사!K:L,2,FALSE)</f>
        <v>#REF!</v>
      </c>
      <c r="C3" s="30" t="e">
        <f t="shared" ref="C3" si="0">A3</f>
        <v>#REF!</v>
      </c>
      <c r="D3" s="19"/>
    </row>
    <row r="4" spans="1:4" ht="18.75" customHeight="1">
      <c r="A4" s="30" t="e">
        <f>조사!#REF!</f>
        <v>#REF!</v>
      </c>
      <c r="B4" s="18" t="e">
        <f>VLOOKUP(A:A,조사!K:L,2,FALSE)</f>
        <v>#REF!</v>
      </c>
      <c r="C4" s="30" t="e">
        <f t="shared" ref="C4:C67" si="1">A4</f>
        <v>#REF!</v>
      </c>
      <c r="D4" s="19"/>
    </row>
    <row r="5" spans="1:4" ht="18.75" customHeight="1">
      <c r="A5" s="30" t="e">
        <f>조사!#REF!</f>
        <v>#REF!</v>
      </c>
      <c r="B5" s="18" t="e">
        <f>VLOOKUP(A:A,조사!K:L,2,FALSE)</f>
        <v>#REF!</v>
      </c>
      <c r="C5" s="30" t="e">
        <f t="shared" si="1"/>
        <v>#REF!</v>
      </c>
      <c r="D5" s="19"/>
    </row>
    <row r="6" spans="1:4" ht="18.75" customHeight="1">
      <c r="A6" s="30" t="e">
        <f>조사!#REF!</f>
        <v>#REF!</v>
      </c>
      <c r="B6" s="18" t="e">
        <f>VLOOKUP(A:A,조사!K:L,2,FALSE)</f>
        <v>#REF!</v>
      </c>
      <c r="C6" s="30" t="e">
        <f t="shared" si="1"/>
        <v>#REF!</v>
      </c>
      <c r="D6" s="19"/>
    </row>
    <row r="7" spans="1:4" ht="18.75" customHeight="1">
      <c r="A7" s="30" t="e">
        <f>조사!#REF!</f>
        <v>#REF!</v>
      </c>
      <c r="B7" s="18" t="e">
        <f>VLOOKUP(A:A,조사!K:L,2,FALSE)</f>
        <v>#REF!</v>
      </c>
      <c r="C7" s="30" t="e">
        <f t="shared" si="1"/>
        <v>#REF!</v>
      </c>
      <c r="D7" s="19"/>
    </row>
    <row r="8" spans="1:4" ht="18.75" customHeight="1">
      <c r="A8" s="30" t="e">
        <f>조사!#REF!</f>
        <v>#REF!</v>
      </c>
      <c r="B8" s="18" t="e">
        <f>VLOOKUP(A:A,조사!K:L,2,FALSE)</f>
        <v>#REF!</v>
      </c>
      <c r="C8" s="30" t="e">
        <f t="shared" si="1"/>
        <v>#REF!</v>
      </c>
      <c r="D8" s="19"/>
    </row>
    <row r="9" spans="1:4" ht="18.75" customHeight="1">
      <c r="A9" s="30" t="e">
        <f>조사!#REF!</f>
        <v>#REF!</v>
      </c>
      <c r="B9" s="18" t="e">
        <f>VLOOKUP(A:A,조사!K:L,2,FALSE)</f>
        <v>#REF!</v>
      </c>
      <c r="C9" s="30" t="e">
        <f t="shared" si="1"/>
        <v>#REF!</v>
      </c>
      <c r="D9" s="19"/>
    </row>
    <row r="10" spans="1:4" ht="18.75" customHeight="1">
      <c r="A10" s="30" t="e">
        <f>조사!#REF!</f>
        <v>#REF!</v>
      </c>
      <c r="B10" s="18" t="e">
        <f>VLOOKUP(A:A,조사!K:L,2,FALSE)</f>
        <v>#REF!</v>
      </c>
      <c r="C10" s="30" t="e">
        <f t="shared" si="1"/>
        <v>#REF!</v>
      </c>
      <c r="D10" s="19"/>
    </row>
    <row r="11" spans="1:4" ht="18.75" customHeight="1">
      <c r="A11" s="30" t="e">
        <f>조사!#REF!</f>
        <v>#REF!</v>
      </c>
      <c r="B11" s="18" t="e">
        <f>VLOOKUP(A:A,조사!K:L,2,FALSE)</f>
        <v>#REF!</v>
      </c>
      <c r="C11" s="30" t="e">
        <f t="shared" si="1"/>
        <v>#REF!</v>
      </c>
      <c r="D11" s="19"/>
    </row>
    <row r="12" spans="1:4" ht="18.75" customHeight="1">
      <c r="A12" s="30" t="e">
        <f>조사!#REF!</f>
        <v>#REF!</v>
      </c>
      <c r="B12" s="18" t="e">
        <f>VLOOKUP(A:A,조사!K:L,2,FALSE)</f>
        <v>#REF!</v>
      </c>
      <c r="C12" s="30" t="e">
        <f t="shared" si="1"/>
        <v>#REF!</v>
      </c>
      <c r="D12" s="19"/>
    </row>
    <row r="13" spans="1:4" ht="18.75" customHeight="1">
      <c r="A13" s="30" t="e">
        <f>조사!#REF!</f>
        <v>#REF!</v>
      </c>
      <c r="B13" s="18" t="e">
        <f>VLOOKUP(A:A,조사!K:L,2,FALSE)</f>
        <v>#REF!</v>
      </c>
      <c r="C13" s="30" t="e">
        <f t="shared" si="1"/>
        <v>#REF!</v>
      </c>
      <c r="D13" s="19"/>
    </row>
    <row r="14" spans="1:4" ht="18.75" customHeight="1">
      <c r="A14" s="30" t="e">
        <f>조사!#REF!</f>
        <v>#REF!</v>
      </c>
      <c r="B14" s="18" t="e">
        <f>VLOOKUP(A:A,조사!K:L,2,FALSE)</f>
        <v>#REF!</v>
      </c>
      <c r="C14" s="30" t="e">
        <f t="shared" si="1"/>
        <v>#REF!</v>
      </c>
      <c r="D14" s="19"/>
    </row>
    <row r="15" spans="1:4" ht="18.75" customHeight="1">
      <c r="A15" s="30" t="str">
        <f>조사!K4</f>
        <v>WIRE ROPEØ6</v>
      </c>
      <c r="B15" s="18">
        <f>VLOOKUP(A:A,조사!K:L,2,FALSE)</f>
        <v>1260</v>
      </c>
      <c r="C15" s="30" t="str">
        <f t="shared" si="1"/>
        <v>WIRE ROPEØ6</v>
      </c>
      <c r="D15" s="19"/>
    </row>
    <row r="16" spans="1:4" ht="18.75" customHeight="1">
      <c r="A16" s="30" t="str">
        <f>조사!K5</f>
        <v>고철</v>
      </c>
      <c r="B16" s="18">
        <f>VLOOKUP(A:A,조사!K:L,2,FALSE)</f>
        <v>-130</v>
      </c>
      <c r="C16" s="30" t="str">
        <f t="shared" ref="C16:C43" si="2">A16</f>
        <v>고철</v>
      </c>
      <c r="D16" s="19"/>
    </row>
    <row r="17" spans="1:4" ht="18.75" customHeight="1">
      <c r="A17" s="30" t="str">
        <f>조사!K6</f>
        <v>WIRE ROPEØ3.2</v>
      </c>
      <c r="B17" s="18">
        <f>VLOOKUP(A:A,조사!K:L,2,FALSE)</f>
        <v>623</v>
      </c>
      <c r="C17" s="30" t="str">
        <f t="shared" si="2"/>
        <v>WIRE ROPEØ3.2</v>
      </c>
      <c r="D17" s="19"/>
    </row>
    <row r="18" spans="1:4" ht="18.75" customHeight="1">
      <c r="A18" s="30" t="str">
        <f>조사!K7</f>
        <v>FLEXIBLE16C</v>
      </c>
      <c r="B18" s="18">
        <f>VLOOKUP(A:A,조사!K:L,2,FALSE)</f>
        <v>2100</v>
      </c>
      <c r="C18" s="30" t="str">
        <f t="shared" si="2"/>
        <v>FLEXIBLE16C</v>
      </c>
      <c r="D18" s="19"/>
    </row>
    <row r="19" spans="1:4" ht="18.75" customHeight="1">
      <c r="A19" s="30" t="str">
        <f>조사!K8</f>
        <v>FLEXIBLE CONNECTOR16C</v>
      </c>
      <c r="B19" s="18">
        <f>VLOOKUP(A:A,조사!K:L,2,FALSE)</f>
        <v>1700</v>
      </c>
      <c r="C19" s="30" t="str">
        <f t="shared" si="2"/>
        <v>FLEXIBLE CONNECTOR16C</v>
      </c>
      <c r="D19" s="19"/>
    </row>
    <row r="20" spans="1:4" ht="18.75" customHeight="1">
      <c r="A20" s="30" t="e">
        <f>조사!#REF!</f>
        <v>#REF!</v>
      </c>
      <c r="B20" s="18" t="e">
        <f>VLOOKUP(A:A,조사!K:L,2,FALSE)</f>
        <v>#REF!</v>
      </c>
      <c r="C20" s="30" t="e">
        <f t="shared" si="2"/>
        <v>#REF!</v>
      </c>
      <c r="D20" s="19"/>
    </row>
    <row r="21" spans="1:4" ht="18.75" customHeight="1">
      <c r="A21" s="30" t="str">
        <f>조사!K9</f>
        <v>MCCB (배선용차단기)ABS 33c</v>
      </c>
      <c r="B21" s="18">
        <f>VLOOKUP(A:A,조사!K:L,2,FALSE)</f>
        <v>44200</v>
      </c>
      <c r="C21" s="30" t="str">
        <f t="shared" si="2"/>
        <v>MCCB (배선용차단기)ABS 33c</v>
      </c>
      <c r="D21" s="19"/>
    </row>
    <row r="22" spans="1:4" ht="18.75" customHeight="1">
      <c r="A22" s="30" t="str">
        <f>조사!K10</f>
        <v>MC (전자접촉기)MC 18a</v>
      </c>
      <c r="B22" s="18">
        <f>VLOOKUP(A:A,조사!K:L,2,FALSE)</f>
        <v>17400</v>
      </c>
      <c r="C22" s="30" t="str">
        <f t="shared" si="2"/>
        <v>MC (전자접촉기)MC 18a</v>
      </c>
      <c r="D22" s="19"/>
    </row>
    <row r="23" spans="1:4" ht="18.75" customHeight="1">
      <c r="A23" s="30" t="str">
        <f>조사!K11</f>
        <v>MC (전자접촉기)MC 12a</v>
      </c>
      <c r="B23" s="18">
        <f>VLOOKUP(A:A,조사!K:L,2,FALSE)</f>
        <v>12200</v>
      </c>
      <c r="C23" s="30" t="str">
        <f t="shared" si="2"/>
        <v>MC (전자접촉기)MC 12a</v>
      </c>
      <c r="D23" s="19"/>
    </row>
    <row r="24" spans="1:4" ht="18.75" customHeight="1">
      <c r="A24" s="30" t="str">
        <f>조사!K12</f>
        <v>F-GV CABLE6SQ</v>
      </c>
      <c r="B24" s="18">
        <f>VLOOKUP(A:A,조사!K:L,2,FALSE)</f>
        <v>627</v>
      </c>
      <c r="C24" s="30" t="str">
        <f t="shared" si="2"/>
        <v>F-GV CABLE6SQ</v>
      </c>
      <c r="D24" s="19"/>
    </row>
    <row r="25" spans="1:4" ht="18.75" customHeight="1">
      <c r="A25" s="30" t="str">
        <f>조사!K13</f>
        <v>용접봉KSE-4301(Ø2.6)</v>
      </c>
      <c r="B25" s="18">
        <f>VLOOKUP(A:A,조사!K:L,2,FALSE)</f>
        <v>2480</v>
      </c>
      <c r="C25" s="30" t="str">
        <f t="shared" si="2"/>
        <v>용접봉KSE-4301(Ø2.6)</v>
      </c>
      <c r="D25" s="19"/>
    </row>
    <row r="26" spans="1:4" ht="18.75" customHeight="1">
      <c r="A26" s="30" t="str">
        <f>조사!K14</f>
        <v>산소</v>
      </c>
      <c r="B26" s="18">
        <f>VLOOKUP(A:A,조사!K:L,2,FALSE)</f>
        <v>2</v>
      </c>
      <c r="C26" s="30" t="str">
        <f t="shared" si="2"/>
        <v>산소</v>
      </c>
      <c r="D26" s="19"/>
    </row>
    <row r="27" spans="1:4" ht="18.75" customHeight="1">
      <c r="A27" s="30" t="str">
        <f>조사!K15</f>
        <v>아세칠렌</v>
      </c>
      <c r="B27" s="18">
        <f>VLOOKUP(A:A,조사!K:L,2,FALSE)</f>
        <v>13000</v>
      </c>
      <c r="C27" s="30" t="str">
        <f t="shared" si="2"/>
        <v>아세칠렌</v>
      </c>
      <c r="D27" s="19"/>
    </row>
    <row r="28" spans="1:4" ht="18.75" customHeight="1">
      <c r="A28" s="30" t="str">
        <f>조사!K16</f>
        <v>녹막이 페인트</v>
      </c>
      <c r="B28" s="18">
        <f>VLOOKUP(A:A,조사!K:L,2,FALSE)</f>
        <v>17422</v>
      </c>
      <c r="C28" s="30" t="str">
        <f t="shared" si="2"/>
        <v>녹막이 페인트</v>
      </c>
      <c r="D28" s="19"/>
    </row>
    <row r="29" spans="1:4" ht="18.75" customHeight="1">
      <c r="A29" s="30" t="str">
        <f>조사!K17</f>
        <v>조합 페인트</v>
      </c>
      <c r="B29" s="18">
        <f>VLOOKUP(A:A,조사!K:L,2,FALSE)</f>
        <v>4828</v>
      </c>
      <c r="C29" s="30" t="str">
        <f t="shared" si="2"/>
        <v>조합 페인트</v>
      </c>
      <c r="D29" s="19"/>
    </row>
    <row r="30" spans="1:4" ht="18.75" customHeight="1">
      <c r="A30" s="30" t="str">
        <f>조사!K18</f>
        <v>신너</v>
      </c>
      <c r="B30" s="18">
        <f>VLOOKUP(A:A,조사!K:L,2,FALSE)</f>
        <v>2711</v>
      </c>
      <c r="C30" s="30" t="str">
        <f t="shared" si="2"/>
        <v>신너</v>
      </c>
      <c r="D30" s="19"/>
    </row>
    <row r="31" spans="1:4" ht="18.75" customHeight="1">
      <c r="A31" s="30" t="str">
        <f>조사!K19</f>
        <v>SQUARE PIPE30x30x1.6t</v>
      </c>
      <c r="B31" s="18">
        <f>VLOOKUP(A:A,조사!K:L,2,FALSE)</f>
        <v>1418</v>
      </c>
      <c r="C31" s="30" t="str">
        <f t="shared" si="2"/>
        <v>SQUARE PIPE30x30x1.6t</v>
      </c>
      <c r="D31" s="19"/>
    </row>
    <row r="32" spans="1:4" ht="18.75" customHeight="1">
      <c r="A32" s="30" t="str">
        <f>조사!K20</f>
        <v>SQUARE PIPE50X50X1.6T</v>
      </c>
      <c r="B32" s="18">
        <f>VLOOKUP(A:A,조사!K:L,2,FALSE)</f>
        <v>2394</v>
      </c>
      <c r="C32" s="30" t="str">
        <f t="shared" si="2"/>
        <v>SQUARE PIPE50X50X1.6T</v>
      </c>
      <c r="D32" s="19"/>
    </row>
    <row r="33" spans="1:4" ht="18.75" customHeight="1">
      <c r="A33" s="30" t="e">
        <f>조사!#REF!</f>
        <v>#REF!</v>
      </c>
      <c r="B33" s="18" t="e">
        <f>VLOOKUP(A:A,조사!K:L,2,FALSE)</f>
        <v>#REF!</v>
      </c>
      <c r="C33" s="30" t="e">
        <f t="shared" si="2"/>
        <v>#REF!</v>
      </c>
      <c r="D33" s="19"/>
    </row>
    <row r="34" spans="1:4" ht="18.75" customHeight="1">
      <c r="A34" s="30" t="str">
        <f>조사!K21</f>
        <v>합    판4'X8'X12T</v>
      </c>
      <c r="B34" s="18">
        <f>VLOOKUP(A:A,조사!K:L,2,FALSE)</f>
        <v>25200</v>
      </c>
      <c r="C34" s="30" t="str">
        <f t="shared" si="2"/>
        <v>합    판4'X8'X12T</v>
      </c>
      <c r="D34" s="19"/>
    </row>
    <row r="35" spans="1:4" ht="18.75" customHeight="1">
      <c r="A35" s="30" t="e">
        <f>조사!#REF!</f>
        <v>#REF!</v>
      </c>
      <c r="B35" s="18" t="e">
        <f>VLOOKUP(A:A,조사!K:L,2,FALSE)</f>
        <v>#REF!</v>
      </c>
      <c r="C35" s="30" t="e">
        <f t="shared" si="2"/>
        <v>#REF!</v>
      </c>
      <c r="D35" s="19"/>
    </row>
    <row r="36" spans="1:4" ht="18.75" customHeight="1">
      <c r="A36" s="30" t="str">
        <f>조사!K22</f>
        <v>각     재4.5 X 4.5</v>
      </c>
      <c r="B36" s="18">
        <f>VLOOKUP(A:A,조사!K:L,2,FALSE)</f>
        <v>1800</v>
      </c>
      <c r="C36" s="30" t="str">
        <f t="shared" si="2"/>
        <v>각     재4.5 X 4.5</v>
      </c>
      <c r="D36" s="19"/>
    </row>
    <row r="37" spans="1:4" ht="18.75" customHeight="1">
      <c r="A37" s="30" t="str">
        <f>조사!K23</f>
        <v>천정 점검구STS 600 x 600</v>
      </c>
      <c r="B37" s="18">
        <f>VLOOKUP(A:A,조사!K:L,2,FALSE)</f>
        <v>55000</v>
      </c>
      <c r="C37" s="30" t="str">
        <f t="shared" si="2"/>
        <v>천정 점검구STS 600 x 600</v>
      </c>
      <c r="D37" s="19"/>
    </row>
    <row r="38" spans="1:4" ht="18.75" customHeight="1">
      <c r="A38" s="30" t="str">
        <f>조사!K24</f>
        <v>EXPANDED METALSS #243</v>
      </c>
      <c r="B38" s="18">
        <f>VLOOKUP(A:A,조사!K:L,2,FALSE)</f>
        <v>33360</v>
      </c>
      <c r="C38" s="30" t="str">
        <f t="shared" si="2"/>
        <v>EXPANDED METALSS #243</v>
      </c>
      <c r="D38" s="19"/>
    </row>
    <row r="39" spans="1:4" ht="18.75" customHeight="1">
      <c r="A39" s="30">
        <f>조사!K25</f>
        <v>0</v>
      </c>
      <c r="B39" s="18" t="e">
        <f>VLOOKUP(A:A,조사!K:L,2,FALSE)</f>
        <v>#N/A</v>
      </c>
      <c r="C39" s="30">
        <f t="shared" si="2"/>
        <v>0</v>
      </c>
      <c r="D39" s="19"/>
    </row>
    <row r="40" spans="1:4" ht="18.75" customHeight="1">
      <c r="A40" s="30">
        <f>조사!K26</f>
        <v>0</v>
      </c>
      <c r="B40" s="18" t="e">
        <f>VLOOKUP(A:A,조사!K:L,2,FALSE)</f>
        <v>#N/A</v>
      </c>
      <c r="C40" s="30">
        <f t="shared" si="2"/>
        <v>0</v>
      </c>
      <c r="D40" s="19"/>
    </row>
    <row r="41" spans="1:4" ht="18.75" customHeight="1">
      <c r="A41" s="30">
        <f>조사!K27</f>
        <v>0</v>
      </c>
      <c r="B41" s="18" t="e">
        <f>VLOOKUP(A:A,조사!K:L,2,FALSE)</f>
        <v>#N/A</v>
      </c>
      <c r="C41" s="30">
        <f t="shared" si="2"/>
        <v>0</v>
      </c>
      <c r="D41" s="19"/>
    </row>
    <row r="42" spans="1:4" ht="18.75" customHeight="1">
      <c r="A42" s="30">
        <f>조사!K28</f>
        <v>0</v>
      </c>
      <c r="B42" s="18" t="e">
        <f>VLOOKUP(A:A,조사!K:L,2,FALSE)</f>
        <v>#N/A</v>
      </c>
      <c r="C42" s="30">
        <f t="shared" si="2"/>
        <v>0</v>
      </c>
      <c r="D42" s="19"/>
    </row>
    <row r="43" spans="1:4" ht="18.75" customHeight="1">
      <c r="A43" s="30">
        <f>조사!K29</f>
        <v>0</v>
      </c>
      <c r="B43" s="18" t="e">
        <f>VLOOKUP(A:A,조사!K:L,2,FALSE)</f>
        <v>#N/A</v>
      </c>
      <c r="C43" s="30">
        <f t="shared" si="2"/>
        <v>0</v>
      </c>
      <c r="D43" s="19"/>
    </row>
    <row r="44" spans="1:4" ht="18.75" customHeight="1">
      <c r="A44" s="30">
        <f>조사!K33</f>
        <v>0</v>
      </c>
      <c r="B44" s="18" t="e">
        <f>VLOOKUP(A:A,조사!K:L,2,FALSE)</f>
        <v>#N/A</v>
      </c>
      <c r="C44" s="30">
        <f t="shared" ref="C44:C53" si="3">A44</f>
        <v>0</v>
      </c>
      <c r="D44" s="19"/>
    </row>
    <row r="45" spans="1:4" ht="18.75" customHeight="1">
      <c r="A45" s="30">
        <f>조사!K34</f>
        <v>0</v>
      </c>
      <c r="B45" s="18" t="e">
        <f>VLOOKUP(A:A,조사!K:L,2,FALSE)</f>
        <v>#N/A</v>
      </c>
      <c r="C45" s="30">
        <f t="shared" si="3"/>
        <v>0</v>
      </c>
      <c r="D45" s="19"/>
    </row>
    <row r="46" spans="1:4" ht="18.75" customHeight="1">
      <c r="A46" s="30">
        <f>조사!K35</f>
        <v>0</v>
      </c>
      <c r="B46" s="18" t="e">
        <f>VLOOKUP(A:A,조사!K:L,2,FALSE)</f>
        <v>#N/A</v>
      </c>
      <c r="C46" s="30">
        <f t="shared" si="3"/>
        <v>0</v>
      </c>
      <c r="D46" s="19"/>
    </row>
    <row r="47" spans="1:4" ht="18.75" customHeight="1">
      <c r="A47" s="30">
        <f>조사!K36</f>
        <v>0</v>
      </c>
      <c r="B47" s="18" t="e">
        <f>VLOOKUP(A:A,조사!K:L,2,FALSE)</f>
        <v>#N/A</v>
      </c>
      <c r="C47" s="30">
        <f t="shared" si="3"/>
        <v>0</v>
      </c>
      <c r="D47" s="19"/>
    </row>
    <row r="48" spans="1:4" ht="18.75" customHeight="1">
      <c r="A48" s="30">
        <f>조사!K37</f>
        <v>0</v>
      </c>
      <c r="B48" s="18" t="e">
        <f>VLOOKUP(A:A,조사!K:L,2,FALSE)</f>
        <v>#N/A</v>
      </c>
      <c r="C48" s="30">
        <f t="shared" si="3"/>
        <v>0</v>
      </c>
      <c r="D48" s="19"/>
    </row>
    <row r="49" spans="1:4" ht="18.75" customHeight="1">
      <c r="A49" s="30">
        <f>조사!K38</f>
        <v>0</v>
      </c>
      <c r="B49" s="18" t="e">
        <f>VLOOKUP(A:A,조사!K:L,2,FALSE)</f>
        <v>#N/A</v>
      </c>
      <c r="C49" s="30">
        <f t="shared" si="3"/>
        <v>0</v>
      </c>
      <c r="D49" s="19"/>
    </row>
    <row r="50" spans="1:4" ht="18.75" customHeight="1">
      <c r="A50" s="30">
        <f>조사!K39</f>
        <v>0</v>
      </c>
      <c r="B50" s="18" t="e">
        <f>VLOOKUP(A:A,조사!K:L,2,FALSE)</f>
        <v>#N/A</v>
      </c>
      <c r="C50" s="30">
        <f t="shared" si="3"/>
        <v>0</v>
      </c>
      <c r="D50" s="19"/>
    </row>
    <row r="51" spans="1:4" ht="18.75" customHeight="1">
      <c r="A51" s="30">
        <f>조사!K40</f>
        <v>0</v>
      </c>
      <c r="B51" s="18" t="e">
        <f>VLOOKUP(A:A,조사!K:L,2,FALSE)</f>
        <v>#N/A</v>
      </c>
      <c r="C51" s="30">
        <f t="shared" si="3"/>
        <v>0</v>
      </c>
      <c r="D51" s="19"/>
    </row>
    <row r="52" spans="1:4" ht="18.75" customHeight="1">
      <c r="A52" s="30">
        <f>조사!K41</f>
        <v>0</v>
      </c>
      <c r="B52" s="18" t="e">
        <f>VLOOKUP(A:A,조사!K:L,2,FALSE)</f>
        <v>#N/A</v>
      </c>
      <c r="C52" s="30">
        <f t="shared" si="3"/>
        <v>0</v>
      </c>
      <c r="D52" s="19"/>
    </row>
    <row r="53" spans="1:4" ht="18.75" customHeight="1">
      <c r="A53" s="30">
        <f>조사!K42</f>
        <v>0</v>
      </c>
      <c r="B53" s="18" t="e">
        <f>VLOOKUP(A:A,조사!K:L,2,FALSE)</f>
        <v>#N/A</v>
      </c>
      <c r="C53" s="30">
        <f t="shared" si="3"/>
        <v>0</v>
      </c>
      <c r="D53" s="19"/>
    </row>
    <row r="54" spans="1:4" ht="18.75" customHeight="1">
      <c r="A54" s="30">
        <f>조사!K27</f>
        <v>0</v>
      </c>
      <c r="B54" s="18" t="e">
        <f>VLOOKUP(A:A,조사!K:L,2,FALSE)</f>
        <v>#N/A</v>
      </c>
      <c r="C54" s="30">
        <f t="shared" si="1"/>
        <v>0</v>
      </c>
      <c r="D54" s="19"/>
    </row>
    <row r="55" spans="1:4" ht="18.75" customHeight="1">
      <c r="A55" s="30">
        <f>조사!K28</f>
        <v>0</v>
      </c>
      <c r="B55" s="18" t="e">
        <f>VLOOKUP(A:A,조사!K:L,2,FALSE)</f>
        <v>#N/A</v>
      </c>
      <c r="C55" s="30">
        <f t="shared" si="1"/>
        <v>0</v>
      </c>
      <c r="D55" s="19"/>
    </row>
    <row r="56" spans="1:4" ht="18.75" customHeight="1">
      <c r="A56" s="30">
        <f>조사!K29</f>
        <v>0</v>
      </c>
      <c r="B56" s="18" t="e">
        <f>VLOOKUP(A:A,조사!K:L,2,FALSE)</f>
        <v>#N/A</v>
      </c>
      <c r="C56" s="30">
        <f t="shared" si="1"/>
        <v>0</v>
      </c>
      <c r="D56" s="19"/>
    </row>
    <row r="57" spans="1:4" ht="18.75" customHeight="1">
      <c r="A57" s="30">
        <f>조사!K30</f>
        <v>0</v>
      </c>
      <c r="B57" s="18" t="e">
        <f>VLOOKUP(A:A,조사!K:L,2,FALSE)</f>
        <v>#N/A</v>
      </c>
      <c r="C57" s="30">
        <f t="shared" si="1"/>
        <v>0</v>
      </c>
      <c r="D57" s="19"/>
    </row>
    <row r="58" spans="1:4" ht="18.75" customHeight="1">
      <c r="A58" s="30">
        <f>조사!K31</f>
        <v>0</v>
      </c>
      <c r="B58" s="18" t="e">
        <f>VLOOKUP(A:A,조사!K:L,2,FALSE)</f>
        <v>#N/A</v>
      </c>
      <c r="C58" s="30">
        <f t="shared" si="1"/>
        <v>0</v>
      </c>
      <c r="D58" s="19"/>
    </row>
    <row r="59" spans="1:4" ht="18.75" customHeight="1">
      <c r="A59" s="30">
        <f>조사!K32</f>
        <v>0</v>
      </c>
      <c r="B59" s="18" t="e">
        <f>VLOOKUP(A:A,조사!K:L,2,FALSE)</f>
        <v>#N/A</v>
      </c>
      <c r="C59" s="30">
        <f t="shared" si="1"/>
        <v>0</v>
      </c>
      <c r="D59" s="19"/>
    </row>
    <row r="60" spans="1:4" ht="18.75" customHeight="1">
      <c r="A60" s="30">
        <f>조사!K33</f>
        <v>0</v>
      </c>
      <c r="B60" s="18" t="e">
        <f>VLOOKUP(A:A,조사!K:L,2,FALSE)</f>
        <v>#N/A</v>
      </c>
      <c r="C60" s="30">
        <f t="shared" si="1"/>
        <v>0</v>
      </c>
      <c r="D60" s="19"/>
    </row>
    <row r="61" spans="1:4" ht="18.75" customHeight="1">
      <c r="A61" s="30">
        <f>조사!K34</f>
        <v>0</v>
      </c>
      <c r="B61" s="18" t="e">
        <f>VLOOKUP(A:A,조사!K:L,2,FALSE)</f>
        <v>#N/A</v>
      </c>
      <c r="C61" s="30">
        <f t="shared" si="1"/>
        <v>0</v>
      </c>
      <c r="D61" s="19"/>
    </row>
    <row r="62" spans="1:4" ht="18.75" customHeight="1">
      <c r="A62" s="30">
        <f>조사!K35</f>
        <v>0</v>
      </c>
      <c r="B62" s="18" t="e">
        <f>VLOOKUP(A:A,조사!K:L,2,FALSE)</f>
        <v>#N/A</v>
      </c>
      <c r="C62" s="30">
        <f t="shared" si="1"/>
        <v>0</v>
      </c>
      <c r="D62" s="19"/>
    </row>
    <row r="63" spans="1:4" ht="18.75" customHeight="1">
      <c r="A63" s="30">
        <f>조사!K36</f>
        <v>0</v>
      </c>
      <c r="B63" s="18" t="e">
        <f>VLOOKUP(A:A,조사!K:L,2,FALSE)</f>
        <v>#N/A</v>
      </c>
      <c r="C63" s="30">
        <f t="shared" si="1"/>
        <v>0</v>
      </c>
      <c r="D63" s="19"/>
    </row>
    <row r="64" spans="1:4" ht="18.75" customHeight="1">
      <c r="A64" s="30">
        <f>조사!K37</f>
        <v>0</v>
      </c>
      <c r="B64" s="18" t="e">
        <f>VLOOKUP(A:A,조사!K:L,2,FALSE)</f>
        <v>#N/A</v>
      </c>
      <c r="C64" s="30">
        <f t="shared" si="1"/>
        <v>0</v>
      </c>
      <c r="D64" s="19"/>
    </row>
    <row r="65" spans="1:4" ht="18.75" customHeight="1">
      <c r="A65" s="30">
        <f>조사!K38</f>
        <v>0</v>
      </c>
      <c r="B65" s="18" t="e">
        <f>VLOOKUP(A:A,조사!K:L,2,FALSE)</f>
        <v>#N/A</v>
      </c>
      <c r="C65" s="30">
        <f t="shared" si="1"/>
        <v>0</v>
      </c>
      <c r="D65" s="19"/>
    </row>
    <row r="66" spans="1:4" ht="18.75" customHeight="1">
      <c r="A66" s="30">
        <f>조사!K39</f>
        <v>0</v>
      </c>
      <c r="B66" s="18" t="e">
        <f>VLOOKUP(A:A,조사!K:L,2,FALSE)</f>
        <v>#N/A</v>
      </c>
      <c r="C66" s="30">
        <f t="shared" si="1"/>
        <v>0</v>
      </c>
      <c r="D66" s="19"/>
    </row>
    <row r="67" spans="1:4" ht="18.75" customHeight="1">
      <c r="A67" s="30">
        <f>조사!K40</f>
        <v>0</v>
      </c>
      <c r="B67" s="18" t="e">
        <f>VLOOKUP(A:A,조사!K:L,2,FALSE)</f>
        <v>#N/A</v>
      </c>
      <c r="C67" s="30">
        <f t="shared" si="1"/>
        <v>0</v>
      </c>
      <c r="D67" s="19"/>
    </row>
    <row r="68" spans="1:4" ht="18.75" customHeight="1">
      <c r="A68" s="30">
        <f>조사!K41</f>
        <v>0</v>
      </c>
      <c r="B68" s="18" t="e">
        <f>VLOOKUP(A:A,조사!K:L,2,FALSE)</f>
        <v>#N/A</v>
      </c>
      <c r="C68" s="30">
        <f t="shared" ref="C68:C131" si="4">A68</f>
        <v>0</v>
      </c>
      <c r="D68" s="19"/>
    </row>
    <row r="69" spans="1:4" ht="18.75" customHeight="1">
      <c r="A69" s="30">
        <f>조사!K42</f>
        <v>0</v>
      </c>
      <c r="B69" s="18" t="e">
        <f>VLOOKUP(A:A,조사!K:L,2,FALSE)</f>
        <v>#N/A</v>
      </c>
      <c r="C69" s="30">
        <f t="shared" si="4"/>
        <v>0</v>
      </c>
      <c r="D69" s="19"/>
    </row>
    <row r="70" spans="1:4" ht="18.75" customHeight="1">
      <c r="A70" s="30">
        <f>조사!K43</f>
        <v>0</v>
      </c>
      <c r="B70" s="18" t="e">
        <f>VLOOKUP(A:A,조사!K:L,2,FALSE)</f>
        <v>#N/A</v>
      </c>
      <c r="C70" s="30">
        <f t="shared" si="4"/>
        <v>0</v>
      </c>
      <c r="D70" s="19"/>
    </row>
    <row r="71" spans="1:4" ht="18.75" customHeight="1">
      <c r="A71" s="30">
        <f>조사!K44</f>
        <v>0</v>
      </c>
      <c r="B71" s="18" t="e">
        <f>VLOOKUP(A:A,조사!K:L,2,FALSE)</f>
        <v>#N/A</v>
      </c>
      <c r="C71" s="30">
        <f t="shared" si="4"/>
        <v>0</v>
      </c>
      <c r="D71" s="19"/>
    </row>
    <row r="72" spans="1:4" ht="18.75" customHeight="1">
      <c r="A72" s="30">
        <f>조사!K45</f>
        <v>0</v>
      </c>
      <c r="B72" s="18" t="e">
        <f>VLOOKUP(A:A,조사!K:L,2,FALSE)</f>
        <v>#N/A</v>
      </c>
      <c r="C72" s="30">
        <f t="shared" si="4"/>
        <v>0</v>
      </c>
      <c r="D72" s="19"/>
    </row>
    <row r="73" spans="1:4" ht="18.75" customHeight="1">
      <c r="A73" s="30">
        <f>조사!K46</f>
        <v>0</v>
      </c>
      <c r="B73" s="18" t="e">
        <f>VLOOKUP(A:A,조사!K:L,2,FALSE)</f>
        <v>#N/A</v>
      </c>
      <c r="C73" s="30">
        <f t="shared" si="4"/>
        <v>0</v>
      </c>
      <c r="D73" s="19"/>
    </row>
    <row r="74" spans="1:4" ht="18.75" customHeight="1">
      <c r="A74" s="30">
        <f>조사!K47</f>
        <v>0</v>
      </c>
      <c r="B74" s="18" t="e">
        <f>VLOOKUP(A:A,조사!K:L,2,FALSE)</f>
        <v>#N/A</v>
      </c>
      <c r="C74" s="30">
        <f t="shared" si="4"/>
        <v>0</v>
      </c>
      <c r="D74" s="19"/>
    </row>
    <row r="75" spans="1:4" ht="18.75" customHeight="1">
      <c r="A75" s="30">
        <f>조사!K48</f>
        <v>0</v>
      </c>
      <c r="B75" s="18" t="e">
        <f>VLOOKUP(A:A,조사!K:L,2,FALSE)</f>
        <v>#N/A</v>
      </c>
      <c r="C75" s="30">
        <f t="shared" si="4"/>
        <v>0</v>
      </c>
      <c r="D75" s="19"/>
    </row>
    <row r="76" spans="1:4" ht="18.75" customHeight="1">
      <c r="A76" s="30">
        <f>조사!K49</f>
        <v>0</v>
      </c>
      <c r="B76" s="18" t="e">
        <f>VLOOKUP(A:A,조사!K:L,2,FALSE)</f>
        <v>#N/A</v>
      </c>
      <c r="C76" s="30">
        <f t="shared" si="4"/>
        <v>0</v>
      </c>
      <c r="D76" s="19"/>
    </row>
    <row r="77" spans="1:4" ht="18.75" customHeight="1">
      <c r="A77" s="30">
        <f>조사!K50</f>
        <v>0</v>
      </c>
      <c r="B77" s="18" t="e">
        <f>VLOOKUP(A:A,조사!K:L,2,FALSE)</f>
        <v>#N/A</v>
      </c>
      <c r="C77" s="30">
        <f t="shared" si="4"/>
        <v>0</v>
      </c>
      <c r="D77" s="19"/>
    </row>
    <row r="78" spans="1:4" ht="18.75" customHeight="1">
      <c r="A78" s="30">
        <f>조사!K51</f>
        <v>0</v>
      </c>
      <c r="B78" s="18" t="e">
        <f>VLOOKUP(A:A,조사!K:L,2,FALSE)</f>
        <v>#N/A</v>
      </c>
      <c r="C78" s="30">
        <f t="shared" si="4"/>
        <v>0</v>
      </c>
      <c r="D78" s="19"/>
    </row>
    <row r="79" spans="1:4" ht="18.75" customHeight="1">
      <c r="A79" s="30">
        <f>조사!K52</f>
        <v>0</v>
      </c>
      <c r="B79" s="18" t="e">
        <f>VLOOKUP(A:A,조사!K:L,2,FALSE)</f>
        <v>#N/A</v>
      </c>
      <c r="C79" s="30">
        <f t="shared" si="4"/>
        <v>0</v>
      </c>
      <c r="D79" s="19"/>
    </row>
    <row r="80" spans="1:4" ht="18.75" customHeight="1">
      <c r="A80" s="30">
        <f>조사!K53</f>
        <v>0</v>
      </c>
      <c r="B80" s="18" t="e">
        <f>VLOOKUP(A:A,조사!K:L,2,FALSE)</f>
        <v>#N/A</v>
      </c>
      <c r="C80" s="30">
        <f t="shared" si="4"/>
        <v>0</v>
      </c>
      <c r="D80" s="19"/>
    </row>
    <row r="81" spans="1:4" ht="18.75" customHeight="1">
      <c r="A81" s="30">
        <f>조사!K54</f>
        <v>0</v>
      </c>
      <c r="B81" s="18" t="e">
        <f>VLOOKUP(A:A,조사!K:L,2,FALSE)</f>
        <v>#N/A</v>
      </c>
      <c r="C81" s="30">
        <f t="shared" si="4"/>
        <v>0</v>
      </c>
      <c r="D81" s="19"/>
    </row>
    <row r="82" spans="1:4" ht="18.75" customHeight="1">
      <c r="A82" s="30">
        <f>조사!K55</f>
        <v>0</v>
      </c>
      <c r="B82" s="18" t="e">
        <f>VLOOKUP(A:A,조사!K:L,2,FALSE)</f>
        <v>#N/A</v>
      </c>
      <c r="C82" s="30">
        <f t="shared" si="4"/>
        <v>0</v>
      </c>
      <c r="D82" s="19"/>
    </row>
    <row r="83" spans="1:4" ht="18.75" customHeight="1">
      <c r="A83" s="30">
        <f>조사!K56</f>
        <v>0</v>
      </c>
      <c r="B83" s="18" t="e">
        <f>VLOOKUP(A:A,조사!K:L,2,FALSE)</f>
        <v>#N/A</v>
      </c>
      <c r="C83" s="30">
        <f t="shared" si="4"/>
        <v>0</v>
      </c>
      <c r="D83" s="19"/>
    </row>
    <row r="84" spans="1:4" ht="18.75" customHeight="1">
      <c r="A84" s="30">
        <f>조사!K57</f>
        <v>0</v>
      </c>
      <c r="B84" s="18" t="e">
        <f>VLOOKUP(A:A,조사!K:L,2,FALSE)</f>
        <v>#N/A</v>
      </c>
      <c r="C84" s="30">
        <f t="shared" si="4"/>
        <v>0</v>
      </c>
      <c r="D84" s="19"/>
    </row>
    <row r="85" spans="1:4" ht="18.75" customHeight="1">
      <c r="A85" s="30">
        <f>조사!K58</f>
        <v>0</v>
      </c>
      <c r="B85" s="18" t="e">
        <f>VLOOKUP(A:A,조사!K:L,2,FALSE)</f>
        <v>#N/A</v>
      </c>
      <c r="C85" s="30">
        <f t="shared" si="4"/>
        <v>0</v>
      </c>
      <c r="D85" s="19"/>
    </row>
    <row r="86" spans="1:4" ht="18.75" customHeight="1">
      <c r="A86" s="30">
        <f>조사!K59</f>
        <v>0</v>
      </c>
      <c r="B86" s="18" t="e">
        <f>VLOOKUP(A:A,조사!K:L,2,FALSE)</f>
        <v>#N/A</v>
      </c>
      <c r="C86" s="30">
        <f t="shared" si="4"/>
        <v>0</v>
      </c>
      <c r="D86" s="19"/>
    </row>
    <row r="87" spans="1:4" ht="18.75" customHeight="1">
      <c r="A87" s="30">
        <f>조사!K60</f>
        <v>0</v>
      </c>
      <c r="B87" s="18" t="e">
        <f>VLOOKUP(A:A,조사!K:L,2,FALSE)</f>
        <v>#N/A</v>
      </c>
      <c r="C87" s="30">
        <f t="shared" si="4"/>
        <v>0</v>
      </c>
      <c r="D87" s="19"/>
    </row>
    <row r="88" spans="1:4" ht="18.75" customHeight="1">
      <c r="A88" s="30">
        <f>조사!K61</f>
        <v>0</v>
      </c>
      <c r="B88" s="18" t="e">
        <f>VLOOKUP(A:A,조사!K:L,2,FALSE)</f>
        <v>#N/A</v>
      </c>
      <c r="C88" s="30">
        <f t="shared" si="4"/>
        <v>0</v>
      </c>
      <c r="D88" s="19"/>
    </row>
    <row r="89" spans="1:4" ht="18.75" customHeight="1">
      <c r="A89" s="30">
        <f>조사!K62</f>
        <v>0</v>
      </c>
      <c r="B89" s="18" t="e">
        <f>VLOOKUP(A:A,조사!K:L,2,FALSE)</f>
        <v>#N/A</v>
      </c>
      <c r="C89" s="30">
        <f t="shared" si="4"/>
        <v>0</v>
      </c>
      <c r="D89" s="19"/>
    </row>
    <row r="90" spans="1:4" ht="18.75" customHeight="1">
      <c r="A90" s="30">
        <f>조사!K63</f>
        <v>0</v>
      </c>
      <c r="B90" s="18" t="e">
        <f>VLOOKUP(A:A,조사!K:L,2,FALSE)</f>
        <v>#N/A</v>
      </c>
      <c r="C90" s="30">
        <f t="shared" si="4"/>
        <v>0</v>
      </c>
      <c r="D90" s="19"/>
    </row>
    <row r="91" spans="1:4" ht="18.75" customHeight="1">
      <c r="A91" s="30">
        <f>조사!K64</f>
        <v>0</v>
      </c>
      <c r="B91" s="18" t="e">
        <f>VLOOKUP(A:A,조사!K:L,2,FALSE)</f>
        <v>#N/A</v>
      </c>
      <c r="C91" s="30">
        <f t="shared" si="4"/>
        <v>0</v>
      </c>
      <c r="D91" s="19"/>
    </row>
    <row r="92" spans="1:4" ht="18.75" customHeight="1">
      <c r="A92" s="30">
        <f>조사!K65</f>
        <v>0</v>
      </c>
      <c r="B92" s="18" t="e">
        <f>VLOOKUP(A:A,조사!K:L,2,FALSE)</f>
        <v>#N/A</v>
      </c>
      <c r="C92" s="30">
        <f t="shared" si="4"/>
        <v>0</v>
      </c>
      <c r="D92" s="19"/>
    </row>
    <row r="93" spans="1:4" ht="18.75" customHeight="1">
      <c r="A93" s="30">
        <f>조사!K66</f>
        <v>0</v>
      </c>
      <c r="B93" s="18" t="e">
        <f>VLOOKUP(A:A,조사!K:L,2,FALSE)</f>
        <v>#N/A</v>
      </c>
      <c r="C93" s="30">
        <f t="shared" si="4"/>
        <v>0</v>
      </c>
      <c r="D93" s="19"/>
    </row>
    <row r="94" spans="1:4" ht="18.75" customHeight="1">
      <c r="A94" s="30">
        <f>조사!K67</f>
        <v>0</v>
      </c>
      <c r="B94" s="18" t="e">
        <f>VLOOKUP(A:A,조사!K:L,2,FALSE)</f>
        <v>#N/A</v>
      </c>
      <c r="C94" s="30">
        <f t="shared" si="4"/>
        <v>0</v>
      </c>
      <c r="D94" s="19"/>
    </row>
    <row r="95" spans="1:4" ht="18.75" customHeight="1">
      <c r="A95" s="30">
        <f>조사!K68</f>
        <v>0</v>
      </c>
      <c r="B95" s="18" t="e">
        <f>VLOOKUP(A:A,조사!K:L,2,FALSE)</f>
        <v>#N/A</v>
      </c>
      <c r="C95" s="30">
        <f t="shared" si="4"/>
        <v>0</v>
      </c>
      <c r="D95" s="19"/>
    </row>
    <row r="96" spans="1:4" ht="18.75" customHeight="1">
      <c r="A96" s="30">
        <f>조사!K69</f>
        <v>0</v>
      </c>
      <c r="B96" s="18" t="e">
        <f>VLOOKUP(A:A,조사!K:L,2,FALSE)</f>
        <v>#N/A</v>
      </c>
      <c r="C96" s="30">
        <f t="shared" si="4"/>
        <v>0</v>
      </c>
      <c r="D96" s="19"/>
    </row>
    <row r="97" spans="1:4" ht="18.75" customHeight="1">
      <c r="A97" s="30">
        <f>조사!K70</f>
        <v>0</v>
      </c>
      <c r="B97" s="18" t="e">
        <f>VLOOKUP(A:A,조사!K:L,2,FALSE)</f>
        <v>#N/A</v>
      </c>
      <c r="C97" s="30">
        <f t="shared" si="4"/>
        <v>0</v>
      </c>
      <c r="D97" s="19"/>
    </row>
    <row r="98" spans="1:4" ht="18.75" customHeight="1">
      <c r="A98" s="30">
        <f>조사!K71</f>
        <v>0</v>
      </c>
      <c r="B98" s="18" t="e">
        <f>VLOOKUP(A:A,조사!K:L,2,FALSE)</f>
        <v>#N/A</v>
      </c>
      <c r="C98" s="30">
        <f t="shared" si="4"/>
        <v>0</v>
      </c>
      <c r="D98" s="19"/>
    </row>
    <row r="99" spans="1:4" ht="18.75" customHeight="1">
      <c r="A99" s="30">
        <f>조사!K72</f>
        <v>0</v>
      </c>
      <c r="B99" s="18" t="e">
        <f>VLOOKUP(A:A,조사!K:L,2,FALSE)</f>
        <v>#N/A</v>
      </c>
      <c r="C99" s="30">
        <f t="shared" si="4"/>
        <v>0</v>
      </c>
      <c r="D99" s="19"/>
    </row>
    <row r="100" spans="1:4" ht="18.75" customHeight="1">
      <c r="A100" s="30">
        <f>조사!K73</f>
        <v>0</v>
      </c>
      <c r="B100" s="18" t="e">
        <f>VLOOKUP(A:A,조사!K:L,2,FALSE)</f>
        <v>#N/A</v>
      </c>
      <c r="C100" s="30">
        <f t="shared" si="4"/>
        <v>0</v>
      </c>
      <c r="D100" s="19"/>
    </row>
    <row r="101" spans="1:4" ht="18.75" customHeight="1">
      <c r="A101" s="30">
        <f>조사!K74</f>
        <v>0</v>
      </c>
      <c r="B101" s="18" t="e">
        <f>VLOOKUP(A:A,조사!K:L,2,FALSE)</f>
        <v>#N/A</v>
      </c>
      <c r="C101" s="30">
        <f t="shared" si="4"/>
        <v>0</v>
      </c>
      <c r="D101" s="19"/>
    </row>
    <row r="102" spans="1:4" ht="18.75" customHeight="1">
      <c r="A102" s="30">
        <f>조사!K75</f>
        <v>0</v>
      </c>
      <c r="B102" s="18" t="e">
        <f>VLOOKUP(A:A,조사!K:L,2,FALSE)</f>
        <v>#N/A</v>
      </c>
      <c r="C102" s="30">
        <f t="shared" si="4"/>
        <v>0</v>
      </c>
      <c r="D102" s="19"/>
    </row>
    <row r="103" spans="1:4" ht="18.75" customHeight="1">
      <c r="A103" s="30">
        <f>조사!K76</f>
        <v>0</v>
      </c>
      <c r="B103" s="18" t="e">
        <f>VLOOKUP(A:A,조사!K:L,2,FALSE)</f>
        <v>#N/A</v>
      </c>
      <c r="C103" s="30">
        <f t="shared" si="4"/>
        <v>0</v>
      </c>
      <c r="D103" s="19"/>
    </row>
    <row r="104" spans="1:4" ht="18.75" customHeight="1">
      <c r="A104" s="30">
        <f>조사!K77</f>
        <v>0</v>
      </c>
      <c r="B104" s="18" t="e">
        <f>VLOOKUP(A:A,조사!K:L,2,FALSE)</f>
        <v>#N/A</v>
      </c>
      <c r="C104" s="30">
        <f t="shared" si="4"/>
        <v>0</v>
      </c>
      <c r="D104" s="19"/>
    </row>
    <row r="105" spans="1:4" ht="18.75" customHeight="1">
      <c r="A105" s="30">
        <f>조사!K78</f>
        <v>0</v>
      </c>
      <c r="B105" s="18" t="e">
        <f>VLOOKUP(A:A,조사!K:L,2,FALSE)</f>
        <v>#N/A</v>
      </c>
      <c r="C105" s="30">
        <f t="shared" si="4"/>
        <v>0</v>
      </c>
      <c r="D105" s="19"/>
    </row>
    <row r="106" spans="1:4" ht="18.75" customHeight="1">
      <c r="A106" s="30">
        <f>조사!K79</f>
        <v>0</v>
      </c>
      <c r="B106" s="18" t="e">
        <f>VLOOKUP(A:A,조사!K:L,2,FALSE)</f>
        <v>#N/A</v>
      </c>
      <c r="C106" s="30">
        <f t="shared" si="4"/>
        <v>0</v>
      </c>
      <c r="D106" s="19"/>
    </row>
    <row r="107" spans="1:4" ht="18.75" customHeight="1">
      <c r="A107" s="30">
        <f>조사!K80</f>
        <v>0</v>
      </c>
      <c r="B107" s="18" t="e">
        <f>VLOOKUP(A:A,조사!K:L,2,FALSE)</f>
        <v>#N/A</v>
      </c>
      <c r="C107" s="30">
        <f t="shared" si="4"/>
        <v>0</v>
      </c>
      <c r="D107" s="19"/>
    </row>
    <row r="108" spans="1:4" ht="18.75" customHeight="1">
      <c r="A108" s="30">
        <f>조사!K81</f>
        <v>0</v>
      </c>
      <c r="B108" s="18" t="e">
        <f>VLOOKUP(A:A,조사!K:L,2,FALSE)</f>
        <v>#N/A</v>
      </c>
      <c r="C108" s="30">
        <f t="shared" si="4"/>
        <v>0</v>
      </c>
      <c r="D108" s="19"/>
    </row>
    <row r="109" spans="1:4" ht="18.75" customHeight="1">
      <c r="A109" s="30">
        <f>조사!K82</f>
        <v>0</v>
      </c>
      <c r="B109" s="18" t="e">
        <f>VLOOKUP(A:A,조사!K:L,2,FALSE)</f>
        <v>#N/A</v>
      </c>
      <c r="C109" s="30">
        <f t="shared" si="4"/>
        <v>0</v>
      </c>
      <c r="D109" s="19"/>
    </row>
    <row r="110" spans="1:4" ht="18.75" customHeight="1">
      <c r="A110" s="30">
        <f>조사!K83</f>
        <v>0</v>
      </c>
      <c r="B110" s="18" t="e">
        <f>VLOOKUP(A:A,조사!K:L,2,FALSE)</f>
        <v>#N/A</v>
      </c>
      <c r="C110" s="30">
        <f t="shared" si="4"/>
        <v>0</v>
      </c>
      <c r="D110" s="19"/>
    </row>
    <row r="111" spans="1:4" ht="18.75" customHeight="1">
      <c r="A111" s="30">
        <f>조사!K84</f>
        <v>0</v>
      </c>
      <c r="B111" s="18" t="e">
        <f>VLOOKUP(A:A,조사!K:L,2,FALSE)</f>
        <v>#N/A</v>
      </c>
      <c r="C111" s="30">
        <f t="shared" si="4"/>
        <v>0</v>
      </c>
      <c r="D111" s="19"/>
    </row>
    <row r="112" spans="1:4" ht="18.75" customHeight="1">
      <c r="A112" s="30">
        <f>조사!K85</f>
        <v>0</v>
      </c>
      <c r="B112" s="18" t="e">
        <f>VLOOKUP(A:A,조사!K:L,2,FALSE)</f>
        <v>#N/A</v>
      </c>
      <c r="C112" s="30">
        <f t="shared" si="4"/>
        <v>0</v>
      </c>
      <c r="D112" s="19"/>
    </row>
    <row r="113" spans="1:4" ht="18.75" customHeight="1">
      <c r="A113" s="30">
        <f>조사!K86</f>
        <v>0</v>
      </c>
      <c r="B113" s="18" t="e">
        <f>VLOOKUP(A:A,조사!K:L,2,FALSE)</f>
        <v>#N/A</v>
      </c>
      <c r="C113" s="30">
        <f t="shared" si="4"/>
        <v>0</v>
      </c>
      <c r="D113" s="19"/>
    </row>
    <row r="114" spans="1:4" ht="18.75" customHeight="1">
      <c r="A114" s="30">
        <f>조사!K87</f>
        <v>0</v>
      </c>
      <c r="B114" s="18" t="e">
        <f>VLOOKUP(A:A,조사!K:L,2,FALSE)</f>
        <v>#N/A</v>
      </c>
      <c r="C114" s="30">
        <f t="shared" si="4"/>
        <v>0</v>
      </c>
      <c r="D114" s="19"/>
    </row>
    <row r="115" spans="1:4" ht="18.75" customHeight="1">
      <c r="A115" s="30">
        <f>조사!K88</f>
        <v>0</v>
      </c>
      <c r="B115" s="18" t="e">
        <f>VLOOKUP(A:A,조사!K:L,2,FALSE)</f>
        <v>#N/A</v>
      </c>
      <c r="C115" s="30">
        <f t="shared" si="4"/>
        <v>0</v>
      </c>
      <c r="D115" s="19"/>
    </row>
    <row r="116" spans="1:4" ht="18.75" customHeight="1">
      <c r="A116" s="30">
        <f>조사!K89</f>
        <v>0</v>
      </c>
      <c r="B116" s="18" t="e">
        <f>VLOOKUP(A:A,조사!K:L,2,FALSE)</f>
        <v>#N/A</v>
      </c>
      <c r="C116" s="30">
        <f t="shared" si="4"/>
        <v>0</v>
      </c>
      <c r="D116" s="19"/>
    </row>
    <row r="117" spans="1:4" ht="18.75" customHeight="1">
      <c r="A117" s="30">
        <f>조사!K90</f>
        <v>0</v>
      </c>
      <c r="B117" s="18" t="e">
        <f>VLOOKUP(A:A,조사!K:L,2,FALSE)</f>
        <v>#N/A</v>
      </c>
      <c r="C117" s="30">
        <f t="shared" si="4"/>
        <v>0</v>
      </c>
      <c r="D117" s="19"/>
    </row>
    <row r="118" spans="1:4" ht="18.75" customHeight="1">
      <c r="A118" s="30">
        <f>조사!K91</f>
        <v>0</v>
      </c>
      <c r="B118" s="18" t="e">
        <f>VLOOKUP(A:A,조사!K:L,2,FALSE)</f>
        <v>#N/A</v>
      </c>
      <c r="C118" s="30">
        <f t="shared" si="4"/>
        <v>0</v>
      </c>
      <c r="D118" s="19"/>
    </row>
    <row r="119" spans="1:4" ht="18.75" customHeight="1">
      <c r="A119" s="30">
        <f>조사!K92</f>
        <v>0</v>
      </c>
      <c r="B119" s="18" t="e">
        <f>VLOOKUP(A:A,조사!K:L,2,FALSE)</f>
        <v>#N/A</v>
      </c>
      <c r="C119" s="30">
        <f t="shared" si="4"/>
        <v>0</v>
      </c>
      <c r="D119" s="19"/>
    </row>
    <row r="120" spans="1:4" ht="18.75" customHeight="1">
      <c r="A120" s="30">
        <f>조사!K93</f>
        <v>0</v>
      </c>
      <c r="B120" s="18" t="e">
        <f>VLOOKUP(A:A,조사!K:L,2,FALSE)</f>
        <v>#N/A</v>
      </c>
      <c r="C120" s="30">
        <f t="shared" si="4"/>
        <v>0</v>
      </c>
      <c r="D120" s="19"/>
    </row>
    <row r="121" spans="1:4" ht="18.75" customHeight="1">
      <c r="A121" s="30">
        <f>조사!K94</f>
        <v>0</v>
      </c>
      <c r="B121" s="18" t="e">
        <f>VLOOKUP(A:A,조사!K:L,2,FALSE)</f>
        <v>#N/A</v>
      </c>
      <c r="C121" s="30">
        <f t="shared" si="4"/>
        <v>0</v>
      </c>
      <c r="D121" s="19"/>
    </row>
    <row r="122" spans="1:4" ht="18.75" customHeight="1">
      <c r="A122" s="30">
        <f>조사!K95</f>
        <v>0</v>
      </c>
      <c r="B122" s="18" t="e">
        <f>VLOOKUP(A:A,조사!K:L,2,FALSE)</f>
        <v>#N/A</v>
      </c>
      <c r="C122" s="30">
        <f t="shared" si="4"/>
        <v>0</v>
      </c>
      <c r="D122" s="19"/>
    </row>
    <row r="123" spans="1:4" ht="18.75" customHeight="1">
      <c r="A123" s="30">
        <f>조사!K96</f>
        <v>0</v>
      </c>
      <c r="B123" s="18" t="e">
        <f>VLOOKUP(A:A,조사!K:L,2,FALSE)</f>
        <v>#N/A</v>
      </c>
      <c r="C123" s="30">
        <f t="shared" si="4"/>
        <v>0</v>
      </c>
      <c r="D123" s="19"/>
    </row>
    <row r="124" spans="1:4" ht="18.75" customHeight="1">
      <c r="A124" s="30">
        <f>조사!K97</f>
        <v>0</v>
      </c>
      <c r="B124" s="18" t="e">
        <f>VLOOKUP(A:A,조사!K:L,2,FALSE)</f>
        <v>#N/A</v>
      </c>
      <c r="C124" s="30">
        <f t="shared" si="4"/>
        <v>0</v>
      </c>
      <c r="D124" s="19"/>
    </row>
    <row r="125" spans="1:4" ht="18.75" customHeight="1">
      <c r="A125" s="30">
        <f>조사!K98</f>
        <v>0</v>
      </c>
      <c r="B125" s="18" t="e">
        <f>VLOOKUP(A:A,조사!K:L,2,FALSE)</f>
        <v>#N/A</v>
      </c>
      <c r="C125" s="30">
        <f t="shared" si="4"/>
        <v>0</v>
      </c>
      <c r="D125" s="19"/>
    </row>
    <row r="126" spans="1:4" ht="18.75" customHeight="1">
      <c r="A126" s="30">
        <f>조사!K99</f>
        <v>0</v>
      </c>
      <c r="B126" s="18" t="e">
        <f>VLOOKUP(A:A,조사!K:L,2,FALSE)</f>
        <v>#N/A</v>
      </c>
      <c r="C126" s="30">
        <f t="shared" si="4"/>
        <v>0</v>
      </c>
      <c r="D126" s="19"/>
    </row>
    <row r="127" spans="1:4" ht="18.75" customHeight="1">
      <c r="A127" s="30">
        <f>조사!K100</f>
        <v>0</v>
      </c>
      <c r="B127" s="18" t="e">
        <f>VLOOKUP(A:A,조사!K:L,2,FALSE)</f>
        <v>#N/A</v>
      </c>
      <c r="C127" s="30">
        <f t="shared" si="4"/>
        <v>0</v>
      </c>
      <c r="D127" s="19"/>
    </row>
    <row r="128" spans="1:4" ht="18.75" customHeight="1">
      <c r="A128" s="30">
        <f>조사!K101</f>
        <v>0</v>
      </c>
      <c r="B128" s="18" t="e">
        <f>VLOOKUP(A:A,조사!K:L,2,FALSE)</f>
        <v>#N/A</v>
      </c>
      <c r="C128" s="30">
        <f t="shared" si="4"/>
        <v>0</v>
      </c>
      <c r="D128" s="19"/>
    </row>
    <row r="129" spans="1:4" ht="18.75" customHeight="1">
      <c r="A129" s="30">
        <f>조사!K102</f>
        <v>0</v>
      </c>
      <c r="B129" s="18" t="e">
        <f>VLOOKUP(A:A,조사!K:L,2,FALSE)</f>
        <v>#N/A</v>
      </c>
      <c r="C129" s="30">
        <f t="shared" si="4"/>
        <v>0</v>
      </c>
      <c r="D129" s="19"/>
    </row>
    <row r="130" spans="1:4" ht="18.75" customHeight="1">
      <c r="A130" s="30">
        <f>조사!K103</f>
        <v>0</v>
      </c>
      <c r="B130" s="18" t="e">
        <f>VLOOKUP(A:A,조사!K:L,2,FALSE)</f>
        <v>#N/A</v>
      </c>
      <c r="C130" s="30">
        <f t="shared" si="4"/>
        <v>0</v>
      </c>
      <c r="D130" s="19"/>
    </row>
    <row r="131" spans="1:4" ht="18.75" customHeight="1">
      <c r="A131" s="30">
        <f>조사!K104</f>
        <v>0</v>
      </c>
      <c r="B131" s="18" t="e">
        <f>VLOOKUP(A:A,조사!K:L,2,FALSE)</f>
        <v>#N/A</v>
      </c>
      <c r="C131" s="30">
        <f t="shared" si="4"/>
        <v>0</v>
      </c>
      <c r="D131" s="19"/>
    </row>
    <row r="132" spans="1:4" ht="18.75" customHeight="1">
      <c r="A132" s="30">
        <f>조사!K105</f>
        <v>0</v>
      </c>
      <c r="B132" s="18" t="e">
        <f>VLOOKUP(A:A,조사!K:L,2,FALSE)</f>
        <v>#N/A</v>
      </c>
      <c r="C132" s="30">
        <f t="shared" ref="C132:C133" si="5">A132</f>
        <v>0</v>
      </c>
      <c r="D132" s="19"/>
    </row>
    <row r="133" spans="1:4" ht="18.75" customHeight="1">
      <c r="A133" s="30">
        <f>조사!K106</f>
        <v>0</v>
      </c>
      <c r="B133" s="18" t="e">
        <f>VLOOKUP(A:A,조사!K:L,2,FALSE)</f>
        <v>#N/A</v>
      </c>
      <c r="C133" s="30">
        <f t="shared" si="5"/>
        <v>0</v>
      </c>
      <c r="D133" s="19"/>
    </row>
    <row r="134" spans="1:4" ht="18.75" customHeight="1">
      <c r="A134" s="30">
        <f>조사!K64</f>
        <v>0</v>
      </c>
      <c r="B134" s="18" t="e">
        <f>VLOOKUP(A:A,조사!K:L,2,FALSE)</f>
        <v>#N/A</v>
      </c>
      <c r="C134" s="30">
        <f t="shared" ref="C134:C149" si="6">A134</f>
        <v>0</v>
      </c>
      <c r="D134" s="19"/>
    </row>
    <row r="135" spans="1:4" ht="18.75" customHeight="1">
      <c r="A135" s="30">
        <f>조사!K65</f>
        <v>0</v>
      </c>
      <c r="B135" s="18" t="e">
        <f>VLOOKUP(A:A,조사!K:L,2,FALSE)</f>
        <v>#N/A</v>
      </c>
      <c r="C135" s="30">
        <f t="shared" si="6"/>
        <v>0</v>
      </c>
      <c r="D135" s="19"/>
    </row>
    <row r="136" spans="1:4" ht="18.75" customHeight="1">
      <c r="A136" s="30">
        <f>조사!K66</f>
        <v>0</v>
      </c>
      <c r="B136" s="18" t="e">
        <f>VLOOKUP(A:A,조사!K:L,2,FALSE)</f>
        <v>#N/A</v>
      </c>
      <c r="C136" s="30">
        <f t="shared" si="6"/>
        <v>0</v>
      </c>
      <c r="D136" s="19"/>
    </row>
    <row r="137" spans="1:4" ht="18.75" customHeight="1">
      <c r="A137" s="30">
        <f>조사!K67</f>
        <v>0</v>
      </c>
      <c r="B137" s="18" t="e">
        <f>VLOOKUP(A:A,조사!K:L,2,FALSE)</f>
        <v>#N/A</v>
      </c>
      <c r="C137" s="30">
        <f t="shared" si="6"/>
        <v>0</v>
      </c>
      <c r="D137" s="19"/>
    </row>
    <row r="138" spans="1:4" ht="18.75" customHeight="1">
      <c r="A138" s="30">
        <f>조사!K68</f>
        <v>0</v>
      </c>
      <c r="B138" s="18" t="e">
        <f>VLOOKUP(A:A,조사!K:L,2,FALSE)</f>
        <v>#N/A</v>
      </c>
      <c r="C138" s="30">
        <f t="shared" si="6"/>
        <v>0</v>
      </c>
      <c r="D138" s="19"/>
    </row>
    <row r="139" spans="1:4" ht="18.75" customHeight="1">
      <c r="A139" s="30">
        <f>조사!K69</f>
        <v>0</v>
      </c>
      <c r="B139" s="18" t="e">
        <f>VLOOKUP(A:A,조사!K:L,2,FALSE)</f>
        <v>#N/A</v>
      </c>
      <c r="C139" s="30">
        <f t="shared" si="6"/>
        <v>0</v>
      </c>
      <c r="D139" s="19"/>
    </row>
    <row r="140" spans="1:4" ht="18.75" customHeight="1">
      <c r="A140" s="30">
        <f>조사!K70</f>
        <v>0</v>
      </c>
      <c r="B140" s="18" t="e">
        <f>VLOOKUP(A:A,조사!K:L,2,FALSE)</f>
        <v>#N/A</v>
      </c>
      <c r="C140" s="30">
        <f t="shared" si="6"/>
        <v>0</v>
      </c>
      <c r="D140" s="19"/>
    </row>
    <row r="141" spans="1:4" ht="18.75" customHeight="1">
      <c r="A141" s="30">
        <f>조사!K71</f>
        <v>0</v>
      </c>
      <c r="B141" s="18" t="e">
        <f>VLOOKUP(A:A,조사!K:L,2,FALSE)</f>
        <v>#N/A</v>
      </c>
      <c r="C141" s="30">
        <f t="shared" si="6"/>
        <v>0</v>
      </c>
      <c r="D141" s="19"/>
    </row>
    <row r="142" spans="1:4" ht="18.75" customHeight="1">
      <c r="A142" s="30">
        <f>조사!K72</f>
        <v>0</v>
      </c>
      <c r="B142" s="18" t="e">
        <f>VLOOKUP(A:A,조사!K:L,2,FALSE)</f>
        <v>#N/A</v>
      </c>
      <c r="C142" s="30">
        <f t="shared" si="6"/>
        <v>0</v>
      </c>
      <c r="D142" s="19"/>
    </row>
    <row r="143" spans="1:4" ht="18.75" customHeight="1">
      <c r="A143" s="30">
        <f>조사!K73</f>
        <v>0</v>
      </c>
      <c r="B143" s="18" t="e">
        <f>VLOOKUP(A:A,조사!K:L,2,FALSE)</f>
        <v>#N/A</v>
      </c>
      <c r="C143" s="30">
        <f t="shared" si="6"/>
        <v>0</v>
      </c>
      <c r="D143" s="19"/>
    </row>
    <row r="144" spans="1:4" ht="18.75" customHeight="1">
      <c r="A144" s="30">
        <f>조사!K74</f>
        <v>0</v>
      </c>
      <c r="B144" s="18" t="e">
        <f>VLOOKUP(A:A,조사!K:L,2,FALSE)</f>
        <v>#N/A</v>
      </c>
      <c r="C144" s="30">
        <f t="shared" si="6"/>
        <v>0</v>
      </c>
      <c r="D144" s="19"/>
    </row>
    <row r="145" spans="1:4" ht="18.75" customHeight="1">
      <c r="A145" s="30">
        <f>조사!K75</f>
        <v>0</v>
      </c>
      <c r="B145" s="18" t="e">
        <f>VLOOKUP(A:A,조사!K:L,2,FALSE)</f>
        <v>#N/A</v>
      </c>
      <c r="C145" s="30">
        <f t="shared" si="6"/>
        <v>0</v>
      </c>
      <c r="D145" s="19"/>
    </row>
    <row r="146" spans="1:4" ht="18.75" customHeight="1">
      <c r="A146" s="30">
        <f>조사!K76</f>
        <v>0</v>
      </c>
      <c r="B146" s="18" t="e">
        <f>VLOOKUP(A:A,조사!K:L,2,FALSE)</f>
        <v>#N/A</v>
      </c>
      <c r="C146" s="30">
        <f t="shared" si="6"/>
        <v>0</v>
      </c>
      <c r="D146" s="19"/>
    </row>
    <row r="147" spans="1:4" ht="18.75" customHeight="1">
      <c r="A147" s="30">
        <f>조사!K77</f>
        <v>0</v>
      </c>
      <c r="B147" s="18" t="e">
        <f>VLOOKUP(A:A,조사!K:L,2,FALSE)</f>
        <v>#N/A</v>
      </c>
      <c r="C147" s="30">
        <f t="shared" si="6"/>
        <v>0</v>
      </c>
      <c r="D147" s="19"/>
    </row>
    <row r="148" spans="1:4" ht="18.75" customHeight="1">
      <c r="A148" s="30">
        <f>조사!K78</f>
        <v>0</v>
      </c>
      <c r="B148" s="18" t="e">
        <f>VLOOKUP(A:A,조사!K:L,2,FALSE)</f>
        <v>#N/A</v>
      </c>
      <c r="C148" s="30">
        <f t="shared" si="6"/>
        <v>0</v>
      </c>
      <c r="D148" s="19"/>
    </row>
    <row r="149" spans="1:4" ht="18.75" customHeight="1">
      <c r="A149" s="30">
        <f>조사!K79</f>
        <v>0</v>
      </c>
      <c r="B149" s="18" t="e">
        <f>VLOOKUP(A:A,조사!K:L,2,FALSE)</f>
        <v>#N/A</v>
      </c>
      <c r="C149" s="30">
        <f t="shared" si="6"/>
        <v>0</v>
      </c>
      <c r="D149" s="19"/>
    </row>
    <row r="150" spans="1:4" ht="36" customHeight="1">
      <c r="A150" s="13" t="s">
        <v>20</v>
      </c>
      <c r="B150" s="22"/>
      <c r="C150" s="22"/>
      <c r="D150" s="23"/>
    </row>
    <row r="151" spans="1:4" ht="19.5" customHeight="1">
      <c r="A151" s="17" t="s">
        <v>17</v>
      </c>
      <c r="B151" s="17" t="s">
        <v>18</v>
      </c>
      <c r="C151" s="17"/>
      <c r="D151" s="17" t="s">
        <v>19</v>
      </c>
    </row>
    <row r="152" spans="1:4" ht="18.75" customHeight="1">
      <c r="A152" s="31" t="e">
        <f>대비!#REF!</f>
        <v>#REF!</v>
      </c>
      <c r="B152" s="24" t="e">
        <f>VLOOKUP(A:A,대비!H:I,2,FALSE)</f>
        <v>#REF!</v>
      </c>
      <c r="C152" s="18" t="e">
        <f t="shared" ref="C152" si="7">A152</f>
        <v>#REF!</v>
      </c>
      <c r="D152" s="25" t="s">
        <v>21</v>
      </c>
    </row>
    <row r="153" spans="1:4" ht="18.75" customHeight="1">
      <c r="A153" s="31" t="e">
        <f>대비!#REF!</f>
        <v>#REF!</v>
      </c>
      <c r="B153" s="24" t="e">
        <f>VLOOKUP(A:A,대비!H:I,2,FALSE)</f>
        <v>#REF!</v>
      </c>
      <c r="C153" s="18" t="e">
        <f t="shared" ref="C153:C188" si="8">A153</f>
        <v>#REF!</v>
      </c>
      <c r="D153" s="25" t="s">
        <v>21</v>
      </c>
    </row>
    <row r="154" spans="1:4" ht="18.75" customHeight="1">
      <c r="A154" s="31" t="e">
        <f>대비!#REF!</f>
        <v>#REF!</v>
      </c>
      <c r="B154" s="24" t="e">
        <f>VLOOKUP(A:A,대비!H:I,2,FALSE)</f>
        <v>#REF!</v>
      </c>
      <c r="C154" s="18" t="e">
        <f t="shared" si="8"/>
        <v>#REF!</v>
      </c>
      <c r="D154" s="25" t="s">
        <v>21</v>
      </c>
    </row>
    <row r="155" spans="1:4" ht="18.75" customHeight="1">
      <c r="A155" s="31" t="e">
        <f>대비!#REF!</f>
        <v>#REF!</v>
      </c>
      <c r="B155" s="24" t="e">
        <f>VLOOKUP(A:A,대비!H:I,2,FALSE)</f>
        <v>#REF!</v>
      </c>
      <c r="C155" s="18" t="e">
        <f t="shared" si="8"/>
        <v>#REF!</v>
      </c>
      <c r="D155" s="25" t="s">
        <v>21</v>
      </c>
    </row>
    <row r="156" spans="1:4" ht="18.75" customHeight="1">
      <c r="A156" s="31" t="e">
        <f>대비!#REF!</f>
        <v>#REF!</v>
      </c>
      <c r="B156" s="24" t="e">
        <f>VLOOKUP(A:A,대비!H:I,2,FALSE)</f>
        <v>#REF!</v>
      </c>
      <c r="C156" s="18" t="e">
        <f t="shared" si="8"/>
        <v>#REF!</v>
      </c>
      <c r="D156" s="25" t="s">
        <v>21</v>
      </c>
    </row>
    <row r="157" spans="1:4" ht="18.75" customHeight="1">
      <c r="A157" s="31" t="e">
        <f>대비!#REF!</f>
        <v>#REF!</v>
      </c>
      <c r="B157" s="24" t="e">
        <f>VLOOKUP(A:A,대비!H:I,2,FALSE)</f>
        <v>#REF!</v>
      </c>
      <c r="C157" s="18" t="e">
        <f t="shared" si="8"/>
        <v>#REF!</v>
      </c>
      <c r="D157" s="25" t="s">
        <v>21</v>
      </c>
    </row>
    <row r="158" spans="1:4" ht="18.75" customHeight="1">
      <c r="A158" s="31" t="e">
        <f>대비!#REF!</f>
        <v>#REF!</v>
      </c>
      <c r="B158" s="24" t="e">
        <f>VLOOKUP(A:A,대비!H:I,2,FALSE)</f>
        <v>#REF!</v>
      </c>
      <c r="C158" s="18" t="e">
        <f t="shared" si="8"/>
        <v>#REF!</v>
      </c>
      <c r="D158" s="25" t="s">
        <v>21</v>
      </c>
    </row>
    <row r="159" spans="1:4" ht="18.75" customHeight="1">
      <c r="A159" s="31" t="e">
        <f>대비!#REF!</f>
        <v>#REF!</v>
      </c>
      <c r="B159" s="24" t="e">
        <f>VLOOKUP(A:A,대비!H:I,2,FALSE)</f>
        <v>#REF!</v>
      </c>
      <c r="C159" s="18" t="e">
        <f t="shared" si="8"/>
        <v>#REF!</v>
      </c>
      <c r="D159" s="25" t="s">
        <v>21</v>
      </c>
    </row>
    <row r="160" spans="1:4" ht="18.75" customHeight="1">
      <c r="A160" s="31" t="e">
        <f>대비!#REF!</f>
        <v>#REF!</v>
      </c>
      <c r="B160" s="24" t="e">
        <f>VLOOKUP(A:A,대비!H:I,2,FALSE)</f>
        <v>#REF!</v>
      </c>
      <c r="C160" s="18" t="e">
        <f t="shared" si="8"/>
        <v>#REF!</v>
      </c>
      <c r="D160" s="25" t="s">
        <v>21</v>
      </c>
    </row>
    <row r="161" spans="1:4" ht="18.75" customHeight="1">
      <c r="A161" s="31" t="e">
        <f>대비!#REF!</f>
        <v>#REF!</v>
      </c>
      <c r="B161" s="24" t="e">
        <f>VLOOKUP(A:A,대비!H:I,2,FALSE)</f>
        <v>#REF!</v>
      </c>
      <c r="C161" s="18" t="e">
        <f t="shared" si="8"/>
        <v>#REF!</v>
      </c>
      <c r="D161" s="25" t="s">
        <v>21</v>
      </c>
    </row>
    <row r="162" spans="1:4" ht="18.75" customHeight="1">
      <c r="A162" s="31" t="e">
        <f>대비!#REF!</f>
        <v>#REF!</v>
      </c>
      <c r="B162" s="24" t="e">
        <f>VLOOKUP(A:A,대비!H:I,2,FALSE)</f>
        <v>#REF!</v>
      </c>
      <c r="C162" s="18" t="e">
        <f t="shared" si="8"/>
        <v>#REF!</v>
      </c>
      <c r="D162" s="25" t="s">
        <v>21</v>
      </c>
    </row>
    <row r="163" spans="1:4" ht="18.75" customHeight="1">
      <c r="A163" s="31" t="e">
        <f>대비!#REF!</f>
        <v>#REF!</v>
      </c>
      <c r="B163" s="24" t="e">
        <f>VLOOKUP(A:A,대비!H:I,2,FALSE)</f>
        <v>#REF!</v>
      </c>
      <c r="C163" s="18" t="e">
        <f t="shared" si="8"/>
        <v>#REF!</v>
      </c>
      <c r="D163" s="25" t="s">
        <v>21</v>
      </c>
    </row>
    <row r="164" spans="1:4" ht="18.75" customHeight="1">
      <c r="A164" s="31" t="e">
        <f>대비!#REF!</f>
        <v>#REF!</v>
      </c>
      <c r="B164" s="24" t="e">
        <f>VLOOKUP(A:A,대비!H:I,2,FALSE)</f>
        <v>#REF!</v>
      </c>
      <c r="C164" s="18" t="e">
        <f t="shared" si="8"/>
        <v>#REF!</v>
      </c>
      <c r="D164" s="25" t="s">
        <v>21</v>
      </c>
    </row>
    <row r="165" spans="1:4" ht="18.75" customHeight="1">
      <c r="A165" s="31" t="e">
        <f>대비!#REF!</f>
        <v>#REF!</v>
      </c>
      <c r="B165" s="24" t="e">
        <f>VLOOKUP(A:A,대비!H:I,2,FALSE)</f>
        <v>#REF!</v>
      </c>
      <c r="C165" s="18" t="e">
        <f t="shared" si="8"/>
        <v>#REF!</v>
      </c>
      <c r="D165" s="25" t="s">
        <v>21</v>
      </c>
    </row>
    <row r="166" spans="1:4" ht="18.75" customHeight="1">
      <c r="A166" s="31" t="e">
        <f>대비!#REF!</f>
        <v>#REF!</v>
      </c>
      <c r="B166" s="24" t="e">
        <f>VLOOKUP(A:A,대비!H:I,2,FALSE)</f>
        <v>#REF!</v>
      </c>
      <c r="C166" s="18" t="e">
        <f t="shared" si="8"/>
        <v>#REF!</v>
      </c>
      <c r="D166" s="25" t="s">
        <v>21</v>
      </c>
    </row>
    <row r="167" spans="1:4" ht="18.75" customHeight="1">
      <c r="A167" s="31" t="e">
        <f>대비!#REF!</f>
        <v>#REF!</v>
      </c>
      <c r="B167" s="24" t="e">
        <f>VLOOKUP(A:A,대비!H:I,2,FALSE)</f>
        <v>#REF!</v>
      </c>
      <c r="C167" s="18" t="e">
        <f t="shared" si="8"/>
        <v>#REF!</v>
      </c>
      <c r="D167" s="25" t="s">
        <v>21</v>
      </c>
    </row>
    <row r="168" spans="1:4" ht="18.75" customHeight="1">
      <c r="A168" s="31" t="e">
        <f>대비!#REF!</f>
        <v>#REF!</v>
      </c>
      <c r="B168" s="24" t="e">
        <f>VLOOKUP(A:A,대비!H:I,2,FALSE)</f>
        <v>#REF!</v>
      </c>
      <c r="C168" s="18" t="e">
        <f t="shared" si="8"/>
        <v>#REF!</v>
      </c>
      <c r="D168" s="25" t="s">
        <v>21</v>
      </c>
    </row>
    <row r="169" spans="1:4" ht="18.75" customHeight="1">
      <c r="A169" s="31" t="e">
        <f>대비!#REF!</f>
        <v>#REF!</v>
      </c>
      <c r="B169" s="24" t="e">
        <f>VLOOKUP(A:A,대비!H:I,2,FALSE)</f>
        <v>#REF!</v>
      </c>
      <c r="C169" s="18" t="e">
        <f t="shared" si="8"/>
        <v>#REF!</v>
      </c>
      <c r="D169" s="25" t="s">
        <v>21</v>
      </c>
    </row>
    <row r="170" spans="1:4" ht="18.75" customHeight="1">
      <c r="A170" s="31" t="e">
        <f>대비!#REF!</f>
        <v>#REF!</v>
      </c>
      <c r="B170" s="24" t="e">
        <f>VLOOKUP(A:A,대비!H:I,2,FALSE)</f>
        <v>#REF!</v>
      </c>
      <c r="C170" s="18" t="e">
        <f t="shared" si="8"/>
        <v>#REF!</v>
      </c>
      <c r="D170" s="25" t="s">
        <v>21</v>
      </c>
    </row>
    <row r="171" spans="1:4" ht="18.75" customHeight="1">
      <c r="A171" s="31" t="e">
        <f>대비!#REF!</f>
        <v>#REF!</v>
      </c>
      <c r="B171" s="24" t="e">
        <f>VLOOKUP(A:A,대비!H:I,2,FALSE)</f>
        <v>#REF!</v>
      </c>
      <c r="C171" s="18" t="e">
        <f t="shared" si="8"/>
        <v>#REF!</v>
      </c>
      <c r="D171" s="25" t="s">
        <v>21</v>
      </c>
    </row>
    <row r="172" spans="1:4" ht="18.75" customHeight="1">
      <c r="A172" s="31" t="e">
        <f>대비!#REF!</f>
        <v>#REF!</v>
      </c>
      <c r="B172" s="24" t="e">
        <f>VLOOKUP(A:A,대비!H:I,2,FALSE)</f>
        <v>#REF!</v>
      </c>
      <c r="C172" s="18" t="e">
        <f t="shared" si="8"/>
        <v>#REF!</v>
      </c>
      <c r="D172" s="25" t="s">
        <v>21</v>
      </c>
    </row>
    <row r="173" spans="1:4" ht="18.75" customHeight="1">
      <c r="A173" s="31" t="e">
        <f>대비!#REF!</f>
        <v>#REF!</v>
      </c>
      <c r="B173" s="24" t="e">
        <f>VLOOKUP(A:A,대비!H:I,2,FALSE)</f>
        <v>#REF!</v>
      </c>
      <c r="C173" s="18" t="e">
        <f t="shared" si="8"/>
        <v>#REF!</v>
      </c>
      <c r="D173" s="25" t="s">
        <v>21</v>
      </c>
    </row>
    <row r="174" spans="1:4" ht="18.75" customHeight="1">
      <c r="A174" s="31" t="e">
        <f>대비!#REF!</f>
        <v>#REF!</v>
      </c>
      <c r="B174" s="24" t="e">
        <f>VLOOKUP(A:A,대비!H:I,2,FALSE)</f>
        <v>#REF!</v>
      </c>
      <c r="C174" s="18" t="e">
        <f t="shared" si="8"/>
        <v>#REF!</v>
      </c>
      <c r="D174" s="25" t="s">
        <v>21</v>
      </c>
    </row>
    <row r="175" spans="1:4" ht="18.75" customHeight="1">
      <c r="A175" s="31" t="e">
        <f>대비!#REF!</f>
        <v>#REF!</v>
      </c>
      <c r="B175" s="24" t="e">
        <f>VLOOKUP(A:A,대비!H:I,2,FALSE)</f>
        <v>#REF!</v>
      </c>
      <c r="C175" s="18" t="e">
        <f t="shared" si="8"/>
        <v>#REF!</v>
      </c>
      <c r="D175" s="25" t="s">
        <v>21</v>
      </c>
    </row>
    <row r="176" spans="1:4" ht="18.75" customHeight="1">
      <c r="A176" s="31" t="e">
        <f>대비!#REF!</f>
        <v>#REF!</v>
      </c>
      <c r="B176" s="24" t="e">
        <f>VLOOKUP(A:A,대비!H:I,2,FALSE)</f>
        <v>#REF!</v>
      </c>
      <c r="C176" s="18" t="e">
        <f t="shared" si="8"/>
        <v>#REF!</v>
      </c>
      <c r="D176" s="25" t="s">
        <v>21</v>
      </c>
    </row>
    <row r="177" spans="1:4" ht="18.75" customHeight="1">
      <c r="A177" s="31" t="e">
        <f>대비!#REF!</f>
        <v>#REF!</v>
      </c>
      <c r="B177" s="24" t="e">
        <f>VLOOKUP(A:A,대비!H:I,2,FALSE)</f>
        <v>#REF!</v>
      </c>
      <c r="C177" s="18" t="e">
        <f t="shared" si="8"/>
        <v>#REF!</v>
      </c>
      <c r="D177" s="25" t="s">
        <v>21</v>
      </c>
    </row>
    <row r="178" spans="1:4" ht="18.75" customHeight="1">
      <c r="A178" s="31" t="e">
        <f>대비!#REF!</f>
        <v>#REF!</v>
      </c>
      <c r="B178" s="24" t="e">
        <f>VLOOKUP(A:A,대비!H:I,2,FALSE)</f>
        <v>#REF!</v>
      </c>
      <c r="C178" s="18" t="e">
        <f t="shared" si="8"/>
        <v>#REF!</v>
      </c>
      <c r="D178" s="25" t="s">
        <v>21</v>
      </c>
    </row>
    <row r="179" spans="1:4" ht="18.75" customHeight="1">
      <c r="A179" s="31" t="e">
        <f>대비!#REF!</f>
        <v>#REF!</v>
      </c>
      <c r="B179" s="24" t="e">
        <f>VLOOKUP(A:A,대비!H:I,2,FALSE)</f>
        <v>#REF!</v>
      </c>
      <c r="C179" s="18" t="e">
        <f t="shared" si="8"/>
        <v>#REF!</v>
      </c>
      <c r="D179" s="25" t="s">
        <v>21</v>
      </c>
    </row>
    <row r="180" spans="1:4" ht="18.75" customHeight="1">
      <c r="A180" s="31" t="e">
        <f>대비!#REF!</f>
        <v>#REF!</v>
      </c>
      <c r="B180" s="24" t="e">
        <f>VLOOKUP(A:A,대비!H:I,2,FALSE)</f>
        <v>#REF!</v>
      </c>
      <c r="C180" s="18" t="e">
        <f t="shared" si="8"/>
        <v>#REF!</v>
      </c>
      <c r="D180" s="25" t="s">
        <v>21</v>
      </c>
    </row>
    <row r="181" spans="1:4" ht="18.75" customHeight="1">
      <c r="A181" s="31" t="e">
        <f>대비!#REF!</f>
        <v>#REF!</v>
      </c>
      <c r="B181" s="24" t="e">
        <f>VLOOKUP(A:A,대비!H:I,2,FALSE)</f>
        <v>#REF!</v>
      </c>
      <c r="C181" s="18" t="e">
        <f t="shared" si="8"/>
        <v>#REF!</v>
      </c>
      <c r="D181" s="25" t="s">
        <v>21</v>
      </c>
    </row>
    <row r="182" spans="1:4" ht="18.75" customHeight="1">
      <c r="A182" s="31" t="e">
        <f>대비!#REF!</f>
        <v>#REF!</v>
      </c>
      <c r="B182" s="24" t="e">
        <f>VLOOKUP(A:A,대비!H:I,2,FALSE)</f>
        <v>#REF!</v>
      </c>
      <c r="C182" s="18" t="e">
        <f t="shared" si="8"/>
        <v>#REF!</v>
      </c>
      <c r="D182" s="25" t="s">
        <v>21</v>
      </c>
    </row>
    <row r="183" spans="1:4" ht="18.75" customHeight="1">
      <c r="A183" s="31" t="e">
        <f>대비!#REF!</f>
        <v>#REF!</v>
      </c>
      <c r="B183" s="24" t="e">
        <f>VLOOKUP(A:A,대비!H:I,2,FALSE)</f>
        <v>#REF!</v>
      </c>
      <c r="C183" s="18" t="e">
        <f t="shared" si="8"/>
        <v>#REF!</v>
      </c>
      <c r="D183" s="25" t="s">
        <v>21</v>
      </c>
    </row>
    <row r="184" spans="1:4" ht="21.95" customHeight="1">
      <c r="A184" s="31" t="e">
        <f>대비!#REF!</f>
        <v>#REF!</v>
      </c>
      <c r="B184" s="24" t="e">
        <f>VLOOKUP(A:A,대비!H:I,2,FALSE)</f>
        <v>#REF!</v>
      </c>
      <c r="C184" s="18" t="e">
        <f t="shared" si="8"/>
        <v>#REF!</v>
      </c>
      <c r="D184" s="25" t="s">
        <v>21</v>
      </c>
    </row>
    <row r="185" spans="1:4" ht="21.95" customHeight="1">
      <c r="A185" s="31" t="e">
        <f>대비!#REF!</f>
        <v>#REF!</v>
      </c>
      <c r="B185" s="24" t="e">
        <f>VLOOKUP(A:A,대비!H:I,2,FALSE)</f>
        <v>#REF!</v>
      </c>
      <c r="C185" s="18" t="e">
        <f t="shared" si="8"/>
        <v>#REF!</v>
      </c>
      <c r="D185" s="25" t="s">
        <v>21</v>
      </c>
    </row>
    <row r="186" spans="1:4" ht="21.95" customHeight="1">
      <c r="A186" s="31" t="e">
        <f>대비!#REF!</f>
        <v>#REF!</v>
      </c>
      <c r="B186" s="24" t="e">
        <f>VLOOKUP(A:A,대비!H:I,2,FALSE)</f>
        <v>#REF!</v>
      </c>
      <c r="C186" s="18" t="e">
        <f t="shared" si="8"/>
        <v>#REF!</v>
      </c>
      <c r="D186" s="25" t="s">
        <v>21</v>
      </c>
    </row>
    <row r="187" spans="1:4" ht="21.95" customHeight="1">
      <c r="A187" s="31" t="e">
        <f>대비!#REF!</f>
        <v>#REF!</v>
      </c>
      <c r="B187" s="24" t="e">
        <f>VLOOKUP(A:A,대비!H:I,2,FALSE)</f>
        <v>#REF!</v>
      </c>
      <c r="C187" s="18" t="e">
        <f t="shared" si="8"/>
        <v>#REF!</v>
      </c>
      <c r="D187" s="25" t="s">
        <v>21</v>
      </c>
    </row>
    <row r="188" spans="1:4" ht="21.95" customHeight="1">
      <c r="A188" s="31" t="e">
        <f>대비!#REF!</f>
        <v>#REF!</v>
      </c>
      <c r="B188" s="24" t="e">
        <f>VLOOKUP(A:A,대비!H:I,2,FALSE)</f>
        <v>#REF!</v>
      </c>
      <c r="C188" s="18" t="e">
        <f t="shared" si="8"/>
        <v>#REF!</v>
      </c>
      <c r="D188" s="25" t="s">
        <v>21</v>
      </c>
    </row>
    <row r="189" spans="1:4" ht="21.95" customHeight="1">
      <c r="A189" s="31" t="e">
        <f>대비!#REF!</f>
        <v>#REF!</v>
      </c>
      <c r="B189" s="24" t="e">
        <f>VLOOKUP(A:A,대비!H:I,2,FALSE)</f>
        <v>#REF!</v>
      </c>
      <c r="C189" s="18" t="e">
        <f t="shared" ref="C189:C200" si="9">A189</f>
        <v>#REF!</v>
      </c>
      <c r="D189" s="25" t="s">
        <v>21</v>
      </c>
    </row>
    <row r="190" spans="1:4" ht="21.95" customHeight="1">
      <c r="A190" s="31" t="e">
        <f>대비!#REF!</f>
        <v>#REF!</v>
      </c>
      <c r="B190" s="24" t="e">
        <f>VLOOKUP(A:A,대비!H:I,2,FALSE)</f>
        <v>#REF!</v>
      </c>
      <c r="C190" s="18" t="e">
        <f t="shared" si="9"/>
        <v>#REF!</v>
      </c>
      <c r="D190" s="25" t="s">
        <v>21</v>
      </c>
    </row>
    <row r="191" spans="1:4" ht="21.95" customHeight="1">
      <c r="A191" s="31" t="e">
        <f>대비!#REF!</f>
        <v>#REF!</v>
      </c>
      <c r="B191" s="24" t="e">
        <f>VLOOKUP(A:A,대비!H:I,2,FALSE)</f>
        <v>#REF!</v>
      </c>
      <c r="C191" s="18" t="e">
        <f t="shared" si="9"/>
        <v>#REF!</v>
      </c>
      <c r="D191" s="25" t="s">
        <v>21</v>
      </c>
    </row>
    <row r="192" spans="1:4" ht="21.95" customHeight="1">
      <c r="A192" s="31" t="str">
        <f>대비!H4</f>
        <v>DRIVE M/C ASS'Y2.2KWx4P</v>
      </c>
      <c r="B192" s="24">
        <f>VLOOKUP(A:A,대비!H:I,2,FALSE)</f>
        <v>3000000</v>
      </c>
      <c r="C192" s="18" t="str">
        <f t="shared" si="9"/>
        <v>DRIVE M/C ASS'Y2.2KWx4P</v>
      </c>
      <c r="D192" s="25" t="s">
        <v>21</v>
      </c>
    </row>
    <row r="193" spans="1:4" ht="21.95" customHeight="1">
      <c r="A193" s="31" t="str">
        <f>대비!H5</f>
        <v>DRIVE M/C ASS'Y1.5KWx4P</v>
      </c>
      <c r="B193" s="24">
        <f>VLOOKUP(A:A,대비!H:I,2,FALSE)</f>
        <v>2800000</v>
      </c>
      <c r="C193" s="18" t="str">
        <f t="shared" si="9"/>
        <v>DRIVE M/C ASS'Y1.5KWx4P</v>
      </c>
      <c r="D193" s="25" t="s">
        <v>21</v>
      </c>
    </row>
    <row r="194" spans="1:4" ht="21.95" customHeight="1">
      <c r="A194" s="31" t="e">
        <f>대비!#REF!</f>
        <v>#REF!</v>
      </c>
      <c r="B194" s="24" t="e">
        <f>VLOOKUP(A:A,대비!H:I,2,FALSE)</f>
        <v>#REF!</v>
      </c>
      <c r="C194" s="18" t="e">
        <f t="shared" si="9"/>
        <v>#REF!</v>
      </c>
      <c r="D194" s="25" t="s">
        <v>21</v>
      </c>
    </row>
    <row r="195" spans="1:4" ht="21.95" customHeight="1">
      <c r="A195" s="31" t="e">
        <f>대비!#REF!</f>
        <v>#REF!</v>
      </c>
      <c r="B195" s="24" t="e">
        <f>VLOOKUP(A:A,대비!H:I,2,FALSE)</f>
        <v>#REF!</v>
      </c>
      <c r="C195" s="18" t="e">
        <f t="shared" si="9"/>
        <v>#REF!</v>
      </c>
      <c r="D195" s="25" t="s">
        <v>21</v>
      </c>
    </row>
    <row r="196" spans="1:4" ht="21.95" customHeight="1">
      <c r="A196" s="31" t="e">
        <f>대비!#REF!</f>
        <v>#REF!</v>
      </c>
      <c r="B196" s="24" t="e">
        <f>VLOOKUP(A:A,대비!H:I,2,FALSE)</f>
        <v>#REF!</v>
      </c>
      <c r="C196" s="18" t="e">
        <f t="shared" si="9"/>
        <v>#REF!</v>
      </c>
      <c r="D196" s="25" t="s">
        <v>21</v>
      </c>
    </row>
    <row r="197" spans="1:4" ht="21.95" customHeight="1">
      <c r="A197" s="31" t="str">
        <f>대비!H6</f>
        <v>V-SHEAVEØ100x8P</v>
      </c>
      <c r="B197" s="24">
        <f>VLOOKUP(A:A,대비!H:I,2,FALSE)</f>
        <v>78000</v>
      </c>
      <c r="C197" s="18" t="str">
        <f t="shared" si="9"/>
        <v>V-SHEAVEØ100x8P</v>
      </c>
      <c r="D197" s="25" t="s">
        <v>21</v>
      </c>
    </row>
    <row r="198" spans="1:4" ht="21.95" customHeight="1">
      <c r="A198" s="31" t="str">
        <f>대비!H7</f>
        <v>V-SHEAVEØ100x5P</v>
      </c>
      <c r="B198" s="24">
        <f>VLOOKUP(A:A,대비!H:I,2,FALSE)</f>
        <v>53000</v>
      </c>
      <c r="C198" s="18" t="str">
        <f t="shared" si="9"/>
        <v>V-SHEAVEØ100x5P</v>
      </c>
      <c r="D198" s="25" t="s">
        <v>21</v>
      </c>
    </row>
    <row r="199" spans="1:4" ht="21.95" customHeight="1">
      <c r="A199" s="31" t="str">
        <f>대비!H8</f>
        <v>V-SHEAVEØ100x2P</v>
      </c>
      <c r="B199" s="24">
        <f>VLOOKUP(A:A,대비!H:I,2,FALSE)</f>
        <v>70000</v>
      </c>
      <c r="C199" s="18" t="str">
        <f t="shared" si="9"/>
        <v>V-SHEAVEØ100x2P</v>
      </c>
      <c r="D199" s="25" t="s">
        <v>21</v>
      </c>
    </row>
    <row r="200" spans="1:4" ht="21.95" customHeight="1">
      <c r="A200" s="31" t="str">
        <f>대비!H9</f>
        <v>V-SHEAVEØ100x1P</v>
      </c>
      <c r="B200" s="24">
        <f>VLOOKUP(A:A,대비!H:I,2,FALSE)</f>
        <v>50000</v>
      </c>
      <c r="C200" s="18" t="str">
        <f t="shared" si="9"/>
        <v>V-SHEAVEØ100x1P</v>
      </c>
      <c r="D200" s="25" t="s">
        <v>21</v>
      </c>
    </row>
    <row r="201" spans="1:4" ht="21.95" customHeight="1">
      <c r="A201" s="31" t="e">
        <f>대비!#REF!</f>
        <v>#REF!</v>
      </c>
      <c r="B201" s="24" t="e">
        <f>VLOOKUP(A:A,대비!H:I,2,FALSE)</f>
        <v>#REF!</v>
      </c>
      <c r="C201" s="18" t="e">
        <f t="shared" ref="C201:C264" si="10">A201</f>
        <v>#REF!</v>
      </c>
      <c r="D201" s="25" t="s">
        <v>21</v>
      </c>
    </row>
    <row r="202" spans="1:4" ht="21.95" customHeight="1">
      <c r="A202" s="31" t="e">
        <f>대비!#REF!</f>
        <v>#REF!</v>
      </c>
      <c r="B202" s="24" t="e">
        <f>VLOOKUP(A:A,대비!H:I,2,FALSE)</f>
        <v>#REF!</v>
      </c>
      <c r="C202" s="18" t="e">
        <f t="shared" si="10"/>
        <v>#REF!</v>
      </c>
      <c r="D202" s="25" t="s">
        <v>21</v>
      </c>
    </row>
    <row r="203" spans="1:4" ht="21.95" customHeight="1">
      <c r="A203" s="31" t="e">
        <f>대비!#REF!</f>
        <v>#REF!</v>
      </c>
      <c r="B203" s="24" t="e">
        <f>VLOOKUP(A:A,대비!H:I,2,FALSE)</f>
        <v>#REF!</v>
      </c>
      <c r="C203" s="18" t="e">
        <f t="shared" si="10"/>
        <v>#REF!</v>
      </c>
      <c r="D203" s="25" t="s">
        <v>21</v>
      </c>
    </row>
    <row r="204" spans="1:4" ht="21.95" customHeight="1">
      <c r="A204" s="31" t="str">
        <f>대비!H10</f>
        <v>V-SHEAVEØ200x3P</v>
      </c>
      <c r="B204" s="24">
        <f>VLOOKUP(A:A,대비!H:I,2,FALSE)</f>
        <v>100000</v>
      </c>
      <c r="C204" s="18" t="str">
        <f t="shared" si="10"/>
        <v>V-SHEAVEØ200x3P</v>
      </c>
      <c r="D204" s="25" t="s">
        <v>21</v>
      </c>
    </row>
    <row r="205" spans="1:4" ht="21.95" customHeight="1">
      <c r="A205" s="31" t="str">
        <f>대비!H11</f>
        <v>V-SHEAVEØ200x1P</v>
      </c>
      <c r="B205" s="24">
        <f>VLOOKUP(A:A,대비!H:I,2,FALSE)</f>
        <v>70000</v>
      </c>
      <c r="C205" s="18" t="str">
        <f t="shared" si="10"/>
        <v>V-SHEAVEØ200x1P</v>
      </c>
      <c r="D205" s="25" t="s">
        <v>21</v>
      </c>
    </row>
    <row r="206" spans="1:4" ht="21.95" customHeight="1">
      <c r="A206" s="31" t="e">
        <f>대비!#REF!</f>
        <v>#REF!</v>
      </c>
      <c r="B206" s="24" t="e">
        <f>VLOOKUP(A:A,대비!H:I,2,FALSE)</f>
        <v>#REF!</v>
      </c>
      <c r="C206" s="18" t="e">
        <f t="shared" si="10"/>
        <v>#REF!</v>
      </c>
      <c r="D206" s="25" t="s">
        <v>21</v>
      </c>
    </row>
    <row r="207" spans="1:4" ht="21.95" customHeight="1">
      <c r="A207" s="31" t="e">
        <f>대비!#REF!</f>
        <v>#REF!</v>
      </c>
      <c r="B207" s="24" t="e">
        <f>VLOOKUP(A:A,대비!H:I,2,FALSE)</f>
        <v>#REF!</v>
      </c>
      <c r="C207" s="18" t="e">
        <f t="shared" si="10"/>
        <v>#REF!</v>
      </c>
      <c r="D207" s="25" t="s">
        <v>21</v>
      </c>
    </row>
    <row r="208" spans="1:4" ht="21.95" customHeight="1">
      <c r="A208" s="31" t="e">
        <f>대비!#REF!</f>
        <v>#REF!</v>
      </c>
      <c r="B208" s="24" t="e">
        <f>VLOOKUP(A:A,대비!H:I,2,FALSE)</f>
        <v>#REF!</v>
      </c>
      <c r="C208" s="18" t="e">
        <f t="shared" si="10"/>
        <v>#REF!</v>
      </c>
      <c r="D208" s="25" t="s">
        <v>21</v>
      </c>
    </row>
    <row r="209" spans="1:4" ht="21.95" customHeight="1">
      <c r="A209" s="31" t="str">
        <f>대비!H12</f>
        <v>HANGER ASS'Y</v>
      </c>
      <c r="B209" s="24">
        <f>VLOOKUP(A:A,대비!H:I,2,FALSE)</f>
        <v>32000</v>
      </c>
      <c r="C209" s="18" t="str">
        <f t="shared" si="10"/>
        <v>HANGER ASS'Y</v>
      </c>
      <c r="D209" s="25" t="s">
        <v>21</v>
      </c>
    </row>
    <row r="210" spans="1:4" ht="21.95" customHeight="1">
      <c r="A210" s="31" t="str">
        <f>대비!H13</f>
        <v>점검사다리</v>
      </c>
      <c r="B210" s="24">
        <f>VLOOKUP(A:A,대비!H:I,2,FALSE)</f>
        <v>1000000</v>
      </c>
      <c r="C210" s="18" t="str">
        <f t="shared" si="10"/>
        <v>점검사다리</v>
      </c>
      <c r="D210" s="25" t="s">
        <v>21</v>
      </c>
    </row>
    <row r="211" spans="1:4" ht="21.95" customHeight="1">
      <c r="A211" s="31" t="str">
        <f>대비!H14</f>
        <v>CABLE2S14F</v>
      </c>
      <c r="B211" s="24">
        <f>VLOOKUP(A:A,대비!H:I,2,FALSE)</f>
        <v>8000</v>
      </c>
      <c r="C211" s="18" t="str">
        <f t="shared" si="10"/>
        <v>CABLE2S14F</v>
      </c>
      <c r="D211" s="25" t="s">
        <v>21</v>
      </c>
    </row>
    <row r="212" spans="1:4" ht="21.95" customHeight="1">
      <c r="A212" s="31" t="str">
        <f>대비!H15</f>
        <v>MAIN SPEKER 철거</v>
      </c>
      <c r="B212" s="24">
        <f>VLOOKUP(A:A,대비!H:I,2,FALSE)</f>
        <v>200000</v>
      </c>
      <c r="C212" s="18" t="str">
        <f t="shared" si="10"/>
        <v>MAIN SPEKER 철거</v>
      </c>
      <c r="D212" s="25" t="s">
        <v>21</v>
      </c>
    </row>
    <row r="213" spans="1:4" ht="21.95" customHeight="1">
      <c r="A213" s="31" t="str">
        <f>대비!H16</f>
        <v>MAIN SPEKER 재설치</v>
      </c>
      <c r="B213" s="24">
        <f>VLOOKUP(A:A,대비!H:I,2,FALSE)</f>
        <v>250000</v>
      </c>
      <c r="C213" s="18" t="str">
        <f t="shared" si="10"/>
        <v>MAIN SPEKER 재설치</v>
      </c>
      <c r="D213" s="25" t="s">
        <v>21</v>
      </c>
    </row>
    <row r="214" spans="1:4" ht="21.95" customHeight="1">
      <c r="A214" s="31" t="str">
        <f>대비!H17</f>
        <v>고소작업비용</v>
      </c>
      <c r="B214" s="24">
        <f>VLOOKUP(A:A,대비!H:I,2,FALSE)</f>
        <v>600000</v>
      </c>
      <c r="C214" s="18" t="str">
        <f t="shared" si="10"/>
        <v>고소작업비용</v>
      </c>
      <c r="D214" s="25" t="s">
        <v>21</v>
      </c>
    </row>
    <row r="215" spans="1:4" ht="21.95" customHeight="1">
      <c r="A215" s="31" t="str">
        <f>대비!H18</f>
        <v>시험조정비</v>
      </c>
      <c r="B215" s="24">
        <f>VLOOKUP(A:A,대비!H:I,2,FALSE)</f>
        <v>500000</v>
      </c>
      <c r="C215" s="18" t="str">
        <f t="shared" ref="C215:C216" si="11">A215</f>
        <v>시험조정비</v>
      </c>
      <c r="D215" s="25" t="s">
        <v>21</v>
      </c>
    </row>
    <row r="216" spans="1:4" ht="21.95" customHeight="1">
      <c r="A216" s="31" t="str">
        <f>대비!H19</f>
        <v>천정텍스 철거 및 재단</v>
      </c>
      <c r="B216" s="24">
        <f>VLOOKUP(A:A,대비!H:I,2,FALSE)</f>
        <v>700000</v>
      </c>
      <c r="C216" s="18" t="str">
        <f t="shared" si="11"/>
        <v>천정텍스 철거 및 재단</v>
      </c>
      <c r="D216" s="25" t="s">
        <v>21</v>
      </c>
    </row>
    <row r="217" spans="1:4" ht="21.95" customHeight="1">
      <c r="A217" s="31" t="str">
        <f>대비!H20</f>
        <v>천정텍스 재설치</v>
      </c>
      <c r="B217" s="24">
        <f>VLOOKUP(A:A,대비!H:I,2,FALSE)</f>
        <v>300000</v>
      </c>
      <c r="C217" s="18" t="str">
        <f t="shared" ref="C217:C222" si="12">A217</f>
        <v>천정텍스 재설치</v>
      </c>
      <c r="D217" s="25" t="s">
        <v>21</v>
      </c>
    </row>
    <row r="218" spans="1:4" ht="21.95" customHeight="1">
      <c r="A218" s="31" t="str">
        <f>대비!H21</f>
        <v>스피커 받침대</v>
      </c>
      <c r="B218" s="24">
        <f>VLOOKUP(A:A,대비!H:I,2,FALSE)</f>
        <v>200000</v>
      </c>
      <c r="C218" s="18" t="str">
        <f t="shared" si="12"/>
        <v>스피커 받침대</v>
      </c>
      <c r="D218" s="25" t="s">
        <v>21</v>
      </c>
    </row>
    <row r="219" spans="1:4" ht="21.95" customHeight="1">
      <c r="A219" s="31" t="str">
        <f>대비!H22</f>
        <v>판낼내부배선 연장</v>
      </c>
      <c r="B219" s="24">
        <f>VLOOKUP(A:A,대비!H:I,2,FALSE)</f>
        <v>500000</v>
      </c>
      <c r="C219" s="18" t="str">
        <f t="shared" si="12"/>
        <v>판낼내부배선 연장</v>
      </c>
      <c r="D219" s="25" t="s">
        <v>21</v>
      </c>
    </row>
    <row r="220" spans="1:4" ht="21.95" customHeight="1">
      <c r="A220" s="31" t="str">
        <f>대비!H23</f>
        <v>매쉬망 마감설치</v>
      </c>
      <c r="B220" s="24">
        <f>VLOOKUP(A:A,대비!H:I,2,FALSE)</f>
        <v>100000</v>
      </c>
      <c r="C220" s="18" t="str">
        <f t="shared" si="12"/>
        <v>매쉬망 마감설치</v>
      </c>
      <c r="D220" s="25" t="s">
        <v>21</v>
      </c>
    </row>
    <row r="221" spans="1:4" ht="21.95" customHeight="1">
      <c r="A221" s="31" t="e">
        <f>대비!#REF!</f>
        <v>#REF!</v>
      </c>
      <c r="B221" s="24" t="e">
        <f>VLOOKUP(A:A,대비!H:I,2,FALSE)</f>
        <v>#REF!</v>
      </c>
      <c r="C221" s="18" t="e">
        <f t="shared" si="12"/>
        <v>#REF!</v>
      </c>
      <c r="D221" s="25" t="s">
        <v>21</v>
      </c>
    </row>
    <row r="222" spans="1:4" ht="21.95" customHeight="1">
      <c r="A222" s="31" t="e">
        <f>대비!#REF!</f>
        <v>#REF!</v>
      </c>
      <c r="B222" s="24" t="e">
        <f>VLOOKUP(A:A,대비!H:I,2,FALSE)</f>
        <v>#REF!</v>
      </c>
      <c r="C222" s="18" t="e">
        <f t="shared" si="12"/>
        <v>#REF!</v>
      </c>
      <c r="D222" s="25" t="s">
        <v>21</v>
      </c>
    </row>
    <row r="223" spans="1:4" ht="21.95" customHeight="1">
      <c r="A223" s="31" t="e">
        <f>대비!#REF!</f>
        <v>#REF!</v>
      </c>
      <c r="B223" s="24" t="e">
        <f>VLOOKUP(A:A,대비!H:I,2,FALSE)</f>
        <v>#REF!</v>
      </c>
      <c r="C223" s="18" t="e">
        <f t="shared" si="10"/>
        <v>#REF!</v>
      </c>
      <c r="D223" s="25" t="s">
        <v>21</v>
      </c>
    </row>
    <row r="224" spans="1:4" ht="21.95" customHeight="1">
      <c r="A224" s="31" t="e">
        <f>대비!#REF!</f>
        <v>#REF!</v>
      </c>
      <c r="B224" s="24" t="e">
        <f>VLOOKUP(A:A,대비!H:I,2,FALSE)</f>
        <v>#REF!</v>
      </c>
      <c r="C224" s="18" t="e">
        <f t="shared" si="10"/>
        <v>#REF!</v>
      </c>
      <c r="D224" s="25" t="s">
        <v>21</v>
      </c>
    </row>
    <row r="225" spans="1:4" ht="21.95" customHeight="1">
      <c r="A225" s="31" t="e">
        <f>대비!#REF!</f>
        <v>#REF!</v>
      </c>
      <c r="B225" s="24" t="e">
        <f>VLOOKUP(A:A,대비!H:I,2,FALSE)</f>
        <v>#REF!</v>
      </c>
      <c r="C225" s="18" t="e">
        <f t="shared" si="10"/>
        <v>#REF!</v>
      </c>
      <c r="D225" s="25" t="s">
        <v>21</v>
      </c>
    </row>
    <row r="226" spans="1:4" ht="21.95" customHeight="1">
      <c r="A226" s="31" t="e">
        <f>대비!#REF!</f>
        <v>#REF!</v>
      </c>
      <c r="B226" s="24" t="e">
        <f>VLOOKUP(A:A,대비!H:I,2,FALSE)</f>
        <v>#REF!</v>
      </c>
      <c r="C226" s="18" t="e">
        <f t="shared" si="10"/>
        <v>#REF!</v>
      </c>
      <c r="D226" s="25" t="s">
        <v>21</v>
      </c>
    </row>
    <row r="227" spans="1:4" ht="21.95" customHeight="1">
      <c r="A227" s="31" t="e">
        <f>대비!#REF!</f>
        <v>#REF!</v>
      </c>
      <c r="B227" s="24" t="e">
        <f>VLOOKUP(A:A,대비!H:I,2,FALSE)</f>
        <v>#REF!</v>
      </c>
      <c r="C227" s="18" t="e">
        <f t="shared" si="10"/>
        <v>#REF!</v>
      </c>
      <c r="D227" s="25" t="s">
        <v>21</v>
      </c>
    </row>
    <row r="228" spans="1:4" ht="21.95" customHeight="1">
      <c r="A228" s="31" t="e">
        <f>대비!#REF!</f>
        <v>#REF!</v>
      </c>
      <c r="B228" s="24" t="e">
        <f>VLOOKUP(A:A,대비!H:I,2,FALSE)</f>
        <v>#REF!</v>
      </c>
      <c r="C228" s="18" t="e">
        <f t="shared" si="10"/>
        <v>#REF!</v>
      </c>
      <c r="D228" s="25" t="s">
        <v>21</v>
      </c>
    </row>
    <row r="229" spans="1:4" ht="21.95" customHeight="1">
      <c r="A229" s="31" t="e">
        <f>대비!#REF!</f>
        <v>#REF!</v>
      </c>
      <c r="B229" s="24" t="e">
        <f>VLOOKUP(A:A,대비!H:I,2,FALSE)</f>
        <v>#REF!</v>
      </c>
      <c r="C229" s="18" t="e">
        <f t="shared" si="10"/>
        <v>#REF!</v>
      </c>
      <c r="D229" s="25" t="s">
        <v>21</v>
      </c>
    </row>
    <row r="230" spans="1:4" ht="21.95" customHeight="1">
      <c r="A230" s="31" t="e">
        <f>대비!#REF!</f>
        <v>#REF!</v>
      </c>
      <c r="B230" s="24" t="e">
        <f>VLOOKUP(A:A,대비!H:I,2,FALSE)</f>
        <v>#REF!</v>
      </c>
      <c r="C230" s="18" t="e">
        <f t="shared" si="10"/>
        <v>#REF!</v>
      </c>
      <c r="D230" s="25" t="s">
        <v>21</v>
      </c>
    </row>
    <row r="231" spans="1:4" ht="21.95" customHeight="1">
      <c r="A231" s="31" t="e">
        <f>대비!#REF!</f>
        <v>#REF!</v>
      </c>
      <c r="B231" s="24" t="e">
        <f>VLOOKUP(A:A,대비!H:I,2,FALSE)</f>
        <v>#REF!</v>
      </c>
      <c r="C231" s="18" t="e">
        <f t="shared" si="10"/>
        <v>#REF!</v>
      </c>
      <c r="D231" s="25" t="s">
        <v>21</v>
      </c>
    </row>
    <row r="232" spans="1:4" ht="21.95" customHeight="1">
      <c r="A232" s="31" t="e">
        <f>대비!#REF!</f>
        <v>#REF!</v>
      </c>
      <c r="B232" s="24" t="e">
        <f>VLOOKUP(A:A,대비!H:I,2,FALSE)</f>
        <v>#REF!</v>
      </c>
      <c r="C232" s="18" t="e">
        <f t="shared" si="10"/>
        <v>#REF!</v>
      </c>
      <c r="D232" s="25" t="s">
        <v>21</v>
      </c>
    </row>
    <row r="233" spans="1:4" ht="21.95" customHeight="1">
      <c r="A233" s="31" t="e">
        <f>대비!#REF!</f>
        <v>#REF!</v>
      </c>
      <c r="B233" s="24" t="e">
        <f>VLOOKUP(A:A,대비!H:I,2,FALSE)</f>
        <v>#REF!</v>
      </c>
      <c r="C233" s="18" t="e">
        <f t="shared" si="10"/>
        <v>#REF!</v>
      </c>
      <c r="D233" s="25" t="s">
        <v>21</v>
      </c>
    </row>
    <row r="234" spans="1:4" ht="21.95" customHeight="1">
      <c r="A234" s="31" t="e">
        <f>대비!#REF!</f>
        <v>#REF!</v>
      </c>
      <c r="B234" s="24" t="e">
        <f>VLOOKUP(A:A,대비!H:I,2,FALSE)</f>
        <v>#REF!</v>
      </c>
      <c r="C234" s="18" t="e">
        <f t="shared" si="10"/>
        <v>#REF!</v>
      </c>
      <c r="D234" s="25" t="s">
        <v>21</v>
      </c>
    </row>
    <row r="235" spans="1:4" ht="21.95" customHeight="1">
      <c r="A235" s="31" t="e">
        <f>대비!#REF!</f>
        <v>#REF!</v>
      </c>
      <c r="B235" s="24" t="e">
        <f>VLOOKUP(A:A,대비!H:I,2,FALSE)</f>
        <v>#REF!</v>
      </c>
      <c r="C235" s="18" t="e">
        <f t="shared" si="10"/>
        <v>#REF!</v>
      </c>
      <c r="D235" s="25" t="s">
        <v>21</v>
      </c>
    </row>
    <row r="236" spans="1:4" ht="21.95" customHeight="1">
      <c r="A236" s="31" t="e">
        <f>대비!#REF!</f>
        <v>#REF!</v>
      </c>
      <c r="B236" s="24" t="e">
        <f>VLOOKUP(A:A,대비!H:I,2,FALSE)</f>
        <v>#REF!</v>
      </c>
      <c r="C236" s="18" t="e">
        <f t="shared" si="10"/>
        <v>#REF!</v>
      </c>
      <c r="D236" s="25" t="s">
        <v>21</v>
      </c>
    </row>
    <row r="237" spans="1:4" ht="21.95" customHeight="1">
      <c r="A237" s="31">
        <f>대비!H26</f>
        <v>0</v>
      </c>
      <c r="B237" s="24" t="e">
        <f>VLOOKUP(A:A,대비!H:I,2,FALSE)</f>
        <v>#N/A</v>
      </c>
      <c r="C237" s="18">
        <f t="shared" si="10"/>
        <v>0</v>
      </c>
      <c r="D237" s="25" t="s">
        <v>21</v>
      </c>
    </row>
    <row r="238" spans="1:4" ht="21.95" customHeight="1">
      <c r="A238" s="31">
        <f>대비!H27</f>
        <v>0</v>
      </c>
      <c r="B238" s="24" t="e">
        <f>VLOOKUP(A:A,대비!H:I,2,FALSE)</f>
        <v>#N/A</v>
      </c>
      <c r="C238" s="18">
        <f t="shared" si="10"/>
        <v>0</v>
      </c>
      <c r="D238" s="25" t="s">
        <v>21</v>
      </c>
    </row>
    <row r="239" spans="1:4" ht="21.95" customHeight="1">
      <c r="A239" s="31">
        <f>대비!H28</f>
        <v>0</v>
      </c>
      <c r="B239" s="24" t="e">
        <f>VLOOKUP(A:A,대비!H:I,2,FALSE)</f>
        <v>#N/A</v>
      </c>
      <c r="C239" s="18">
        <f t="shared" si="10"/>
        <v>0</v>
      </c>
      <c r="D239" s="25" t="s">
        <v>21</v>
      </c>
    </row>
    <row r="240" spans="1:4" ht="21.95" customHeight="1">
      <c r="A240" s="31">
        <f>대비!H29</f>
        <v>0</v>
      </c>
      <c r="B240" s="24" t="e">
        <f>VLOOKUP(A:A,대비!H:I,2,FALSE)</f>
        <v>#N/A</v>
      </c>
      <c r="C240" s="18">
        <f t="shared" si="10"/>
        <v>0</v>
      </c>
      <c r="D240" s="25" t="s">
        <v>21</v>
      </c>
    </row>
    <row r="241" spans="1:4" ht="21.95" customHeight="1">
      <c r="A241" s="31">
        <f>대비!H30</f>
        <v>0</v>
      </c>
      <c r="B241" s="24" t="e">
        <f>VLOOKUP(A:A,대비!H:I,2,FALSE)</f>
        <v>#N/A</v>
      </c>
      <c r="C241" s="18">
        <f t="shared" si="10"/>
        <v>0</v>
      </c>
      <c r="D241" s="25" t="s">
        <v>21</v>
      </c>
    </row>
    <row r="242" spans="1:4" ht="21.95" customHeight="1">
      <c r="A242" s="31">
        <f>대비!H31</f>
        <v>0</v>
      </c>
      <c r="B242" s="24" t="e">
        <f>VLOOKUP(A:A,대비!H:I,2,FALSE)</f>
        <v>#N/A</v>
      </c>
      <c r="C242" s="18">
        <f t="shared" si="10"/>
        <v>0</v>
      </c>
      <c r="D242" s="25" t="s">
        <v>21</v>
      </c>
    </row>
    <row r="243" spans="1:4" ht="21.95" customHeight="1">
      <c r="A243" s="31">
        <f>대비!H32</f>
        <v>0</v>
      </c>
      <c r="B243" s="24" t="e">
        <f>VLOOKUP(A:A,대비!H:I,2,FALSE)</f>
        <v>#N/A</v>
      </c>
      <c r="C243" s="18">
        <f t="shared" si="10"/>
        <v>0</v>
      </c>
      <c r="D243" s="25" t="s">
        <v>21</v>
      </c>
    </row>
    <row r="244" spans="1:4" ht="21.95" customHeight="1">
      <c r="A244" s="31">
        <f>대비!H33</f>
        <v>0</v>
      </c>
      <c r="B244" s="24" t="e">
        <f>VLOOKUP(A:A,대비!H:I,2,FALSE)</f>
        <v>#N/A</v>
      </c>
      <c r="C244" s="18">
        <f t="shared" si="10"/>
        <v>0</v>
      </c>
      <c r="D244" s="25" t="s">
        <v>21</v>
      </c>
    </row>
    <row r="245" spans="1:4" ht="21.95" customHeight="1">
      <c r="A245" s="31">
        <f>대비!H34</f>
        <v>0</v>
      </c>
      <c r="B245" s="24" t="e">
        <f>VLOOKUP(A:A,대비!H:I,2,FALSE)</f>
        <v>#N/A</v>
      </c>
      <c r="C245" s="18">
        <f t="shared" si="10"/>
        <v>0</v>
      </c>
      <c r="D245" s="25" t="s">
        <v>21</v>
      </c>
    </row>
    <row r="246" spans="1:4" ht="21.95" customHeight="1">
      <c r="A246" s="31">
        <f>대비!H35</f>
        <v>0</v>
      </c>
      <c r="B246" s="24" t="e">
        <f>VLOOKUP(A:A,대비!H:I,2,FALSE)</f>
        <v>#N/A</v>
      </c>
      <c r="C246" s="18">
        <f t="shared" si="10"/>
        <v>0</v>
      </c>
      <c r="D246" s="25" t="s">
        <v>21</v>
      </c>
    </row>
    <row r="247" spans="1:4" ht="21.95" customHeight="1">
      <c r="A247" s="31">
        <f>대비!H36</f>
        <v>0</v>
      </c>
      <c r="B247" s="24" t="e">
        <f>VLOOKUP(A:A,대비!H:I,2,FALSE)</f>
        <v>#N/A</v>
      </c>
      <c r="C247" s="18">
        <f t="shared" si="10"/>
        <v>0</v>
      </c>
      <c r="D247" s="25" t="s">
        <v>21</v>
      </c>
    </row>
    <row r="248" spans="1:4" ht="21.95" customHeight="1">
      <c r="A248" s="31">
        <f>대비!H37</f>
        <v>0</v>
      </c>
      <c r="B248" s="24" t="e">
        <f>VLOOKUP(A:A,대비!H:I,2,FALSE)</f>
        <v>#N/A</v>
      </c>
      <c r="C248" s="18">
        <f t="shared" si="10"/>
        <v>0</v>
      </c>
      <c r="D248" s="25" t="s">
        <v>21</v>
      </c>
    </row>
    <row r="249" spans="1:4" ht="21.95" customHeight="1">
      <c r="A249" s="31">
        <f>대비!H38</f>
        <v>0</v>
      </c>
      <c r="B249" s="24" t="e">
        <f>VLOOKUP(A:A,대비!H:I,2,FALSE)</f>
        <v>#N/A</v>
      </c>
      <c r="C249" s="18">
        <f t="shared" si="10"/>
        <v>0</v>
      </c>
      <c r="D249" s="25" t="s">
        <v>21</v>
      </c>
    </row>
    <row r="250" spans="1:4" ht="21.95" customHeight="1">
      <c r="A250" s="31">
        <f>대비!H39</f>
        <v>0</v>
      </c>
      <c r="B250" s="24" t="e">
        <f>VLOOKUP(A:A,대비!H:I,2,FALSE)</f>
        <v>#N/A</v>
      </c>
      <c r="C250" s="18">
        <f t="shared" si="10"/>
        <v>0</v>
      </c>
      <c r="D250" s="25" t="s">
        <v>21</v>
      </c>
    </row>
    <row r="251" spans="1:4" ht="21.95" customHeight="1">
      <c r="A251" s="31">
        <f>대비!H40</f>
        <v>0</v>
      </c>
      <c r="B251" s="24" t="e">
        <f>VLOOKUP(A:A,대비!H:I,2,FALSE)</f>
        <v>#N/A</v>
      </c>
      <c r="C251" s="18">
        <f t="shared" si="10"/>
        <v>0</v>
      </c>
      <c r="D251" s="25" t="s">
        <v>21</v>
      </c>
    </row>
    <row r="252" spans="1:4" ht="21.95" customHeight="1">
      <c r="A252" s="31">
        <f>대비!H41</f>
        <v>0</v>
      </c>
      <c r="B252" s="24" t="e">
        <f>VLOOKUP(A:A,대비!H:I,2,FALSE)</f>
        <v>#N/A</v>
      </c>
      <c r="C252" s="18">
        <f t="shared" si="10"/>
        <v>0</v>
      </c>
      <c r="D252" s="25" t="s">
        <v>21</v>
      </c>
    </row>
    <row r="253" spans="1:4" ht="21.95" customHeight="1">
      <c r="A253" s="31">
        <f>대비!H42</f>
        <v>0</v>
      </c>
      <c r="B253" s="24" t="e">
        <f>VLOOKUP(A:A,대비!H:I,2,FALSE)</f>
        <v>#N/A</v>
      </c>
      <c r="C253" s="18">
        <f t="shared" si="10"/>
        <v>0</v>
      </c>
      <c r="D253" s="25" t="s">
        <v>21</v>
      </c>
    </row>
    <row r="254" spans="1:4" ht="21.95" customHeight="1">
      <c r="A254" s="31">
        <f>대비!H43</f>
        <v>0</v>
      </c>
      <c r="B254" s="24" t="e">
        <f>VLOOKUP(A:A,대비!H:I,2,FALSE)</f>
        <v>#N/A</v>
      </c>
      <c r="C254" s="18">
        <f t="shared" si="10"/>
        <v>0</v>
      </c>
      <c r="D254" s="25" t="s">
        <v>21</v>
      </c>
    </row>
    <row r="255" spans="1:4" ht="21.95" customHeight="1">
      <c r="A255" s="31">
        <f>대비!H44</f>
        <v>0</v>
      </c>
      <c r="B255" s="24" t="e">
        <f>VLOOKUP(A:A,대비!H:I,2,FALSE)</f>
        <v>#N/A</v>
      </c>
      <c r="C255" s="18">
        <f t="shared" si="10"/>
        <v>0</v>
      </c>
      <c r="D255" s="25" t="s">
        <v>21</v>
      </c>
    </row>
    <row r="256" spans="1:4" ht="21.95" customHeight="1">
      <c r="A256" s="31">
        <f>대비!H45</f>
        <v>0</v>
      </c>
      <c r="B256" s="24" t="e">
        <f>VLOOKUP(A:A,대비!H:I,2,FALSE)</f>
        <v>#N/A</v>
      </c>
      <c r="C256" s="18">
        <f t="shared" si="10"/>
        <v>0</v>
      </c>
      <c r="D256" s="25" t="s">
        <v>21</v>
      </c>
    </row>
    <row r="257" spans="1:4" ht="21.95" customHeight="1">
      <c r="A257" s="31">
        <f>대비!H46</f>
        <v>0</v>
      </c>
      <c r="B257" s="24" t="e">
        <f>VLOOKUP(A:A,대비!H:I,2,FALSE)</f>
        <v>#N/A</v>
      </c>
      <c r="C257" s="18">
        <f t="shared" si="10"/>
        <v>0</v>
      </c>
      <c r="D257" s="25" t="s">
        <v>21</v>
      </c>
    </row>
    <row r="258" spans="1:4" ht="21.95" customHeight="1">
      <c r="A258" s="31">
        <f>대비!H47</f>
        <v>0</v>
      </c>
      <c r="B258" s="24" t="e">
        <f>VLOOKUP(A:A,대비!H:I,2,FALSE)</f>
        <v>#N/A</v>
      </c>
      <c r="C258" s="18">
        <f t="shared" si="10"/>
        <v>0</v>
      </c>
      <c r="D258" s="25" t="s">
        <v>21</v>
      </c>
    </row>
    <row r="259" spans="1:4" ht="21.95" customHeight="1">
      <c r="A259" s="31">
        <f>대비!H48</f>
        <v>0</v>
      </c>
      <c r="B259" s="24" t="e">
        <f>VLOOKUP(A:A,대비!H:I,2,FALSE)</f>
        <v>#N/A</v>
      </c>
      <c r="C259" s="18">
        <f t="shared" si="10"/>
        <v>0</v>
      </c>
      <c r="D259" s="25" t="s">
        <v>21</v>
      </c>
    </row>
    <row r="260" spans="1:4" ht="21.95" customHeight="1">
      <c r="A260" s="31">
        <f>대비!H49</f>
        <v>0</v>
      </c>
      <c r="B260" s="24" t="e">
        <f>VLOOKUP(A:A,대비!H:I,2,FALSE)</f>
        <v>#N/A</v>
      </c>
      <c r="C260" s="18">
        <f t="shared" si="10"/>
        <v>0</v>
      </c>
      <c r="D260" s="25" t="s">
        <v>21</v>
      </c>
    </row>
    <row r="261" spans="1:4" ht="21.95" customHeight="1">
      <c r="A261" s="31">
        <f>대비!H50</f>
        <v>0</v>
      </c>
      <c r="B261" s="24" t="e">
        <f>VLOOKUP(A:A,대비!H:I,2,FALSE)</f>
        <v>#N/A</v>
      </c>
      <c r="C261" s="18">
        <f t="shared" si="10"/>
        <v>0</v>
      </c>
      <c r="D261" s="25" t="s">
        <v>21</v>
      </c>
    </row>
    <row r="262" spans="1:4" ht="21.95" customHeight="1">
      <c r="A262" s="31">
        <f>대비!H51</f>
        <v>0</v>
      </c>
      <c r="B262" s="24" t="e">
        <f>VLOOKUP(A:A,대비!H:I,2,FALSE)</f>
        <v>#N/A</v>
      </c>
      <c r="C262" s="18">
        <f t="shared" si="10"/>
        <v>0</v>
      </c>
      <c r="D262" s="25" t="s">
        <v>21</v>
      </c>
    </row>
    <row r="263" spans="1:4" ht="21.95" customHeight="1">
      <c r="A263" s="31">
        <f>대비!H52</f>
        <v>0</v>
      </c>
      <c r="B263" s="24" t="e">
        <f>VLOOKUP(A:A,대비!H:I,2,FALSE)</f>
        <v>#N/A</v>
      </c>
      <c r="C263" s="18">
        <f t="shared" si="10"/>
        <v>0</v>
      </c>
      <c r="D263" s="25" t="s">
        <v>21</v>
      </c>
    </row>
    <row r="264" spans="1:4" ht="21.95" customHeight="1">
      <c r="A264" s="31">
        <f>대비!H53</f>
        <v>0</v>
      </c>
      <c r="B264" s="24" t="e">
        <f>VLOOKUP(A:A,대비!H:I,2,FALSE)</f>
        <v>#N/A</v>
      </c>
      <c r="C264" s="18">
        <f t="shared" si="10"/>
        <v>0</v>
      </c>
      <c r="D264" s="25" t="s">
        <v>21</v>
      </c>
    </row>
    <row r="265" spans="1:4" ht="21.95" customHeight="1">
      <c r="A265" s="31">
        <f>대비!H54</f>
        <v>0</v>
      </c>
      <c r="B265" s="24" t="e">
        <f>VLOOKUP(A:A,대비!H:I,2,FALSE)</f>
        <v>#N/A</v>
      </c>
      <c r="C265" s="18">
        <f t="shared" ref="C265:C296" si="13">A265</f>
        <v>0</v>
      </c>
      <c r="D265" s="25" t="s">
        <v>21</v>
      </c>
    </row>
    <row r="266" spans="1:4" ht="21.95" customHeight="1">
      <c r="A266" s="31">
        <f>대비!H55</f>
        <v>0</v>
      </c>
      <c r="B266" s="24" t="e">
        <f>VLOOKUP(A:A,대비!H:I,2,FALSE)</f>
        <v>#N/A</v>
      </c>
      <c r="C266" s="18">
        <f t="shared" si="13"/>
        <v>0</v>
      </c>
      <c r="D266" s="25" t="s">
        <v>21</v>
      </c>
    </row>
    <row r="267" spans="1:4" ht="21.95" customHeight="1">
      <c r="A267" s="31">
        <f>대비!H56</f>
        <v>0</v>
      </c>
      <c r="B267" s="24" t="e">
        <f>VLOOKUP(A:A,대비!H:I,2,FALSE)</f>
        <v>#N/A</v>
      </c>
      <c r="C267" s="18">
        <f t="shared" si="13"/>
        <v>0</v>
      </c>
      <c r="D267" s="25" t="s">
        <v>21</v>
      </c>
    </row>
    <row r="268" spans="1:4" ht="21.95" customHeight="1">
      <c r="A268" s="31">
        <f>대비!H57</f>
        <v>0</v>
      </c>
      <c r="B268" s="24" t="e">
        <f>VLOOKUP(A:A,대비!H:I,2,FALSE)</f>
        <v>#N/A</v>
      </c>
      <c r="C268" s="18">
        <f t="shared" si="13"/>
        <v>0</v>
      </c>
      <c r="D268" s="25" t="s">
        <v>21</v>
      </c>
    </row>
    <row r="269" spans="1:4" ht="21.95" customHeight="1">
      <c r="A269" s="31">
        <f>대비!H58</f>
        <v>0</v>
      </c>
      <c r="B269" s="24" t="e">
        <f>VLOOKUP(A:A,대비!H:I,2,FALSE)</f>
        <v>#N/A</v>
      </c>
      <c r="C269" s="18">
        <f t="shared" si="13"/>
        <v>0</v>
      </c>
      <c r="D269" s="25" t="s">
        <v>21</v>
      </c>
    </row>
    <row r="270" spans="1:4" ht="21.95" customHeight="1">
      <c r="A270" s="31">
        <f>대비!H59</f>
        <v>0</v>
      </c>
      <c r="B270" s="24" t="e">
        <f>VLOOKUP(A:A,대비!H:I,2,FALSE)</f>
        <v>#N/A</v>
      </c>
      <c r="C270" s="18">
        <f t="shared" si="13"/>
        <v>0</v>
      </c>
      <c r="D270" s="25" t="s">
        <v>21</v>
      </c>
    </row>
    <row r="271" spans="1:4" ht="21.95" customHeight="1">
      <c r="A271" s="31">
        <f>대비!H60</f>
        <v>0</v>
      </c>
      <c r="B271" s="24" t="e">
        <f>VLOOKUP(A:A,대비!H:I,2,FALSE)</f>
        <v>#N/A</v>
      </c>
      <c r="C271" s="18">
        <f t="shared" si="13"/>
        <v>0</v>
      </c>
      <c r="D271" s="25" t="s">
        <v>21</v>
      </c>
    </row>
    <row r="272" spans="1:4" ht="21.95" customHeight="1">
      <c r="A272" s="31">
        <f>대비!H61</f>
        <v>0</v>
      </c>
      <c r="B272" s="24" t="e">
        <f>VLOOKUP(A:A,대비!H:I,2,FALSE)</f>
        <v>#N/A</v>
      </c>
      <c r="C272" s="18">
        <f t="shared" si="13"/>
        <v>0</v>
      </c>
      <c r="D272" s="25" t="s">
        <v>21</v>
      </c>
    </row>
    <row r="273" spans="1:4" ht="21.95" customHeight="1">
      <c r="A273" s="31">
        <f>대비!H62</f>
        <v>0</v>
      </c>
      <c r="B273" s="24" t="e">
        <f>VLOOKUP(A:A,대비!H:I,2,FALSE)</f>
        <v>#N/A</v>
      </c>
      <c r="C273" s="18">
        <f t="shared" si="13"/>
        <v>0</v>
      </c>
      <c r="D273" s="25" t="s">
        <v>21</v>
      </c>
    </row>
    <row r="274" spans="1:4" ht="21.95" customHeight="1">
      <c r="A274" s="31">
        <f>대비!H63</f>
        <v>0</v>
      </c>
      <c r="B274" s="24" t="e">
        <f>VLOOKUP(A:A,대비!H:I,2,FALSE)</f>
        <v>#N/A</v>
      </c>
      <c r="C274" s="18">
        <f t="shared" si="13"/>
        <v>0</v>
      </c>
      <c r="D274" s="25" t="s">
        <v>21</v>
      </c>
    </row>
    <row r="275" spans="1:4" ht="21.95" customHeight="1">
      <c r="A275" s="31">
        <f>대비!H64</f>
        <v>0</v>
      </c>
      <c r="B275" s="24" t="e">
        <f>VLOOKUP(A:A,대비!H:I,2,FALSE)</f>
        <v>#N/A</v>
      </c>
      <c r="C275" s="18">
        <f t="shared" si="13"/>
        <v>0</v>
      </c>
      <c r="D275" s="25" t="s">
        <v>21</v>
      </c>
    </row>
    <row r="276" spans="1:4" ht="21.95" customHeight="1">
      <c r="A276" s="31">
        <f>대비!H65</f>
        <v>0</v>
      </c>
      <c r="B276" s="24" t="e">
        <f>VLOOKUP(A:A,대비!H:I,2,FALSE)</f>
        <v>#N/A</v>
      </c>
      <c r="C276" s="18">
        <f t="shared" si="13"/>
        <v>0</v>
      </c>
      <c r="D276" s="25" t="s">
        <v>21</v>
      </c>
    </row>
    <row r="277" spans="1:4" ht="21.95" customHeight="1">
      <c r="A277" s="31">
        <f>대비!H66</f>
        <v>0</v>
      </c>
      <c r="B277" s="24" t="e">
        <f>VLOOKUP(A:A,대비!H:I,2,FALSE)</f>
        <v>#N/A</v>
      </c>
      <c r="C277" s="18">
        <f t="shared" si="13"/>
        <v>0</v>
      </c>
      <c r="D277" s="25" t="s">
        <v>21</v>
      </c>
    </row>
    <row r="278" spans="1:4" ht="21.95" customHeight="1">
      <c r="A278" s="31">
        <f>대비!H67</f>
        <v>0</v>
      </c>
      <c r="B278" s="24" t="e">
        <f>VLOOKUP(A:A,대비!H:I,2,FALSE)</f>
        <v>#N/A</v>
      </c>
      <c r="C278" s="18">
        <f t="shared" si="13"/>
        <v>0</v>
      </c>
      <c r="D278" s="25" t="s">
        <v>21</v>
      </c>
    </row>
    <row r="279" spans="1:4" ht="21.95" customHeight="1">
      <c r="A279" s="31">
        <f>대비!H68</f>
        <v>0</v>
      </c>
      <c r="B279" s="24" t="e">
        <f>VLOOKUP(A:A,대비!H:I,2,FALSE)</f>
        <v>#N/A</v>
      </c>
      <c r="C279" s="18">
        <f t="shared" si="13"/>
        <v>0</v>
      </c>
      <c r="D279" s="25" t="s">
        <v>21</v>
      </c>
    </row>
    <row r="280" spans="1:4" ht="21.95" customHeight="1">
      <c r="A280" s="31">
        <f>대비!H69</f>
        <v>0</v>
      </c>
      <c r="B280" s="24" t="e">
        <f>VLOOKUP(A:A,대비!H:I,2,FALSE)</f>
        <v>#N/A</v>
      </c>
      <c r="C280" s="18">
        <f t="shared" si="13"/>
        <v>0</v>
      </c>
      <c r="D280" s="25" t="s">
        <v>21</v>
      </c>
    </row>
    <row r="281" spans="1:4" ht="21.95" customHeight="1">
      <c r="A281" s="31">
        <f>대비!H70</f>
        <v>0</v>
      </c>
      <c r="B281" s="24" t="e">
        <f>VLOOKUP(A:A,대비!H:I,2,FALSE)</f>
        <v>#N/A</v>
      </c>
      <c r="C281" s="18">
        <f t="shared" si="13"/>
        <v>0</v>
      </c>
      <c r="D281" s="25" t="s">
        <v>21</v>
      </c>
    </row>
    <row r="282" spans="1:4" ht="21.95" customHeight="1">
      <c r="A282" s="31">
        <f>대비!H71</f>
        <v>0</v>
      </c>
      <c r="B282" s="24" t="e">
        <f>VLOOKUP(A:A,대비!H:I,2,FALSE)</f>
        <v>#N/A</v>
      </c>
      <c r="C282" s="18">
        <f t="shared" si="13"/>
        <v>0</v>
      </c>
      <c r="D282" s="25" t="s">
        <v>21</v>
      </c>
    </row>
    <row r="283" spans="1:4" ht="21.95" customHeight="1">
      <c r="A283" s="31">
        <f>대비!H72</f>
        <v>0</v>
      </c>
      <c r="B283" s="24" t="e">
        <f>VLOOKUP(A:A,대비!H:I,2,FALSE)</f>
        <v>#N/A</v>
      </c>
      <c r="C283" s="18">
        <f t="shared" si="13"/>
        <v>0</v>
      </c>
      <c r="D283" s="25" t="s">
        <v>21</v>
      </c>
    </row>
    <row r="284" spans="1:4" ht="21.95" customHeight="1">
      <c r="A284" s="31">
        <f>대비!H73</f>
        <v>0</v>
      </c>
      <c r="B284" s="24" t="e">
        <f>VLOOKUP(A:A,대비!H:I,2,FALSE)</f>
        <v>#N/A</v>
      </c>
      <c r="C284" s="18">
        <f t="shared" si="13"/>
        <v>0</v>
      </c>
      <c r="D284" s="25" t="s">
        <v>21</v>
      </c>
    </row>
    <row r="285" spans="1:4" ht="21.95" customHeight="1">
      <c r="A285" s="31">
        <f>대비!H74</f>
        <v>0</v>
      </c>
      <c r="B285" s="24" t="e">
        <f>VLOOKUP(A:A,대비!H:I,2,FALSE)</f>
        <v>#N/A</v>
      </c>
      <c r="C285" s="18">
        <f t="shared" si="13"/>
        <v>0</v>
      </c>
      <c r="D285" s="25" t="s">
        <v>21</v>
      </c>
    </row>
    <row r="286" spans="1:4" ht="21.95" customHeight="1">
      <c r="A286" s="31">
        <f>대비!H75</f>
        <v>0</v>
      </c>
      <c r="B286" s="24" t="e">
        <f>VLOOKUP(A:A,대비!H:I,2,FALSE)</f>
        <v>#N/A</v>
      </c>
      <c r="C286" s="18">
        <f t="shared" si="13"/>
        <v>0</v>
      </c>
      <c r="D286" s="25" t="s">
        <v>21</v>
      </c>
    </row>
    <row r="287" spans="1:4" ht="21.95" customHeight="1">
      <c r="A287" s="31">
        <f>대비!H76</f>
        <v>0</v>
      </c>
      <c r="B287" s="24" t="e">
        <f>VLOOKUP(A:A,대비!H:I,2,FALSE)</f>
        <v>#N/A</v>
      </c>
      <c r="C287" s="18">
        <f t="shared" si="13"/>
        <v>0</v>
      </c>
      <c r="D287" s="25" t="s">
        <v>21</v>
      </c>
    </row>
    <row r="288" spans="1:4" ht="21.95" customHeight="1">
      <c r="A288" s="31">
        <f>대비!H77</f>
        <v>0</v>
      </c>
      <c r="B288" s="24" t="e">
        <f>VLOOKUP(A:A,대비!H:I,2,FALSE)</f>
        <v>#N/A</v>
      </c>
      <c r="C288" s="18">
        <f t="shared" si="13"/>
        <v>0</v>
      </c>
      <c r="D288" s="25" t="s">
        <v>21</v>
      </c>
    </row>
    <row r="289" spans="1:4" ht="21.95" customHeight="1">
      <c r="A289" s="31">
        <f>대비!H78</f>
        <v>0</v>
      </c>
      <c r="B289" s="24" t="e">
        <f>VLOOKUP(A:A,대비!H:I,2,FALSE)</f>
        <v>#N/A</v>
      </c>
      <c r="C289" s="18">
        <f t="shared" si="13"/>
        <v>0</v>
      </c>
      <c r="D289" s="25" t="s">
        <v>21</v>
      </c>
    </row>
    <row r="290" spans="1:4" ht="21.95" customHeight="1">
      <c r="A290" s="31">
        <f>대비!H79</f>
        <v>0</v>
      </c>
      <c r="B290" s="24" t="e">
        <f>VLOOKUP(A:A,대비!H:I,2,FALSE)</f>
        <v>#N/A</v>
      </c>
      <c r="C290" s="18">
        <f t="shared" si="13"/>
        <v>0</v>
      </c>
      <c r="D290" s="25" t="s">
        <v>21</v>
      </c>
    </row>
    <row r="291" spans="1:4" ht="21.95" customHeight="1">
      <c r="A291" s="31">
        <f>대비!H80</f>
        <v>0</v>
      </c>
      <c r="B291" s="24" t="e">
        <f>VLOOKUP(A:A,대비!H:I,2,FALSE)</f>
        <v>#N/A</v>
      </c>
      <c r="C291" s="18">
        <f t="shared" si="13"/>
        <v>0</v>
      </c>
      <c r="D291" s="25" t="s">
        <v>21</v>
      </c>
    </row>
    <row r="292" spans="1:4" ht="21.95" customHeight="1">
      <c r="A292" s="31">
        <f>대비!H81</f>
        <v>0</v>
      </c>
      <c r="B292" s="24" t="e">
        <f>VLOOKUP(A:A,대비!H:I,2,FALSE)</f>
        <v>#N/A</v>
      </c>
      <c r="C292" s="18">
        <f t="shared" si="13"/>
        <v>0</v>
      </c>
      <c r="D292" s="25" t="s">
        <v>21</v>
      </c>
    </row>
    <row r="293" spans="1:4" ht="21.95" customHeight="1">
      <c r="A293" s="31">
        <f>대비!H82</f>
        <v>0</v>
      </c>
      <c r="B293" s="24" t="e">
        <f>VLOOKUP(A:A,대비!H:I,2,FALSE)</f>
        <v>#N/A</v>
      </c>
      <c r="C293" s="18">
        <f t="shared" si="13"/>
        <v>0</v>
      </c>
      <c r="D293" s="25" t="s">
        <v>21</v>
      </c>
    </row>
    <row r="294" spans="1:4" ht="21.95" customHeight="1">
      <c r="A294" s="31">
        <f>대비!H83</f>
        <v>0</v>
      </c>
      <c r="B294" s="24" t="e">
        <f>VLOOKUP(A:A,대비!H:I,2,FALSE)</f>
        <v>#N/A</v>
      </c>
      <c r="C294" s="18">
        <f t="shared" si="13"/>
        <v>0</v>
      </c>
      <c r="D294" s="25" t="s">
        <v>21</v>
      </c>
    </row>
    <row r="295" spans="1:4" ht="21.95" customHeight="1">
      <c r="A295" s="31">
        <f>대비!H84</f>
        <v>0</v>
      </c>
      <c r="B295" s="24" t="e">
        <f>VLOOKUP(A:A,대비!H:I,2,FALSE)</f>
        <v>#N/A</v>
      </c>
      <c r="C295" s="18">
        <f t="shared" si="13"/>
        <v>0</v>
      </c>
      <c r="D295" s="25" t="s">
        <v>21</v>
      </c>
    </row>
    <row r="296" spans="1:4" ht="21.95" customHeight="1">
      <c r="A296" s="31">
        <f>대비!H85</f>
        <v>0</v>
      </c>
      <c r="B296" s="24" t="e">
        <f>VLOOKUP(A:A,대비!H:I,2,FALSE)</f>
        <v>#N/A</v>
      </c>
      <c r="C296" s="18">
        <f t="shared" si="13"/>
        <v>0</v>
      </c>
      <c r="D296" s="25" t="s">
        <v>21</v>
      </c>
    </row>
    <row r="297" spans="1:4" ht="21.95" customHeight="1">
      <c r="A297" s="31">
        <f>대비!H27</f>
        <v>0</v>
      </c>
      <c r="B297" s="24" t="e">
        <f>VLOOKUP(A:A,대비!H:I,2,FALSE)</f>
        <v>#N/A</v>
      </c>
      <c r="C297" s="18">
        <f t="shared" ref="C297:C307" si="14">A297</f>
        <v>0</v>
      </c>
      <c r="D297" s="25" t="s">
        <v>21</v>
      </c>
    </row>
    <row r="298" spans="1:4" ht="21.95" customHeight="1">
      <c r="A298" s="31">
        <f>대비!H28</f>
        <v>0</v>
      </c>
      <c r="B298" s="24" t="e">
        <f>VLOOKUP(A:A,대비!H:I,2,FALSE)</f>
        <v>#N/A</v>
      </c>
      <c r="C298" s="18">
        <f t="shared" si="14"/>
        <v>0</v>
      </c>
      <c r="D298" s="25" t="s">
        <v>21</v>
      </c>
    </row>
    <row r="299" spans="1:4" ht="21.95" customHeight="1">
      <c r="A299" s="31">
        <f>대비!H29</f>
        <v>0</v>
      </c>
      <c r="B299" s="24" t="e">
        <f>VLOOKUP(A:A,대비!H:I,2,FALSE)</f>
        <v>#N/A</v>
      </c>
      <c r="C299" s="18">
        <f t="shared" si="14"/>
        <v>0</v>
      </c>
      <c r="D299" s="25" t="s">
        <v>21</v>
      </c>
    </row>
    <row r="300" spans="1:4" ht="21.95" customHeight="1">
      <c r="A300" s="31">
        <f>대비!H30</f>
        <v>0</v>
      </c>
      <c r="B300" s="24" t="e">
        <f>VLOOKUP(A:A,대비!H:I,2,FALSE)</f>
        <v>#N/A</v>
      </c>
      <c r="C300" s="18">
        <f t="shared" si="14"/>
        <v>0</v>
      </c>
      <c r="D300" s="25" t="s">
        <v>21</v>
      </c>
    </row>
    <row r="301" spans="1:4" ht="21.95" customHeight="1">
      <c r="A301" s="31">
        <f>대비!H31</f>
        <v>0</v>
      </c>
      <c r="B301" s="24" t="e">
        <f>VLOOKUP(A:A,대비!H:I,2,FALSE)</f>
        <v>#N/A</v>
      </c>
      <c r="C301" s="18">
        <f t="shared" si="14"/>
        <v>0</v>
      </c>
      <c r="D301" s="25" t="s">
        <v>21</v>
      </c>
    </row>
    <row r="302" spans="1:4" ht="21.95" customHeight="1">
      <c r="A302" s="31">
        <f>대비!H32</f>
        <v>0</v>
      </c>
      <c r="B302" s="24" t="e">
        <f>VLOOKUP(A:A,대비!H:I,2,FALSE)</f>
        <v>#N/A</v>
      </c>
      <c r="C302" s="18">
        <f t="shared" si="14"/>
        <v>0</v>
      </c>
      <c r="D302" s="25" t="s">
        <v>21</v>
      </c>
    </row>
    <row r="303" spans="1:4" ht="21.95" customHeight="1">
      <c r="A303" s="31">
        <f>대비!H33</f>
        <v>0</v>
      </c>
      <c r="B303" s="24" t="e">
        <f>VLOOKUP(A:A,대비!H:I,2,FALSE)</f>
        <v>#N/A</v>
      </c>
      <c r="C303" s="18">
        <f t="shared" si="14"/>
        <v>0</v>
      </c>
      <c r="D303" s="25" t="s">
        <v>21</v>
      </c>
    </row>
    <row r="304" spans="1:4" ht="21.95" customHeight="1">
      <c r="A304" s="31">
        <f>대비!H34</f>
        <v>0</v>
      </c>
      <c r="B304" s="24" t="e">
        <f>VLOOKUP(A:A,대비!H:I,2,FALSE)</f>
        <v>#N/A</v>
      </c>
      <c r="C304" s="18">
        <f t="shared" si="14"/>
        <v>0</v>
      </c>
      <c r="D304" s="25" t="s">
        <v>21</v>
      </c>
    </row>
    <row r="305" spans="1:4" ht="21.95" customHeight="1">
      <c r="A305" s="31">
        <f>대비!H35</f>
        <v>0</v>
      </c>
      <c r="B305" s="24" t="e">
        <f>VLOOKUP(A:A,대비!H:I,2,FALSE)</f>
        <v>#N/A</v>
      </c>
      <c r="C305" s="18">
        <f t="shared" si="14"/>
        <v>0</v>
      </c>
      <c r="D305" s="25" t="s">
        <v>21</v>
      </c>
    </row>
    <row r="306" spans="1:4" ht="21.95" customHeight="1">
      <c r="A306" s="31">
        <f>대비!H36</f>
        <v>0</v>
      </c>
      <c r="B306" s="24" t="e">
        <f>VLOOKUP(A:A,대비!H:I,2,FALSE)</f>
        <v>#N/A</v>
      </c>
      <c r="C306" s="18">
        <f t="shared" si="14"/>
        <v>0</v>
      </c>
      <c r="D306" s="25" t="s">
        <v>21</v>
      </c>
    </row>
    <row r="307" spans="1:4" ht="21.95" customHeight="1">
      <c r="A307" s="31">
        <f>대비!H37</f>
        <v>0</v>
      </c>
      <c r="B307" s="24" t="e">
        <f>VLOOKUP(A:A,대비!H:I,2,FALSE)</f>
        <v>#N/A</v>
      </c>
      <c r="C307" s="18">
        <f t="shared" si="14"/>
        <v>0</v>
      </c>
      <c r="D307" s="25" t="s">
        <v>21</v>
      </c>
    </row>
  </sheetData>
  <phoneticPr fontId="22" type="noConversion"/>
  <printOptions horizontalCentered="1"/>
  <pageMargins left="0.35433070866141736" right="0.23622047244094491" top="0.35433070866141736" bottom="0.43307086614173229" header="0.23622047244094491" footer="0.19685039370078741"/>
  <pageSetup paperSize="9" scale="71" firstPageNumber="71" orientation="portrait" useFirstPageNumber="1" horizontalDpi="4294967292" verticalDpi="4294967292" r:id="rId1"/>
  <headerFooter alignWithMargins="0">
    <oddFooter>&amp;C&amp;"휴먼엑스포,굵게"&amp;A&amp;R&amp;"휴먼엑스포,굵게"-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/>
  <dimension ref="A1:FB40"/>
  <sheetViews>
    <sheetView topLeftCell="A16" workbookViewId="0">
      <selection activeCell="D20" sqref="D20"/>
    </sheetView>
  </sheetViews>
  <sheetFormatPr defaultColWidth="7.125" defaultRowHeight="12"/>
  <cols>
    <col min="1" max="1" width="4.875" style="168" customWidth="1"/>
    <col min="2" max="2" width="15.625" style="169" customWidth="1"/>
    <col min="3" max="4" width="13" style="170" customWidth="1"/>
    <col min="5" max="5" width="13" style="169" customWidth="1"/>
    <col min="6" max="6" width="13" style="171" customWidth="1"/>
    <col min="7" max="7" width="13" style="169" customWidth="1"/>
    <col min="8" max="8" width="12.5" style="169" customWidth="1"/>
    <col min="9" max="9" width="7.125" style="27" customWidth="1"/>
    <col min="10" max="10" width="13" style="37" customWidth="1"/>
    <col min="11" max="16384" width="7.125" style="27"/>
  </cols>
  <sheetData>
    <row r="1" spans="1:158" s="29" customFormat="1" ht="35.1" customHeight="1">
      <c r="A1" s="419" t="s">
        <v>283</v>
      </c>
      <c r="B1" s="419"/>
      <c r="C1" s="419"/>
      <c r="D1" s="419"/>
      <c r="E1" s="419"/>
      <c r="F1" s="419"/>
      <c r="G1" s="419"/>
      <c r="H1" s="419"/>
      <c r="I1" s="297"/>
      <c r="J1" s="297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</row>
    <row r="2" spans="1:158" ht="16.5" customHeight="1" thickBot="1">
      <c r="A2" s="297"/>
      <c r="B2" s="297"/>
      <c r="C2" s="297"/>
      <c r="D2" s="297"/>
      <c r="E2" s="297"/>
      <c r="F2" s="297"/>
      <c r="G2" s="297"/>
      <c r="H2" s="297"/>
      <c r="I2" s="297"/>
      <c r="J2" s="297"/>
    </row>
    <row r="3" spans="1:158" ht="15" customHeight="1" thickBot="1">
      <c r="A3" s="298" t="s">
        <v>22</v>
      </c>
      <c r="B3" s="299" t="s">
        <v>23</v>
      </c>
      <c r="C3" s="299" t="s">
        <v>24</v>
      </c>
      <c r="D3" s="299" t="s">
        <v>284</v>
      </c>
      <c r="E3" s="299" t="s">
        <v>285</v>
      </c>
      <c r="F3" s="299" t="s">
        <v>286</v>
      </c>
      <c r="G3" s="299" t="s">
        <v>287</v>
      </c>
      <c r="H3" s="300" t="s">
        <v>25</v>
      </c>
      <c r="I3" s="301"/>
      <c r="J3" s="301"/>
    </row>
    <row r="4" spans="1:158" s="28" customFormat="1" ht="24.95" customHeight="1" thickBot="1">
      <c r="A4" s="302" t="s">
        <v>44</v>
      </c>
      <c r="B4" s="303" t="s">
        <v>288</v>
      </c>
      <c r="C4" s="304">
        <v>150083</v>
      </c>
      <c r="D4" s="304"/>
      <c r="E4" s="304"/>
      <c r="F4" s="305">
        <f t="shared" ref="F4:F33" si="0">SUM(C4:E4)</f>
        <v>150083</v>
      </c>
      <c r="G4" s="304"/>
      <c r="H4" s="306" t="s">
        <v>289</v>
      </c>
      <c r="I4" s="301"/>
      <c r="J4" s="301">
        <v>1</v>
      </c>
    </row>
    <row r="5" spans="1:158" s="34" customFormat="1" ht="21.95" customHeight="1">
      <c r="A5" s="307">
        <v>1002</v>
      </c>
      <c r="B5" s="308" t="s">
        <v>57</v>
      </c>
      <c r="C5" s="309">
        <f>INT($J$4*J5)</f>
        <v>94338</v>
      </c>
      <c r="D5" s="310"/>
      <c r="E5" s="310"/>
      <c r="F5" s="305">
        <f t="shared" si="0"/>
        <v>94338</v>
      </c>
      <c r="G5" s="311"/>
      <c r="H5" s="312" t="s">
        <v>290</v>
      </c>
      <c r="I5" s="313" t="s">
        <v>291</v>
      </c>
      <c r="J5" s="314">
        <v>94338</v>
      </c>
      <c r="K5" s="39"/>
      <c r="L5" s="35"/>
    </row>
    <row r="6" spans="1:158" s="28" customFormat="1" ht="21.95" customHeight="1">
      <c r="A6" s="307">
        <v>1003</v>
      </c>
      <c r="B6" s="308" t="s">
        <v>56</v>
      </c>
      <c r="C6" s="309">
        <f t="shared" ref="C6:C33" si="1">INT($J$4*J6)</f>
        <v>115272</v>
      </c>
      <c r="D6" s="310"/>
      <c r="E6" s="310"/>
      <c r="F6" s="305">
        <f t="shared" si="0"/>
        <v>115272</v>
      </c>
      <c r="G6" s="311"/>
      <c r="H6" s="312" t="s">
        <v>290</v>
      </c>
      <c r="I6" s="315"/>
      <c r="J6" s="316">
        <v>115272</v>
      </c>
    </row>
    <row r="7" spans="1:158" ht="21.95" customHeight="1">
      <c r="A7" s="307">
        <v>1006</v>
      </c>
      <c r="B7" s="308" t="s">
        <v>292</v>
      </c>
      <c r="C7" s="309">
        <f t="shared" si="1"/>
        <v>167860</v>
      </c>
      <c r="D7" s="310"/>
      <c r="E7" s="310"/>
      <c r="F7" s="305">
        <f t="shared" si="0"/>
        <v>167860</v>
      </c>
      <c r="G7" s="311"/>
      <c r="H7" s="312" t="s">
        <v>290</v>
      </c>
      <c r="I7" s="313"/>
      <c r="J7" s="317">
        <v>167860</v>
      </c>
    </row>
    <row r="8" spans="1:158" s="28" customFormat="1" ht="21.95" customHeight="1">
      <c r="A8" s="307">
        <v>1009</v>
      </c>
      <c r="B8" s="308" t="s">
        <v>293</v>
      </c>
      <c r="C8" s="309">
        <f t="shared" si="1"/>
        <v>146509</v>
      </c>
      <c r="D8" s="310"/>
      <c r="E8" s="310"/>
      <c r="F8" s="305">
        <f t="shared" si="0"/>
        <v>146509</v>
      </c>
      <c r="G8" s="311"/>
      <c r="H8" s="312" t="s">
        <v>290</v>
      </c>
      <c r="I8" s="313"/>
      <c r="J8" s="317">
        <v>146509</v>
      </c>
    </row>
    <row r="9" spans="1:158" s="28" customFormat="1" ht="21.95" customHeight="1">
      <c r="A9" s="307">
        <v>1011</v>
      </c>
      <c r="B9" s="308" t="s">
        <v>46</v>
      </c>
      <c r="C9" s="309">
        <f t="shared" si="1"/>
        <v>143120</v>
      </c>
      <c r="D9" s="310"/>
      <c r="E9" s="310"/>
      <c r="F9" s="305">
        <f t="shared" si="0"/>
        <v>143120</v>
      </c>
      <c r="G9" s="311"/>
      <c r="H9" s="312" t="s">
        <v>290</v>
      </c>
      <c r="I9" s="313"/>
      <c r="J9" s="316">
        <v>143120</v>
      </c>
    </row>
    <row r="10" spans="1:158" s="28" customFormat="1" ht="21.95" customHeight="1">
      <c r="A10" s="307">
        <v>1012</v>
      </c>
      <c r="B10" s="308" t="s">
        <v>58</v>
      </c>
      <c r="C10" s="309">
        <f t="shared" si="1"/>
        <v>143509</v>
      </c>
      <c r="D10" s="310"/>
      <c r="E10" s="310"/>
      <c r="F10" s="305">
        <f t="shared" si="0"/>
        <v>143509</v>
      </c>
      <c r="G10" s="311"/>
      <c r="H10" s="312" t="s">
        <v>290</v>
      </c>
      <c r="I10" s="313"/>
      <c r="J10" s="316">
        <v>143509</v>
      </c>
    </row>
    <row r="11" spans="1:158" s="28" customFormat="1" ht="21.95" customHeight="1">
      <c r="A11" s="307">
        <v>1023</v>
      </c>
      <c r="B11" s="308" t="s">
        <v>294</v>
      </c>
      <c r="C11" s="309">
        <f t="shared" si="1"/>
        <v>148851</v>
      </c>
      <c r="D11" s="310"/>
      <c r="E11" s="310"/>
      <c r="F11" s="305">
        <f t="shared" si="0"/>
        <v>148851</v>
      </c>
      <c r="G11" s="311"/>
      <c r="H11" s="312" t="s">
        <v>290</v>
      </c>
      <c r="I11" s="313"/>
      <c r="J11" s="317">
        <v>148851</v>
      </c>
    </row>
    <row r="12" spans="1:158" s="28" customFormat="1" ht="21.95" customHeight="1">
      <c r="A12" s="307">
        <v>1029</v>
      </c>
      <c r="B12" s="308" t="s">
        <v>47</v>
      </c>
      <c r="C12" s="309">
        <f t="shared" si="1"/>
        <v>132552</v>
      </c>
      <c r="D12" s="310"/>
      <c r="E12" s="310"/>
      <c r="F12" s="305">
        <f t="shared" si="0"/>
        <v>132552</v>
      </c>
      <c r="G12" s="311"/>
      <c r="H12" s="312" t="s">
        <v>290</v>
      </c>
      <c r="I12" s="315"/>
      <c r="J12" s="316">
        <v>132552</v>
      </c>
    </row>
    <row r="13" spans="1:158" ht="21.95" customHeight="1">
      <c r="A13" s="307">
        <v>1031</v>
      </c>
      <c r="B13" s="308" t="s">
        <v>48</v>
      </c>
      <c r="C13" s="309">
        <f t="shared" si="1"/>
        <v>122699</v>
      </c>
      <c r="D13" s="310"/>
      <c r="E13" s="310"/>
      <c r="F13" s="305">
        <f t="shared" si="0"/>
        <v>122699</v>
      </c>
      <c r="G13" s="311"/>
      <c r="H13" s="312" t="s">
        <v>290</v>
      </c>
      <c r="I13" s="313"/>
      <c r="J13" s="316">
        <v>122699</v>
      </c>
    </row>
    <row r="14" spans="1:158" s="28" customFormat="1" ht="21.95" customHeight="1">
      <c r="A14" s="307">
        <v>1032</v>
      </c>
      <c r="B14" s="308" t="s">
        <v>295</v>
      </c>
      <c r="C14" s="309">
        <f t="shared" si="1"/>
        <v>121211</v>
      </c>
      <c r="D14" s="318"/>
      <c r="E14" s="319"/>
      <c r="F14" s="305">
        <f t="shared" si="0"/>
        <v>121211</v>
      </c>
      <c r="G14" s="319"/>
      <c r="H14" s="312" t="s">
        <v>290</v>
      </c>
      <c r="I14" s="313"/>
      <c r="J14" s="320">
        <v>121211</v>
      </c>
    </row>
    <row r="15" spans="1:158" s="28" customFormat="1" ht="21.95" customHeight="1">
      <c r="A15" s="307">
        <v>1051</v>
      </c>
      <c r="B15" s="308" t="s">
        <v>296</v>
      </c>
      <c r="C15" s="309">
        <f t="shared" si="1"/>
        <v>124953</v>
      </c>
      <c r="D15" s="310"/>
      <c r="E15" s="310"/>
      <c r="F15" s="305">
        <f t="shared" si="0"/>
        <v>124953</v>
      </c>
      <c r="G15" s="311"/>
      <c r="H15" s="312" t="s">
        <v>290</v>
      </c>
      <c r="I15" s="313"/>
      <c r="J15" s="316">
        <v>124953</v>
      </c>
    </row>
    <row r="16" spans="1:158" s="28" customFormat="1" ht="21.95" customHeight="1">
      <c r="A16" s="307">
        <v>1056</v>
      </c>
      <c r="B16" s="308" t="s">
        <v>51</v>
      </c>
      <c r="C16" s="309">
        <f t="shared" si="1"/>
        <v>215183</v>
      </c>
      <c r="D16" s="310"/>
      <c r="E16" s="310"/>
      <c r="F16" s="305">
        <f t="shared" si="0"/>
        <v>215183</v>
      </c>
      <c r="G16" s="311"/>
      <c r="H16" s="312" t="s">
        <v>290</v>
      </c>
      <c r="I16" s="313"/>
      <c r="J16" s="316">
        <v>215183</v>
      </c>
    </row>
    <row r="17" spans="1:10" s="28" customFormat="1" ht="21.95" customHeight="1">
      <c r="A17" s="307">
        <v>1058</v>
      </c>
      <c r="B17" s="308" t="s">
        <v>50</v>
      </c>
      <c r="C17" s="309">
        <f t="shared" si="1"/>
        <v>206005</v>
      </c>
      <c r="D17" s="310"/>
      <c r="E17" s="310"/>
      <c r="F17" s="305">
        <f t="shared" si="0"/>
        <v>206005</v>
      </c>
      <c r="G17" s="311"/>
      <c r="H17" s="312" t="s">
        <v>290</v>
      </c>
      <c r="I17" s="313"/>
      <c r="J17" s="316">
        <v>206005</v>
      </c>
    </row>
    <row r="18" spans="1:10" s="28" customFormat="1" ht="21.95" customHeight="1">
      <c r="A18" s="307">
        <v>1060</v>
      </c>
      <c r="B18" s="308" t="s">
        <v>49</v>
      </c>
      <c r="C18" s="309">
        <f t="shared" si="1"/>
        <v>208340</v>
      </c>
      <c r="D18" s="310"/>
      <c r="E18" s="310"/>
      <c r="F18" s="305">
        <f t="shared" si="0"/>
        <v>208340</v>
      </c>
      <c r="G18" s="311"/>
      <c r="H18" s="312" t="s">
        <v>290</v>
      </c>
      <c r="I18" s="313"/>
      <c r="J18" s="316">
        <v>208340</v>
      </c>
    </row>
    <row r="19" spans="1:10" s="28" customFormat="1" ht="21.95" customHeight="1">
      <c r="A19" s="307">
        <v>1075</v>
      </c>
      <c r="B19" s="308" t="s">
        <v>43</v>
      </c>
      <c r="C19" s="309">
        <f t="shared" si="1"/>
        <v>169202</v>
      </c>
      <c r="D19" s="310"/>
      <c r="E19" s="310"/>
      <c r="F19" s="305">
        <f t="shared" si="0"/>
        <v>169202</v>
      </c>
      <c r="G19" s="311"/>
      <c r="H19" s="312" t="s">
        <v>290</v>
      </c>
      <c r="I19" s="315"/>
      <c r="J19" s="316">
        <v>169202</v>
      </c>
    </row>
    <row r="20" spans="1:10" ht="21.95" customHeight="1">
      <c r="A20" s="307">
        <v>1078</v>
      </c>
      <c r="B20" s="308" t="s">
        <v>53</v>
      </c>
      <c r="C20" s="309">
        <f t="shared" si="1"/>
        <v>199868</v>
      </c>
      <c r="D20" s="310"/>
      <c r="E20" s="310"/>
      <c r="F20" s="305">
        <f t="shared" si="0"/>
        <v>199868</v>
      </c>
      <c r="G20" s="311"/>
      <c r="H20" s="312" t="s">
        <v>290</v>
      </c>
      <c r="I20" s="313"/>
      <c r="J20" s="316">
        <v>199868</v>
      </c>
    </row>
    <row r="21" spans="1:10" s="28" customFormat="1" ht="21.95" customHeight="1">
      <c r="A21" s="307">
        <v>1083</v>
      </c>
      <c r="B21" s="319" t="s">
        <v>52</v>
      </c>
      <c r="C21" s="309">
        <f t="shared" si="1"/>
        <v>180382</v>
      </c>
      <c r="D21" s="318"/>
      <c r="E21" s="319"/>
      <c r="F21" s="305">
        <f t="shared" si="0"/>
        <v>180382</v>
      </c>
      <c r="G21" s="319"/>
      <c r="H21" s="312" t="s">
        <v>290</v>
      </c>
      <c r="I21" s="313"/>
      <c r="J21" s="320">
        <v>180382</v>
      </c>
    </row>
    <row r="22" spans="1:10" s="28" customFormat="1" ht="21.95" customHeight="1">
      <c r="A22" s="307">
        <v>1084</v>
      </c>
      <c r="B22" s="308" t="s">
        <v>54</v>
      </c>
      <c r="C22" s="309">
        <f t="shared" si="1"/>
        <v>182853</v>
      </c>
      <c r="D22" s="310"/>
      <c r="E22" s="310"/>
      <c r="F22" s="305">
        <f t="shared" si="0"/>
        <v>182853</v>
      </c>
      <c r="G22" s="311"/>
      <c r="H22" s="312" t="s">
        <v>290</v>
      </c>
      <c r="I22" s="313"/>
      <c r="J22" s="316">
        <v>182853</v>
      </c>
    </row>
    <row r="23" spans="1:10" s="28" customFormat="1" ht="21.95" customHeight="1">
      <c r="A23" s="307">
        <v>1085</v>
      </c>
      <c r="B23" s="308" t="s">
        <v>109</v>
      </c>
      <c r="C23" s="309">
        <f>INT($J$4*J23)</f>
        <v>213802</v>
      </c>
      <c r="D23" s="318"/>
      <c r="E23" s="319"/>
      <c r="F23" s="305">
        <f>SUM(C23:E23)</f>
        <v>213802</v>
      </c>
      <c r="G23" s="319"/>
      <c r="H23" s="312" t="s">
        <v>290</v>
      </c>
      <c r="I23" s="313"/>
      <c r="J23" s="320">
        <v>213802</v>
      </c>
    </row>
    <row r="24" spans="1:10" s="28" customFormat="1" ht="21.95" customHeight="1">
      <c r="A24" s="307">
        <v>1086</v>
      </c>
      <c r="B24" s="319" t="s">
        <v>385</v>
      </c>
      <c r="C24" s="309">
        <f t="shared" si="1"/>
        <v>160672</v>
      </c>
      <c r="D24" s="318"/>
      <c r="E24" s="319"/>
      <c r="F24" s="305">
        <f>SUM(C24:E24)</f>
        <v>160672</v>
      </c>
      <c r="G24" s="319"/>
      <c r="H24" s="312" t="s">
        <v>290</v>
      </c>
      <c r="I24" s="313"/>
      <c r="J24" s="320">
        <v>160672</v>
      </c>
    </row>
    <row r="25" spans="1:10" s="28" customFormat="1" ht="21.95" customHeight="1">
      <c r="A25" s="307">
        <v>1087</v>
      </c>
      <c r="B25" s="308" t="s">
        <v>297</v>
      </c>
      <c r="C25" s="309">
        <f t="shared" si="1"/>
        <v>175822</v>
      </c>
      <c r="D25" s="310"/>
      <c r="E25" s="310"/>
      <c r="F25" s="305">
        <f t="shared" si="0"/>
        <v>175822</v>
      </c>
      <c r="G25" s="311"/>
      <c r="H25" s="312" t="s">
        <v>290</v>
      </c>
      <c r="I25" s="313"/>
      <c r="J25" s="316">
        <v>175822</v>
      </c>
    </row>
    <row r="26" spans="1:10" s="28" customFormat="1" ht="21.95" customHeight="1">
      <c r="A26" s="307">
        <v>1089</v>
      </c>
      <c r="B26" s="308" t="s">
        <v>55</v>
      </c>
      <c r="C26" s="309">
        <f t="shared" si="1"/>
        <v>254897</v>
      </c>
      <c r="D26" s="310"/>
      <c r="E26" s="310"/>
      <c r="F26" s="305">
        <f t="shared" si="0"/>
        <v>254897</v>
      </c>
      <c r="G26" s="311"/>
      <c r="H26" s="312" t="s">
        <v>290</v>
      </c>
      <c r="I26" s="313"/>
      <c r="J26" s="316">
        <v>254897</v>
      </c>
    </row>
    <row r="27" spans="1:10" s="28" customFormat="1" ht="21.95" customHeight="1">
      <c r="A27" s="307">
        <v>2002</v>
      </c>
      <c r="B27" s="308" t="s">
        <v>62</v>
      </c>
      <c r="C27" s="309">
        <f t="shared" si="1"/>
        <v>221946</v>
      </c>
      <c r="D27" s="310"/>
      <c r="E27" s="310"/>
      <c r="F27" s="305">
        <f>SUM(C27:E27)</f>
        <v>221946</v>
      </c>
      <c r="G27" s="311"/>
      <c r="H27" s="312" t="s">
        <v>290</v>
      </c>
      <c r="I27" s="313"/>
      <c r="J27" s="316">
        <v>221946</v>
      </c>
    </row>
    <row r="28" spans="1:10" s="28" customFormat="1" ht="21.95" customHeight="1">
      <c r="A28" s="307">
        <v>2003</v>
      </c>
      <c r="B28" s="308" t="s">
        <v>45</v>
      </c>
      <c r="C28" s="309">
        <f t="shared" si="1"/>
        <v>240506</v>
      </c>
      <c r="D28" s="310"/>
      <c r="E28" s="310"/>
      <c r="F28" s="305">
        <f>SUM(C28:E28)</f>
        <v>240506</v>
      </c>
      <c r="G28" s="311"/>
      <c r="H28" s="312" t="s">
        <v>290</v>
      </c>
      <c r="I28" s="313"/>
      <c r="J28" s="316">
        <v>240506</v>
      </c>
    </row>
    <row r="29" spans="1:10" ht="21.95" customHeight="1">
      <c r="A29" s="307">
        <v>5001</v>
      </c>
      <c r="B29" s="308" t="s">
        <v>59</v>
      </c>
      <c r="C29" s="309">
        <f t="shared" si="1"/>
        <v>203680</v>
      </c>
      <c r="D29" s="310"/>
      <c r="E29" s="310"/>
      <c r="F29" s="305">
        <f>SUM(C29:E29)</f>
        <v>203680</v>
      </c>
      <c r="G29" s="311"/>
      <c r="H29" s="312" t="s">
        <v>290</v>
      </c>
      <c r="I29" s="315"/>
      <c r="J29" s="316">
        <v>203680</v>
      </c>
    </row>
    <row r="30" spans="1:10" s="28" customFormat="1" ht="21.95" customHeight="1">
      <c r="A30" s="307">
        <v>5002</v>
      </c>
      <c r="B30" s="308" t="s">
        <v>60</v>
      </c>
      <c r="C30" s="309">
        <f t="shared" si="1"/>
        <v>183684</v>
      </c>
      <c r="D30" s="310"/>
      <c r="E30" s="310"/>
      <c r="F30" s="305">
        <f>SUM(C30:E30)</f>
        <v>183684</v>
      </c>
      <c r="G30" s="311"/>
      <c r="H30" s="312" t="s">
        <v>290</v>
      </c>
      <c r="I30" s="313"/>
      <c r="J30" s="316">
        <v>183684</v>
      </c>
    </row>
    <row r="31" spans="1:10" s="28" customFormat="1" ht="21.95" customHeight="1">
      <c r="A31" s="307">
        <v>5004</v>
      </c>
      <c r="B31" s="308" t="s">
        <v>298</v>
      </c>
      <c r="C31" s="309">
        <f t="shared" si="1"/>
        <v>173285</v>
      </c>
      <c r="D31" s="318"/>
      <c r="E31" s="319"/>
      <c r="F31" s="305">
        <f t="shared" si="0"/>
        <v>173285</v>
      </c>
      <c r="G31" s="319"/>
      <c r="H31" s="312" t="s">
        <v>290</v>
      </c>
      <c r="I31" s="313"/>
      <c r="J31" s="320">
        <v>173285</v>
      </c>
    </row>
    <row r="32" spans="1:10" s="28" customFormat="1" ht="21.95" customHeight="1">
      <c r="A32" s="307">
        <v>5005</v>
      </c>
      <c r="B32" s="308" t="s">
        <v>299</v>
      </c>
      <c r="C32" s="309">
        <f t="shared" si="1"/>
        <v>151967</v>
      </c>
      <c r="D32" s="310"/>
      <c r="E32" s="310"/>
      <c r="F32" s="305">
        <f t="shared" si="0"/>
        <v>151967</v>
      </c>
      <c r="G32" s="311"/>
      <c r="H32" s="312" t="s">
        <v>290</v>
      </c>
      <c r="I32" s="313"/>
      <c r="J32" s="316">
        <v>151967</v>
      </c>
    </row>
    <row r="33" spans="1:10" s="28" customFormat="1" ht="21.95" customHeight="1" thickBot="1">
      <c r="A33" s="321">
        <v>5006</v>
      </c>
      <c r="B33" s="322" t="s">
        <v>61</v>
      </c>
      <c r="C33" s="323">
        <f t="shared" si="1"/>
        <v>229801</v>
      </c>
      <c r="D33" s="324"/>
      <c r="E33" s="325"/>
      <c r="F33" s="326">
        <f t="shared" si="0"/>
        <v>229801</v>
      </c>
      <c r="G33" s="325"/>
      <c r="H33" s="327" t="s">
        <v>290</v>
      </c>
      <c r="I33" s="313"/>
      <c r="J33" s="328">
        <v>229801</v>
      </c>
    </row>
    <row r="34" spans="1:10" s="28" customFormat="1" ht="21.95" customHeight="1" thickBot="1">
      <c r="A34" s="161">
        <v>1085</v>
      </c>
      <c r="B34" s="162" t="s">
        <v>109</v>
      </c>
      <c r="C34" s="163">
        <f>INT($J$4*J34)</f>
        <v>211751</v>
      </c>
      <c r="D34" s="166"/>
      <c r="E34" s="167"/>
      <c r="F34" s="164">
        <f>SUM(C34:E34)</f>
        <v>211751</v>
      </c>
      <c r="G34" s="167"/>
      <c r="H34" s="165" t="s">
        <v>108</v>
      </c>
      <c r="J34" s="160">
        <v>211751</v>
      </c>
    </row>
    <row r="35" spans="1:10" s="28" customFormat="1" ht="21.95" customHeight="1" thickBot="1">
      <c r="A35" s="161">
        <v>1039</v>
      </c>
      <c r="B35" s="162" t="s">
        <v>120</v>
      </c>
      <c r="C35" s="163">
        <f>INT($J$4*J35)</f>
        <v>108729</v>
      </c>
      <c r="D35" s="166"/>
      <c r="E35" s="167"/>
      <c r="F35" s="164">
        <f>SUM(C35:E35)</f>
        <v>108729</v>
      </c>
      <c r="G35" s="167"/>
      <c r="H35" s="165" t="s">
        <v>108</v>
      </c>
      <c r="J35" s="36">
        <v>108729</v>
      </c>
    </row>
    <row r="36" spans="1:10" s="28" customFormat="1" ht="21.95" customHeight="1">
      <c r="A36" s="161">
        <v>1030</v>
      </c>
      <c r="B36" s="162" t="s">
        <v>346</v>
      </c>
      <c r="C36" s="163">
        <f t="shared" ref="C36:C40" si="2">INT($J$4*J36)</f>
        <v>144150</v>
      </c>
      <c r="D36" s="166"/>
      <c r="E36" s="167"/>
      <c r="F36" s="164">
        <f t="shared" ref="F36:F40" si="3">SUM(C36:E36)</f>
        <v>144150</v>
      </c>
      <c r="G36" s="167"/>
      <c r="H36" s="165" t="s">
        <v>108</v>
      </c>
      <c r="J36" s="32">
        <v>144150</v>
      </c>
    </row>
    <row r="37" spans="1:10" ht="21.95" customHeight="1">
      <c r="A37" s="161">
        <v>1010</v>
      </c>
      <c r="B37" s="162" t="s">
        <v>347</v>
      </c>
      <c r="C37" s="163">
        <f t="shared" si="2"/>
        <v>131821</v>
      </c>
      <c r="D37" s="166"/>
      <c r="E37" s="167"/>
      <c r="F37" s="164">
        <f t="shared" si="3"/>
        <v>131821</v>
      </c>
      <c r="G37" s="167"/>
      <c r="H37" s="165" t="s">
        <v>108</v>
      </c>
      <c r="J37" s="32">
        <v>131821</v>
      </c>
    </row>
    <row r="38" spans="1:10">
      <c r="C38" s="163">
        <f t="shared" si="2"/>
        <v>0</v>
      </c>
      <c r="D38" s="166"/>
      <c r="E38" s="167"/>
      <c r="F38" s="164">
        <f t="shared" si="3"/>
        <v>0</v>
      </c>
      <c r="G38" s="167"/>
      <c r="H38" s="165" t="s">
        <v>108</v>
      </c>
    </row>
    <row r="39" spans="1:10">
      <c r="C39" s="163">
        <f t="shared" si="2"/>
        <v>0</v>
      </c>
      <c r="D39" s="166"/>
      <c r="E39" s="167"/>
      <c r="F39" s="164">
        <f t="shared" si="3"/>
        <v>0</v>
      </c>
      <c r="G39" s="167"/>
      <c r="H39" s="165" t="s">
        <v>108</v>
      </c>
    </row>
    <row r="40" spans="1:10">
      <c r="C40" s="163">
        <f t="shared" si="2"/>
        <v>0</v>
      </c>
      <c r="D40" s="166"/>
      <c r="E40" s="167"/>
      <c r="F40" s="164">
        <f t="shared" si="3"/>
        <v>0</v>
      </c>
      <c r="G40" s="167"/>
      <c r="H40" s="165" t="s">
        <v>108</v>
      </c>
    </row>
  </sheetData>
  <mergeCells count="1">
    <mergeCell ref="A1:H1"/>
  </mergeCells>
  <phoneticPr fontId="22" type="noConversion"/>
  <printOptions gridLinesSet="0"/>
  <pageMargins left="0.55118110236220474" right="0.39370078740157483" top="0.78740157480314965" bottom="0.55118110236220474" header="0.59055118110236227" footer="0.31496062992125984"/>
  <pageSetup paperSize="9" scale="88" firstPageNumber="200" orientation="portrait" useFirstPageNumber="1" r:id="rId1"/>
  <headerFooter alignWithMargins="0">
    <oddFooter>&amp;C&amp;"바탕,보통"&amp;10&amp;A&amp;R&amp;"바탕,보통"- &amp;P -</oddFooter>
  </headerFooter>
  <colBreaks count="1" manualBreakCount="1">
    <brk id="8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view="pageBreakPreview" topLeftCell="A4" zoomScaleNormal="100" zoomScaleSheetLayoutView="100" workbookViewId="0">
      <selection activeCell="C12" sqref="C12"/>
    </sheetView>
  </sheetViews>
  <sheetFormatPr defaultRowHeight="21" customHeight="1"/>
  <cols>
    <col min="1" max="1" width="4.625" style="83" customWidth="1"/>
    <col min="2" max="2" width="24.375" style="84" customWidth="1"/>
    <col min="3" max="3" width="18.625" style="83" customWidth="1"/>
    <col min="4" max="4" width="6" style="83" customWidth="1"/>
    <col min="5" max="5" width="7" style="85" customWidth="1"/>
    <col min="6" max="10" width="12.625" style="86" customWidth="1"/>
    <col min="11" max="11" width="6.25" style="87" customWidth="1"/>
    <col min="12" max="12" width="12.125" style="88" customWidth="1"/>
    <col min="13" max="13" width="10.5" style="89" bestFit="1" customWidth="1"/>
    <col min="14" max="14" width="9.75" style="89" bestFit="1" customWidth="1"/>
    <col min="15" max="16384" width="9" style="89"/>
  </cols>
  <sheetData>
    <row r="1" spans="1:12" s="52" customFormat="1" ht="21" customHeight="1">
      <c r="A1" s="45"/>
      <c r="B1" s="46"/>
      <c r="C1" s="45"/>
      <c r="D1" s="47"/>
      <c r="E1" s="381" t="s">
        <v>98</v>
      </c>
      <c r="F1" s="381"/>
      <c r="G1" s="381"/>
      <c r="H1" s="48"/>
      <c r="I1" s="48"/>
      <c r="J1" s="49"/>
      <c r="K1" s="50"/>
      <c r="L1" s="51"/>
    </row>
    <row r="2" spans="1:12" s="52" customFormat="1" ht="21" customHeight="1" thickBot="1">
      <c r="A2" s="53"/>
      <c r="B2" s="54"/>
      <c r="C2" s="53"/>
      <c r="D2" s="53"/>
      <c r="E2" s="382"/>
      <c r="F2" s="382"/>
      <c r="G2" s="382"/>
      <c r="H2" s="55"/>
      <c r="I2" s="55"/>
      <c r="J2" s="56"/>
      <c r="K2" s="57"/>
      <c r="L2" s="51"/>
    </row>
    <row r="3" spans="1:12" s="52" customFormat="1" ht="21" customHeight="1" thickTop="1">
      <c r="A3" s="53"/>
      <c r="B3" s="54"/>
      <c r="C3" s="53"/>
      <c r="D3" s="53"/>
      <c r="E3" s="58"/>
      <c r="F3" s="55"/>
      <c r="G3" s="55"/>
      <c r="H3" s="55"/>
      <c r="I3" s="55"/>
      <c r="J3" s="56"/>
      <c r="K3" s="57"/>
      <c r="L3" s="51"/>
    </row>
    <row r="4" spans="1:12" s="52" customFormat="1" ht="21" customHeight="1">
      <c r="A4" s="59" t="s">
        <v>317</v>
      </c>
      <c r="B4" s="60"/>
      <c r="C4" s="53"/>
      <c r="D4" s="53"/>
      <c r="E4" s="58"/>
      <c r="F4" s="55"/>
      <c r="G4" s="55"/>
      <c r="H4" s="55"/>
      <c r="I4" s="55"/>
      <c r="J4" s="56"/>
      <c r="K4" s="57"/>
      <c r="L4" s="51"/>
    </row>
    <row r="5" spans="1:12" s="53" customFormat="1" ht="21" customHeight="1">
      <c r="A5" s="61" t="s">
        <v>411</v>
      </c>
      <c r="B5" s="62"/>
      <c r="C5" s="62"/>
      <c r="D5" s="62"/>
      <c r="E5" s="63"/>
      <c r="F5" s="55"/>
      <c r="G5" s="55"/>
      <c r="H5" s="55"/>
      <c r="I5" s="55"/>
      <c r="J5" s="56"/>
      <c r="K5" s="57"/>
      <c r="L5" s="64"/>
    </row>
    <row r="6" spans="1:12" s="53" customFormat="1" ht="21" customHeight="1">
      <c r="A6" s="61" t="str">
        <f>"합계금액 : "&amp;NUMBERSTRING(J15,1)&amp;"원 정 (부가세 포함)"</f>
        <v>합계금액 : 칠천팔십일만구천육백팔십삼원 정 (부가세 포함)</v>
      </c>
      <c r="B6" s="62"/>
      <c r="C6" s="62"/>
      <c r="D6" s="62"/>
      <c r="E6" s="58"/>
      <c r="F6" s="55"/>
      <c r="G6" s="55"/>
      <c r="H6" s="55"/>
      <c r="I6" s="55"/>
      <c r="J6" s="56"/>
      <c r="K6" s="57"/>
      <c r="L6" s="64"/>
    </row>
    <row r="7" spans="1:12" s="53" customFormat="1" ht="21" customHeight="1">
      <c r="B7" s="65" t="s">
        <v>96</v>
      </c>
      <c r="E7" s="58"/>
      <c r="F7" s="55"/>
      <c r="G7" s="55"/>
      <c r="H7" s="55"/>
      <c r="I7" s="55"/>
      <c r="J7" s="56"/>
      <c r="K7" s="57"/>
      <c r="L7" s="64"/>
    </row>
    <row r="8" spans="1:12" s="53" customFormat="1" ht="21" customHeight="1">
      <c r="A8" s="383" t="s">
        <v>22</v>
      </c>
      <c r="B8" s="383" t="s">
        <v>10</v>
      </c>
      <c r="C8" s="389" t="s">
        <v>0</v>
      </c>
      <c r="D8" s="383" t="s">
        <v>1</v>
      </c>
      <c r="E8" s="391" t="s">
        <v>99</v>
      </c>
      <c r="F8" s="385" t="s">
        <v>12</v>
      </c>
      <c r="G8" s="386"/>
      <c r="H8" s="385" t="s">
        <v>100</v>
      </c>
      <c r="I8" s="386"/>
      <c r="J8" s="387" t="s">
        <v>2</v>
      </c>
      <c r="K8" s="383" t="s">
        <v>3</v>
      </c>
      <c r="L8" s="64"/>
    </row>
    <row r="9" spans="1:12" s="53" customFormat="1" ht="21" customHeight="1">
      <c r="A9" s="384"/>
      <c r="B9" s="384"/>
      <c r="C9" s="390"/>
      <c r="D9" s="384"/>
      <c r="E9" s="392"/>
      <c r="F9" s="66" t="s">
        <v>4</v>
      </c>
      <c r="G9" s="67" t="s">
        <v>5</v>
      </c>
      <c r="H9" s="66" t="s">
        <v>4</v>
      </c>
      <c r="I9" s="67" t="s">
        <v>5</v>
      </c>
      <c r="J9" s="388"/>
      <c r="K9" s="384"/>
      <c r="L9" s="64"/>
    </row>
    <row r="10" spans="1:12" s="53" customFormat="1" ht="21" customHeight="1">
      <c r="A10" s="68">
        <v>1</v>
      </c>
      <c r="B10" s="69" t="s">
        <v>401</v>
      </c>
      <c r="C10" s="68"/>
      <c r="D10" s="68" t="s">
        <v>101</v>
      </c>
      <c r="E10" s="70">
        <v>1</v>
      </c>
      <c r="F10" s="71">
        <f>'내역서 갑지'!G29</f>
        <v>29571731</v>
      </c>
      <c r="G10" s="72">
        <f>F10*E10</f>
        <v>29571731</v>
      </c>
      <c r="H10" s="71">
        <f>'내역서 갑지'!I29</f>
        <v>34809799</v>
      </c>
      <c r="I10" s="72">
        <f>H10*E10</f>
        <v>34809799</v>
      </c>
      <c r="J10" s="72">
        <f>G10+I10</f>
        <v>64381530</v>
      </c>
      <c r="K10" s="73"/>
      <c r="L10" s="64"/>
    </row>
    <row r="11" spans="1:12" s="53" customFormat="1" ht="21" customHeight="1">
      <c r="A11" s="68">
        <v>2</v>
      </c>
      <c r="B11" s="68" t="s">
        <v>121</v>
      </c>
      <c r="C11" s="68"/>
      <c r="D11" s="68" t="s">
        <v>122</v>
      </c>
      <c r="E11" s="70">
        <v>10</v>
      </c>
      <c r="F11" s="71"/>
      <c r="G11" s="71"/>
      <c r="H11" s="71"/>
      <c r="I11" s="71"/>
      <c r="J11" s="74">
        <f>TRUNC(J10*0.1,0)</f>
        <v>6438153</v>
      </c>
      <c r="K11" s="74"/>
      <c r="L11" s="64"/>
    </row>
    <row r="12" spans="1:12" s="53" customFormat="1" ht="21" customHeight="1">
      <c r="A12" s="68"/>
      <c r="B12" s="76"/>
      <c r="C12" s="68"/>
      <c r="D12" s="141"/>
      <c r="E12" s="70"/>
      <c r="F12" s="71"/>
      <c r="G12" s="71"/>
      <c r="H12" s="71"/>
      <c r="I12" s="71"/>
      <c r="J12" s="74"/>
      <c r="K12" s="75"/>
      <c r="L12" s="64"/>
    </row>
    <row r="13" spans="1:12" s="53" customFormat="1" ht="21" customHeight="1">
      <c r="A13" s="68"/>
      <c r="B13" s="68"/>
      <c r="C13" s="68"/>
      <c r="D13" s="68"/>
      <c r="E13" s="70"/>
      <c r="F13" s="71"/>
      <c r="G13" s="71"/>
      <c r="H13" s="71"/>
      <c r="I13" s="71"/>
      <c r="J13" s="74"/>
      <c r="K13" s="75"/>
      <c r="L13" s="64"/>
    </row>
    <row r="14" spans="1:12" s="53" customFormat="1" ht="21" customHeight="1">
      <c r="A14" s="68"/>
      <c r="B14" s="68"/>
      <c r="C14" s="68"/>
      <c r="D14" s="68"/>
      <c r="E14" s="70"/>
      <c r="F14" s="71"/>
      <c r="G14" s="71"/>
      <c r="H14" s="71"/>
      <c r="I14" s="71"/>
      <c r="J14" s="72"/>
      <c r="K14" s="75"/>
      <c r="L14" s="64"/>
    </row>
    <row r="15" spans="1:12" s="53" customFormat="1" ht="21" customHeight="1">
      <c r="A15" s="68"/>
      <c r="B15" s="76" t="s">
        <v>97</v>
      </c>
      <c r="C15" s="68"/>
      <c r="D15" s="141"/>
      <c r="E15" s="70"/>
      <c r="F15" s="71"/>
      <c r="G15" s="71"/>
      <c r="H15" s="71"/>
      <c r="I15" s="71"/>
      <c r="J15" s="74">
        <f>SUM(J10:J14)</f>
        <v>70819683</v>
      </c>
      <c r="K15" s="75"/>
      <c r="L15" s="64"/>
    </row>
    <row r="16" spans="1:12" s="53" customFormat="1" ht="21" customHeight="1">
      <c r="A16" s="68"/>
      <c r="B16" s="75"/>
      <c r="C16" s="68"/>
      <c r="D16" s="75"/>
      <c r="E16" s="70"/>
      <c r="F16" s="71"/>
      <c r="G16" s="71"/>
      <c r="H16" s="71"/>
      <c r="I16" s="71"/>
      <c r="J16" s="74"/>
      <c r="K16" s="75"/>
      <c r="L16" s="64"/>
    </row>
    <row r="17" spans="1:13" s="53" customFormat="1" ht="21" customHeight="1">
      <c r="A17" s="68"/>
      <c r="B17" s="187"/>
      <c r="C17" s="68"/>
      <c r="D17" s="75"/>
      <c r="E17" s="70"/>
      <c r="F17" s="71"/>
      <c r="G17" s="71"/>
      <c r="H17" s="71"/>
      <c r="I17" s="71"/>
      <c r="J17" s="74"/>
      <c r="K17" s="75"/>
      <c r="L17" s="64"/>
    </row>
    <row r="18" spans="1:13" s="53" customFormat="1" ht="21" customHeight="1">
      <c r="A18" s="68"/>
      <c r="B18" s="187"/>
      <c r="C18" s="68"/>
      <c r="D18" s="75"/>
      <c r="E18" s="70"/>
      <c r="F18" s="71"/>
      <c r="G18" s="71"/>
      <c r="H18" s="71"/>
      <c r="I18" s="71"/>
      <c r="J18" s="74"/>
      <c r="K18" s="75"/>
      <c r="L18" s="64"/>
    </row>
    <row r="19" spans="1:13" s="53" customFormat="1" ht="21" customHeight="1">
      <c r="A19" s="68"/>
      <c r="B19" s="187"/>
      <c r="C19" s="68"/>
      <c r="D19" s="75"/>
      <c r="E19" s="70"/>
      <c r="F19" s="71"/>
      <c r="G19" s="71"/>
      <c r="H19" s="71"/>
      <c r="I19" s="71"/>
      <c r="J19" s="74"/>
      <c r="K19" s="75"/>
      <c r="L19" s="64"/>
    </row>
    <row r="20" spans="1:13" s="53" customFormat="1" ht="21" customHeight="1">
      <c r="A20" s="68"/>
      <c r="B20" s="187"/>
      <c r="C20" s="68"/>
      <c r="D20" s="75"/>
      <c r="E20" s="70"/>
      <c r="F20" s="71"/>
      <c r="G20" s="71"/>
      <c r="H20" s="71"/>
      <c r="I20" s="71"/>
      <c r="J20" s="74"/>
      <c r="K20" s="75"/>
      <c r="L20" s="64"/>
    </row>
    <row r="21" spans="1:13" s="53" customFormat="1" ht="21" customHeight="1">
      <c r="A21" s="68"/>
      <c r="B21" s="75"/>
      <c r="C21" s="68"/>
      <c r="D21" s="75"/>
      <c r="E21" s="70"/>
      <c r="F21" s="71"/>
      <c r="G21" s="71"/>
      <c r="H21" s="71"/>
      <c r="I21" s="71"/>
      <c r="J21" s="74"/>
      <c r="K21" s="75"/>
      <c r="L21" s="64"/>
    </row>
    <row r="22" spans="1:13" s="53" customFormat="1" ht="21" customHeight="1">
      <c r="A22" s="68"/>
      <c r="B22" s="75"/>
      <c r="C22" s="68"/>
      <c r="D22" s="75"/>
      <c r="E22" s="70"/>
      <c r="F22" s="71"/>
      <c r="G22" s="71"/>
      <c r="H22" s="71"/>
      <c r="I22" s="71"/>
      <c r="J22" s="74"/>
      <c r="K22" s="75"/>
      <c r="L22" s="64"/>
    </row>
    <row r="23" spans="1:13" s="53" customFormat="1" ht="21" customHeight="1">
      <c r="A23" s="68"/>
      <c r="B23" s="75"/>
      <c r="C23" s="68"/>
      <c r="D23" s="75"/>
      <c r="E23" s="70"/>
      <c r="F23" s="71"/>
      <c r="G23" s="71"/>
      <c r="H23" s="71"/>
      <c r="I23" s="71"/>
      <c r="J23" s="74"/>
      <c r="K23" s="75"/>
      <c r="L23" s="64"/>
    </row>
    <row r="24" spans="1:13" s="53" customFormat="1" ht="21" customHeight="1">
      <c r="A24" s="68"/>
      <c r="B24" s="76"/>
      <c r="C24" s="68"/>
      <c r="D24" s="75"/>
      <c r="E24" s="70"/>
      <c r="F24" s="71"/>
      <c r="G24" s="71"/>
      <c r="H24" s="71"/>
      <c r="I24" s="71"/>
      <c r="J24" s="77"/>
      <c r="K24" s="73"/>
      <c r="L24" s="64"/>
    </row>
    <row r="25" spans="1:13" s="53" customFormat="1" ht="21" customHeight="1">
      <c r="A25" s="68"/>
      <c r="B25" s="76"/>
      <c r="C25" s="78"/>
      <c r="D25" s="79"/>
      <c r="E25" s="80"/>
      <c r="F25" s="81"/>
      <c r="G25" s="81"/>
      <c r="H25" s="81"/>
      <c r="I25" s="81"/>
      <c r="J25" s="77"/>
      <c r="K25" s="82"/>
      <c r="L25" s="64"/>
      <c r="M25" s="64"/>
    </row>
  </sheetData>
  <mergeCells count="10">
    <mergeCell ref="K8:K9"/>
    <mergeCell ref="A8:A9"/>
    <mergeCell ref="B8:B9"/>
    <mergeCell ref="C8:C9"/>
    <mergeCell ref="E8:E9"/>
    <mergeCell ref="E1:G2"/>
    <mergeCell ref="D8:D9"/>
    <mergeCell ref="F8:G8"/>
    <mergeCell ref="H8:I8"/>
    <mergeCell ref="J8:J9"/>
  </mergeCells>
  <phoneticPr fontId="31" type="noConversion"/>
  <pageMargins left="0.62992125984251968" right="0" top="0.39370078740157483" bottom="0.27559055118110237" header="0" footer="0.19685039370078741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9"/>
  <sheetViews>
    <sheetView showZeros="0" view="pageBreakPreview" zoomScaleNormal="100" zoomScaleSheetLayoutView="100" workbookViewId="0">
      <selection activeCell="J13" sqref="J13"/>
    </sheetView>
  </sheetViews>
  <sheetFormatPr defaultRowHeight="21" customHeight="1"/>
  <cols>
    <col min="1" max="1" width="4.625" style="83" customWidth="1"/>
    <col min="2" max="2" width="24.375" style="84" customWidth="1"/>
    <col min="3" max="3" width="18.625" style="83" customWidth="1"/>
    <col min="4" max="4" width="6" style="83" customWidth="1"/>
    <col min="5" max="5" width="7" style="85" customWidth="1"/>
    <col min="6" max="10" width="12.625" style="86" customWidth="1"/>
    <col min="11" max="11" width="6.25" style="87" customWidth="1"/>
    <col min="12" max="12" width="12.125" style="88" customWidth="1"/>
    <col min="13" max="13" width="10.5" style="89" bestFit="1" customWidth="1"/>
    <col min="14" max="14" width="9.75" style="89" bestFit="1" customWidth="1"/>
    <col min="15" max="16384" width="9" style="89"/>
  </cols>
  <sheetData>
    <row r="1" spans="1:13" s="83" customFormat="1" ht="18" customHeight="1">
      <c r="A1" s="90"/>
      <c r="B1" s="91" t="s">
        <v>9</v>
      </c>
      <c r="C1" s="92"/>
      <c r="D1" s="93"/>
      <c r="E1" s="94"/>
      <c r="F1" s="95"/>
      <c r="G1" s="95"/>
      <c r="H1" s="95"/>
      <c r="I1" s="95"/>
      <c r="J1" s="96"/>
      <c r="K1" s="97"/>
      <c r="L1" s="98"/>
    </row>
    <row r="2" spans="1:13" s="83" customFormat="1" ht="18" customHeight="1">
      <c r="A2" s="383" t="s">
        <v>22</v>
      </c>
      <c r="B2" s="383" t="s">
        <v>10</v>
      </c>
      <c r="C2" s="383" t="s">
        <v>0</v>
      </c>
      <c r="D2" s="383" t="s">
        <v>1</v>
      </c>
      <c r="E2" s="391" t="s">
        <v>7</v>
      </c>
      <c r="F2" s="385" t="s">
        <v>12</v>
      </c>
      <c r="G2" s="386"/>
      <c r="H2" s="385" t="s">
        <v>8</v>
      </c>
      <c r="I2" s="386"/>
      <c r="J2" s="387" t="s">
        <v>2</v>
      </c>
      <c r="K2" s="383" t="s">
        <v>3</v>
      </c>
      <c r="L2" s="98"/>
    </row>
    <row r="3" spans="1:13" s="83" customFormat="1" ht="18" customHeight="1">
      <c r="A3" s="384"/>
      <c r="B3" s="384"/>
      <c r="C3" s="384"/>
      <c r="D3" s="384"/>
      <c r="E3" s="392"/>
      <c r="F3" s="66" t="s">
        <v>4</v>
      </c>
      <c r="G3" s="67" t="s">
        <v>5</v>
      </c>
      <c r="H3" s="66" t="s">
        <v>4</v>
      </c>
      <c r="I3" s="67" t="s">
        <v>5</v>
      </c>
      <c r="J3" s="388"/>
      <c r="K3" s="384"/>
      <c r="L3" s="98"/>
      <c r="M3" s="99"/>
    </row>
    <row r="4" spans="1:13" s="83" customFormat="1" ht="18" customHeight="1">
      <c r="A4" s="12">
        <v>1</v>
      </c>
      <c r="B4" s="100" t="s">
        <v>301</v>
      </c>
      <c r="C4" s="101"/>
      <c r="D4" s="102" t="s">
        <v>185</v>
      </c>
      <c r="E4" s="101">
        <v>1</v>
      </c>
      <c r="F4" s="103">
        <f>내역서!H29</f>
        <v>3306530</v>
      </c>
      <c r="G4" s="104">
        <f t="shared" ref="G4:G15" si="0">E4*F4</f>
        <v>3306530</v>
      </c>
      <c r="H4" s="103">
        <f>내역서!J29</f>
        <v>2408303</v>
      </c>
      <c r="I4" s="104">
        <f t="shared" ref="I4:I12" si="1">E4*H4</f>
        <v>2408303</v>
      </c>
      <c r="J4" s="104">
        <f t="shared" ref="J4:J12" si="2">G4+I4</f>
        <v>5714833</v>
      </c>
      <c r="K4" s="38"/>
      <c r="L4" s="105"/>
    </row>
    <row r="5" spans="1:13" s="83" customFormat="1" ht="18" customHeight="1">
      <c r="A5" s="12">
        <v>2</v>
      </c>
      <c r="B5" s="100" t="s">
        <v>303</v>
      </c>
      <c r="C5" s="101"/>
      <c r="D5" s="102" t="s">
        <v>185</v>
      </c>
      <c r="E5" s="101">
        <v>1</v>
      </c>
      <c r="F5" s="103">
        <f>내역서!H58</f>
        <v>3621970</v>
      </c>
      <c r="G5" s="104">
        <f t="shared" si="0"/>
        <v>3621970</v>
      </c>
      <c r="H5" s="103">
        <f>내역서!J58</f>
        <v>2370436</v>
      </c>
      <c r="I5" s="104">
        <f t="shared" si="1"/>
        <v>2370436</v>
      </c>
      <c r="J5" s="104">
        <f t="shared" si="2"/>
        <v>5992406</v>
      </c>
      <c r="K5" s="38"/>
      <c r="L5" s="105"/>
    </row>
    <row r="6" spans="1:13" s="83" customFormat="1" ht="18" customHeight="1">
      <c r="A6" s="12">
        <v>3</v>
      </c>
      <c r="B6" s="100" t="s">
        <v>305</v>
      </c>
      <c r="C6" s="101"/>
      <c r="D6" s="102" t="s">
        <v>185</v>
      </c>
      <c r="E6" s="101">
        <v>1</v>
      </c>
      <c r="F6" s="103">
        <f>내역서!H87</f>
        <v>3506530</v>
      </c>
      <c r="G6" s="104">
        <f t="shared" si="0"/>
        <v>3506530</v>
      </c>
      <c r="H6" s="103">
        <f>내역서!J87</f>
        <v>2927604</v>
      </c>
      <c r="I6" s="104">
        <f t="shared" si="1"/>
        <v>2927604</v>
      </c>
      <c r="J6" s="104">
        <f t="shared" si="2"/>
        <v>6434134</v>
      </c>
      <c r="K6" s="38"/>
      <c r="L6" s="105"/>
    </row>
    <row r="7" spans="1:13" s="83" customFormat="1" ht="18" customHeight="1">
      <c r="A7" s="12">
        <v>4</v>
      </c>
      <c r="B7" s="100" t="s">
        <v>307</v>
      </c>
      <c r="C7" s="101"/>
      <c r="D7" s="102" t="s">
        <v>185</v>
      </c>
      <c r="E7" s="101">
        <v>1</v>
      </c>
      <c r="F7" s="103">
        <f>내역서!H116</f>
        <v>3506530</v>
      </c>
      <c r="G7" s="104">
        <f t="shared" ref="G7" si="3">E7*F7</f>
        <v>3506530</v>
      </c>
      <c r="H7" s="103">
        <f>내역서!J116</f>
        <v>3242133</v>
      </c>
      <c r="I7" s="104">
        <f t="shared" ref="I7" si="4">E7*H7</f>
        <v>3242133</v>
      </c>
      <c r="J7" s="104">
        <f t="shared" si="2"/>
        <v>6748663</v>
      </c>
      <c r="K7" s="38"/>
      <c r="L7" s="105"/>
    </row>
    <row r="8" spans="1:13" s="83" customFormat="1" ht="18" customHeight="1">
      <c r="A8" s="12">
        <v>5</v>
      </c>
      <c r="B8" s="100" t="s">
        <v>309</v>
      </c>
      <c r="C8" s="101"/>
      <c r="D8" s="102" t="s">
        <v>185</v>
      </c>
      <c r="E8" s="101">
        <v>1</v>
      </c>
      <c r="F8" s="103">
        <f>내역서!H145</f>
        <v>3506530</v>
      </c>
      <c r="G8" s="104">
        <f t="shared" ref="G8" si="5">E8*F8</f>
        <v>3506530</v>
      </c>
      <c r="H8" s="103">
        <f>내역서!J145</f>
        <v>3242133</v>
      </c>
      <c r="I8" s="104">
        <f t="shared" ref="I8" si="6">E8*H8</f>
        <v>3242133</v>
      </c>
      <c r="J8" s="104">
        <f t="shared" si="2"/>
        <v>6748663</v>
      </c>
      <c r="K8" s="38"/>
      <c r="L8" s="105"/>
    </row>
    <row r="9" spans="1:13" s="83" customFormat="1" ht="18" customHeight="1">
      <c r="A9" s="12">
        <v>6</v>
      </c>
      <c r="B9" s="100" t="s">
        <v>311</v>
      </c>
      <c r="C9" s="101"/>
      <c r="D9" s="102" t="s">
        <v>185</v>
      </c>
      <c r="E9" s="101">
        <v>1</v>
      </c>
      <c r="F9" s="103">
        <f>내역서!H174</f>
        <v>3306530</v>
      </c>
      <c r="G9" s="104">
        <f t="shared" si="0"/>
        <v>3306530</v>
      </c>
      <c r="H9" s="103">
        <f>내역서!J174</f>
        <v>1803439</v>
      </c>
      <c r="I9" s="104">
        <f t="shared" si="1"/>
        <v>1803439</v>
      </c>
      <c r="J9" s="104">
        <f t="shared" si="2"/>
        <v>5109969</v>
      </c>
      <c r="K9" s="38"/>
      <c r="L9" s="105"/>
    </row>
    <row r="10" spans="1:13" s="83" customFormat="1" ht="18" customHeight="1">
      <c r="A10" s="12">
        <v>7</v>
      </c>
      <c r="B10" s="100" t="s">
        <v>313</v>
      </c>
      <c r="C10" s="101"/>
      <c r="D10" s="102" t="s">
        <v>185</v>
      </c>
      <c r="E10" s="101">
        <v>1</v>
      </c>
      <c r="F10" s="103">
        <f>내역서!H203</f>
        <v>3514090</v>
      </c>
      <c r="G10" s="104">
        <f t="shared" si="0"/>
        <v>3514090</v>
      </c>
      <c r="H10" s="103">
        <f>내역서!J203</f>
        <v>3311881</v>
      </c>
      <c r="I10" s="104">
        <f t="shared" si="1"/>
        <v>3311881</v>
      </c>
      <c r="J10" s="104">
        <f t="shared" si="2"/>
        <v>6825971</v>
      </c>
      <c r="K10" s="38"/>
      <c r="L10" s="105"/>
    </row>
    <row r="11" spans="1:13" s="83" customFormat="1" ht="18" customHeight="1">
      <c r="A11" s="12">
        <v>8</v>
      </c>
      <c r="B11" s="100" t="s">
        <v>315</v>
      </c>
      <c r="C11" s="101"/>
      <c r="D11" s="102" t="s">
        <v>185</v>
      </c>
      <c r="E11" s="101">
        <v>1</v>
      </c>
      <c r="F11" s="103">
        <f>내역서!H232</f>
        <v>1797811</v>
      </c>
      <c r="G11" s="104">
        <f t="shared" si="0"/>
        <v>1797811</v>
      </c>
      <c r="H11" s="103">
        <f>내역서!J232</f>
        <v>3192408</v>
      </c>
      <c r="I11" s="104">
        <f t="shared" si="1"/>
        <v>3192408</v>
      </c>
      <c r="J11" s="104">
        <f t="shared" si="2"/>
        <v>4990219</v>
      </c>
      <c r="K11" s="38"/>
      <c r="L11" s="105"/>
    </row>
    <row r="12" spans="1:13" s="83" customFormat="1" ht="18" customHeight="1">
      <c r="A12" s="352">
        <v>9</v>
      </c>
      <c r="B12" s="148" t="s">
        <v>316</v>
      </c>
      <c r="C12" s="353"/>
      <c r="D12" s="78" t="s">
        <v>185</v>
      </c>
      <c r="E12" s="353">
        <v>1</v>
      </c>
      <c r="F12" s="103">
        <f>내역서!H261</f>
        <v>1459470</v>
      </c>
      <c r="G12" s="104">
        <f t="shared" si="0"/>
        <v>1459470</v>
      </c>
      <c r="H12" s="103">
        <f>내역서!J261</f>
        <v>2400637</v>
      </c>
      <c r="I12" s="104">
        <f t="shared" si="1"/>
        <v>2400637</v>
      </c>
      <c r="J12" s="104">
        <f t="shared" si="2"/>
        <v>3860107</v>
      </c>
      <c r="K12" s="38"/>
      <c r="L12" s="105"/>
    </row>
    <row r="13" spans="1:13" s="83" customFormat="1" ht="18" customHeight="1">
      <c r="A13" s="12">
        <v>10</v>
      </c>
      <c r="B13" s="100" t="s">
        <v>400</v>
      </c>
      <c r="C13" s="101"/>
      <c r="D13" s="78" t="s">
        <v>102</v>
      </c>
      <c r="E13" s="353">
        <v>1</v>
      </c>
      <c r="F13" s="103">
        <f>내역서!H290</f>
        <v>993820</v>
      </c>
      <c r="G13" s="104">
        <f t="shared" si="0"/>
        <v>993820</v>
      </c>
      <c r="H13" s="103">
        <f>내역서!J290</f>
        <v>3746805</v>
      </c>
      <c r="I13" s="104">
        <f t="shared" ref="I13:I15" si="7">E13*H13</f>
        <v>3746805</v>
      </c>
      <c r="J13" s="104">
        <f t="shared" ref="J13:J15" si="8">G13+I13</f>
        <v>4740625</v>
      </c>
      <c r="K13" s="38"/>
      <c r="L13" s="105"/>
    </row>
    <row r="14" spans="1:13" s="83" customFormat="1" ht="18" customHeight="1">
      <c r="A14" s="12">
        <v>11</v>
      </c>
      <c r="B14" s="100" t="s">
        <v>399</v>
      </c>
      <c r="C14" s="101"/>
      <c r="D14" s="78" t="s">
        <v>102</v>
      </c>
      <c r="E14" s="353">
        <v>1</v>
      </c>
      <c r="F14" s="103">
        <f>내역서!H319</f>
        <v>55000</v>
      </c>
      <c r="G14" s="104">
        <f t="shared" si="0"/>
        <v>55000</v>
      </c>
      <c r="H14" s="103">
        <f>내역서!J319</f>
        <v>1065324</v>
      </c>
      <c r="I14" s="104">
        <f t="shared" si="7"/>
        <v>1065324</v>
      </c>
      <c r="J14" s="104">
        <f t="shared" si="8"/>
        <v>1120324</v>
      </c>
      <c r="K14" s="38"/>
      <c r="L14" s="105"/>
    </row>
    <row r="15" spans="1:13" s="83" customFormat="1" ht="18" customHeight="1">
      <c r="A15" s="12">
        <v>12</v>
      </c>
      <c r="B15" s="100" t="s">
        <v>398</v>
      </c>
      <c r="C15" s="101"/>
      <c r="D15" s="78" t="s">
        <v>102</v>
      </c>
      <c r="E15" s="353">
        <v>1</v>
      </c>
      <c r="F15" s="103">
        <f>내역서!H348</f>
        <v>996920</v>
      </c>
      <c r="G15" s="104">
        <f t="shared" si="0"/>
        <v>996920</v>
      </c>
      <c r="H15" s="103">
        <f>내역서!J348</f>
        <v>5098696</v>
      </c>
      <c r="I15" s="104">
        <f t="shared" si="7"/>
        <v>5098696</v>
      </c>
      <c r="J15" s="104">
        <f t="shared" si="8"/>
        <v>6095616</v>
      </c>
      <c r="K15" s="38"/>
      <c r="L15" s="105"/>
    </row>
    <row r="16" spans="1:13" s="83" customFormat="1" ht="18" customHeight="1">
      <c r="A16" s="12"/>
      <c r="B16" s="100"/>
      <c r="C16" s="101"/>
      <c r="D16" s="102"/>
      <c r="E16" s="101"/>
      <c r="F16" s="103"/>
      <c r="G16" s="104"/>
      <c r="H16" s="103"/>
      <c r="I16" s="104"/>
      <c r="J16" s="104"/>
      <c r="K16" s="38"/>
      <c r="L16" s="105"/>
    </row>
    <row r="17" spans="1:12" s="83" customFormat="1" ht="18" customHeight="1">
      <c r="A17" s="12"/>
      <c r="B17" s="100"/>
      <c r="C17" s="101"/>
      <c r="D17" s="102"/>
      <c r="E17" s="101"/>
      <c r="F17" s="103"/>
      <c r="G17" s="104"/>
      <c r="H17" s="103"/>
      <c r="I17" s="104"/>
      <c r="J17" s="104"/>
      <c r="K17" s="38"/>
      <c r="L17" s="105"/>
    </row>
    <row r="18" spans="1:12" s="83" customFormat="1" ht="18" customHeight="1">
      <c r="A18" s="12"/>
      <c r="B18" s="100"/>
      <c r="C18" s="101"/>
      <c r="D18" s="102"/>
      <c r="E18" s="101"/>
      <c r="F18" s="103"/>
      <c r="G18" s="104"/>
      <c r="H18" s="103"/>
      <c r="I18" s="104"/>
      <c r="J18" s="104"/>
      <c r="K18" s="38"/>
      <c r="L18" s="105"/>
    </row>
    <row r="19" spans="1:12" s="83" customFormat="1" ht="18" customHeight="1">
      <c r="A19" s="12"/>
      <c r="B19" s="100"/>
      <c r="C19" s="101"/>
      <c r="D19" s="102"/>
      <c r="E19" s="101"/>
      <c r="F19" s="103"/>
      <c r="G19" s="104"/>
      <c r="H19" s="103"/>
      <c r="I19" s="104"/>
      <c r="J19" s="104"/>
      <c r="K19" s="38"/>
      <c r="L19" s="105"/>
    </row>
    <row r="20" spans="1:12" s="83" customFormat="1" ht="18" customHeight="1">
      <c r="A20" s="12"/>
      <c r="B20" s="100"/>
      <c r="C20" s="101"/>
      <c r="D20" s="102"/>
      <c r="E20" s="101"/>
      <c r="F20" s="103"/>
      <c r="G20" s="104"/>
      <c r="H20" s="103"/>
      <c r="I20" s="104"/>
      <c r="J20" s="104"/>
      <c r="K20" s="38"/>
      <c r="L20" s="105"/>
    </row>
    <row r="21" spans="1:12" s="83" customFormat="1" ht="18" customHeight="1">
      <c r="A21" s="12"/>
      <c r="B21" s="100"/>
      <c r="C21" s="101"/>
      <c r="D21" s="102"/>
      <c r="E21" s="101"/>
      <c r="F21" s="103"/>
      <c r="G21" s="104"/>
      <c r="H21" s="103"/>
      <c r="I21" s="104"/>
      <c r="J21" s="104"/>
      <c r="K21" s="38"/>
      <c r="L21" s="105"/>
    </row>
    <row r="22" spans="1:12" s="83" customFormat="1" ht="18" customHeight="1">
      <c r="A22" s="12"/>
      <c r="B22" s="100"/>
      <c r="C22" s="101"/>
      <c r="D22" s="102"/>
      <c r="E22" s="101"/>
      <c r="F22" s="103"/>
      <c r="G22" s="104"/>
      <c r="H22" s="103"/>
      <c r="I22" s="104"/>
      <c r="J22" s="104"/>
      <c r="K22" s="38"/>
      <c r="L22" s="105"/>
    </row>
    <row r="23" spans="1:12" s="83" customFormat="1" ht="18" customHeight="1">
      <c r="A23" s="12"/>
      <c r="B23" s="100"/>
      <c r="C23" s="101"/>
      <c r="D23" s="102"/>
      <c r="E23" s="101"/>
      <c r="F23" s="103"/>
      <c r="G23" s="104"/>
      <c r="H23" s="103"/>
      <c r="I23" s="104"/>
      <c r="J23" s="104"/>
      <c r="K23" s="38"/>
      <c r="L23" s="105"/>
    </row>
    <row r="24" spans="1:12" s="83" customFormat="1" ht="18" customHeight="1">
      <c r="A24" s="12"/>
      <c r="B24" s="100"/>
      <c r="C24" s="101"/>
      <c r="D24" s="102"/>
      <c r="E24" s="101"/>
      <c r="F24" s="103"/>
      <c r="G24" s="104"/>
      <c r="H24" s="103"/>
      <c r="I24" s="104"/>
      <c r="J24" s="104"/>
      <c r="K24" s="38"/>
      <c r="L24" s="105"/>
    </row>
    <row r="25" spans="1:12" s="83" customFormat="1" ht="18" customHeight="1">
      <c r="A25" s="12"/>
      <c r="B25" s="100"/>
      <c r="C25" s="101"/>
      <c r="D25" s="102"/>
      <c r="E25" s="101"/>
      <c r="F25" s="103"/>
      <c r="G25" s="104"/>
      <c r="H25" s="103"/>
      <c r="I25" s="104"/>
      <c r="J25" s="104"/>
      <c r="K25" s="38"/>
      <c r="L25" s="105"/>
    </row>
    <row r="26" spans="1:12" s="83" customFormat="1" ht="18" customHeight="1">
      <c r="A26" s="12"/>
      <c r="B26" s="100"/>
      <c r="C26" s="101"/>
      <c r="D26" s="102"/>
      <c r="E26" s="101"/>
      <c r="F26" s="103"/>
      <c r="G26" s="104"/>
      <c r="H26" s="103"/>
      <c r="I26" s="104"/>
      <c r="J26" s="104"/>
      <c r="K26" s="38"/>
      <c r="L26" s="105"/>
    </row>
    <row r="27" spans="1:12" s="83" customFormat="1" ht="18" customHeight="1">
      <c r="A27" s="12"/>
      <c r="B27" s="100"/>
      <c r="C27" s="101"/>
      <c r="D27" s="102"/>
      <c r="E27" s="101"/>
      <c r="F27" s="103"/>
      <c r="G27" s="104"/>
      <c r="H27" s="103"/>
      <c r="I27" s="104"/>
      <c r="J27" s="104"/>
      <c r="K27" s="38"/>
      <c r="L27" s="105"/>
    </row>
    <row r="28" spans="1:12" s="83" customFormat="1" ht="18" customHeight="1">
      <c r="A28" s="12"/>
      <c r="B28" s="100"/>
      <c r="C28" s="101"/>
      <c r="D28" s="102"/>
      <c r="E28" s="101"/>
      <c r="F28" s="103"/>
      <c r="G28" s="104"/>
      <c r="H28" s="103"/>
      <c r="I28" s="104"/>
      <c r="J28" s="104"/>
      <c r="K28" s="38"/>
      <c r="L28" s="105"/>
    </row>
    <row r="29" spans="1:12" s="114" customFormat="1" ht="18" customHeight="1">
      <c r="A29" s="106"/>
      <c r="B29" s="107" t="s">
        <v>6</v>
      </c>
      <c r="C29" s="108"/>
      <c r="D29" s="106"/>
      <c r="E29" s="109"/>
      <c r="F29" s="110"/>
      <c r="G29" s="111">
        <f>SUM(G4:G28)</f>
        <v>29571731</v>
      </c>
      <c r="H29" s="110"/>
      <c r="I29" s="111">
        <f>SUM(I4:I28)</f>
        <v>34809799</v>
      </c>
      <c r="J29" s="111">
        <f>SUM(J4:J28)</f>
        <v>64381530</v>
      </c>
      <c r="K29" s="112"/>
      <c r="L29" s="113"/>
    </row>
  </sheetData>
  <mergeCells count="9">
    <mergeCell ref="F2:G2"/>
    <mergeCell ref="H2:I2"/>
    <mergeCell ref="J2:J3"/>
    <mergeCell ref="K2:K3"/>
    <mergeCell ref="A2:A3"/>
    <mergeCell ref="B2:B3"/>
    <mergeCell ref="C2:C3"/>
    <mergeCell ref="D2:D3"/>
    <mergeCell ref="E2:E3"/>
  </mergeCells>
  <phoneticPr fontId="31" type="noConversion"/>
  <pageMargins left="0.62992125984251968" right="0" top="0.39370078740157483" bottom="0.27559055118110237" header="0" footer="0.19685039370078741"/>
  <pageSetup paperSize="9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48"/>
  <sheetViews>
    <sheetView showZeros="0" view="pageBreakPreview" topLeftCell="A136" zoomScaleNormal="85" zoomScaleSheetLayoutView="100" workbookViewId="0">
      <selection activeCell="C245" sqref="C245"/>
    </sheetView>
  </sheetViews>
  <sheetFormatPr defaultRowHeight="21" customHeight="1"/>
  <cols>
    <col min="1" max="1" width="5" style="65" customWidth="1"/>
    <col min="2" max="2" width="25.625" style="65" customWidth="1"/>
    <col min="3" max="3" width="19.625" style="65" customWidth="1"/>
    <col min="4" max="4" width="19.625" style="65" hidden="1" customWidth="1"/>
    <col min="5" max="5" width="5.875" style="65" customWidth="1"/>
    <col min="6" max="6" width="6.75" style="119" customWidth="1"/>
    <col min="7" max="7" width="10.375" style="188" customWidth="1"/>
    <col min="8" max="8" width="11.125" style="188" customWidth="1"/>
    <col min="9" max="9" width="10.625" style="188" customWidth="1"/>
    <col min="10" max="10" width="11.25" style="188" customWidth="1"/>
    <col min="11" max="11" width="12.875" style="188" customWidth="1"/>
    <col min="12" max="12" width="7.625" style="65" customWidth="1"/>
    <col min="13" max="16384" width="9" style="65"/>
  </cols>
  <sheetData>
    <row r="1" spans="1:15" s="142" customFormat="1" ht="18" customHeight="1">
      <c r="A1" s="142" t="str">
        <f>'산출(기계)'!A1</f>
        <v>NO.1) PLACARD BATTEN</v>
      </c>
      <c r="F1" s="175"/>
      <c r="G1" s="176"/>
      <c r="H1" s="176"/>
      <c r="I1" s="176"/>
      <c r="J1" s="176"/>
      <c r="K1" s="177"/>
    </row>
    <row r="2" spans="1:15" ht="18" customHeight="1">
      <c r="A2" s="395" t="s">
        <v>33</v>
      </c>
      <c r="B2" s="395" t="s">
        <v>88</v>
      </c>
      <c r="C2" s="395" t="s">
        <v>87</v>
      </c>
      <c r="D2" s="343"/>
      <c r="E2" s="395" t="s">
        <v>36</v>
      </c>
      <c r="F2" s="395" t="s">
        <v>7</v>
      </c>
      <c r="G2" s="393" t="s">
        <v>90</v>
      </c>
      <c r="H2" s="394"/>
      <c r="I2" s="393" t="s">
        <v>85</v>
      </c>
      <c r="J2" s="394"/>
      <c r="K2" s="395" t="s">
        <v>84</v>
      </c>
      <c r="L2" s="395" t="s">
        <v>39</v>
      </c>
    </row>
    <row r="3" spans="1:15" ht="18" customHeight="1">
      <c r="A3" s="396"/>
      <c r="B3" s="396"/>
      <c r="C3" s="396"/>
      <c r="D3" s="344"/>
      <c r="E3" s="396"/>
      <c r="F3" s="396"/>
      <c r="G3" s="174" t="s">
        <v>82</v>
      </c>
      <c r="H3" s="174" t="s">
        <v>80</v>
      </c>
      <c r="I3" s="174" t="s">
        <v>81</v>
      </c>
      <c r="J3" s="174" t="s">
        <v>80</v>
      </c>
      <c r="K3" s="396"/>
      <c r="L3" s="396"/>
    </row>
    <row r="4" spans="1:15" ht="18" customHeight="1">
      <c r="A4" s="158"/>
      <c r="B4" s="158" t="str">
        <f>'산출(기계)'!B4</f>
        <v>교체설치</v>
      </c>
      <c r="C4" s="68"/>
      <c r="D4" s="68"/>
      <c r="E4" s="68"/>
      <c r="F4" s="68"/>
      <c r="G4" s="178"/>
      <c r="H4" s="178"/>
      <c r="I4" s="178"/>
      <c r="J4" s="178"/>
      <c r="K4" s="208"/>
      <c r="L4" s="68"/>
    </row>
    <row r="5" spans="1:15" ht="18" customHeight="1">
      <c r="A5" s="179">
        <f>'산출(기계)'!A5</f>
        <v>1</v>
      </c>
      <c r="B5" s="141" t="str">
        <f>'산출(기계)'!B5</f>
        <v>DRIVE M/C ASS'Y</v>
      </c>
      <c r="C5" s="140" t="str">
        <f>'산출(기계)'!C5</f>
        <v>1.5KWx4P</v>
      </c>
      <c r="D5" s="141" t="str">
        <f>B5&amp;C5</f>
        <v>DRIVE M/C ASS'Y1.5KWx4P</v>
      </c>
      <c r="E5" s="68" t="str">
        <f>'산출(기계)'!D5</f>
        <v>SET</v>
      </c>
      <c r="F5" s="68">
        <f>'산출(기계)'!H5</f>
        <v>1</v>
      </c>
      <c r="G5" s="180">
        <f>VLOOKUP(D:D,적용!A:B,2,FALSE)</f>
        <v>2800000</v>
      </c>
      <c r="H5" s="181">
        <f>INT(G5*F5)</f>
        <v>2800000</v>
      </c>
      <c r="I5" s="181"/>
      <c r="J5" s="181">
        <f>INT(I5*F5)</f>
        <v>0</v>
      </c>
      <c r="K5" s="181">
        <f t="shared" ref="K5:K15" si="0">H5+J5</f>
        <v>2800000</v>
      </c>
      <c r="L5" s="182"/>
      <c r="O5" s="183"/>
    </row>
    <row r="6" spans="1:15" ht="18" customHeight="1">
      <c r="A6" s="179">
        <f>'산출(기계)'!A6</f>
        <v>2</v>
      </c>
      <c r="B6" s="141" t="str">
        <f>'산출(기계)'!B6</f>
        <v>V-SHEAVE</v>
      </c>
      <c r="C6" s="140" t="str">
        <f>'산출(기계)'!C6</f>
        <v>Ø200x3P</v>
      </c>
      <c r="D6" s="141" t="str">
        <f t="shared" ref="D6:D14" si="1">B6&amp;C6</f>
        <v>V-SHEAVEØ200x3P</v>
      </c>
      <c r="E6" s="68" t="str">
        <f>'산출(기계)'!D6</f>
        <v>SET</v>
      </c>
      <c r="F6" s="68">
        <f>'산출(기계)'!H6</f>
        <v>1</v>
      </c>
      <c r="G6" s="180">
        <f>VLOOKUP(D:D,적용!A:B,2,FALSE)</f>
        <v>100000</v>
      </c>
      <c r="H6" s="181">
        <f t="shared" ref="H6:H15" si="2">INT(G6*F6)</f>
        <v>100000</v>
      </c>
      <c r="I6" s="181"/>
      <c r="J6" s="181">
        <f t="shared" ref="J6:J15" si="3">INT(I6*F6)</f>
        <v>0</v>
      </c>
      <c r="K6" s="181">
        <f t="shared" si="0"/>
        <v>100000</v>
      </c>
      <c r="L6" s="182"/>
      <c r="O6" s="183"/>
    </row>
    <row r="7" spans="1:15" ht="18" customHeight="1">
      <c r="A7" s="179">
        <f>'산출(기계)'!A7</f>
        <v>3</v>
      </c>
      <c r="B7" s="141" t="str">
        <f>'산출(기계)'!B7</f>
        <v>V-SHEAVE</v>
      </c>
      <c r="C7" s="140" t="str">
        <f>'산출(기계)'!C7</f>
        <v>Ø200x1P</v>
      </c>
      <c r="D7" s="141" t="str">
        <f t="shared" si="1"/>
        <v>V-SHEAVEØ200x1P</v>
      </c>
      <c r="E7" s="68" t="str">
        <f>'산출(기계)'!D7</f>
        <v>SET</v>
      </c>
      <c r="F7" s="68">
        <f>'산출(기계)'!H7</f>
        <v>3</v>
      </c>
      <c r="G7" s="180">
        <f>VLOOKUP(D:D,적용!A:B,2,FALSE)</f>
        <v>70000</v>
      </c>
      <c r="H7" s="181">
        <f t="shared" si="2"/>
        <v>210000</v>
      </c>
      <c r="I7" s="181"/>
      <c r="J7" s="181">
        <f t="shared" si="3"/>
        <v>0</v>
      </c>
      <c r="K7" s="181">
        <f t="shared" si="0"/>
        <v>210000</v>
      </c>
      <c r="L7" s="209"/>
      <c r="O7" s="183"/>
    </row>
    <row r="8" spans="1:15" ht="18" customHeight="1">
      <c r="A8" s="179">
        <f>'산출(기계)'!A8</f>
        <v>4</v>
      </c>
      <c r="B8" s="141" t="str">
        <f>'산출(기계)'!B8</f>
        <v>WIRE ROPE</v>
      </c>
      <c r="C8" s="140" t="str">
        <f>'산출(기계)'!C8</f>
        <v>Ø6</v>
      </c>
      <c r="D8" s="141" t="str">
        <f t="shared" si="1"/>
        <v>WIRE ROPEØ6</v>
      </c>
      <c r="E8" s="68" t="str">
        <f>'산출(기계)'!D8</f>
        <v>M</v>
      </c>
      <c r="F8" s="68">
        <f>'산출(기계)'!H8</f>
        <v>58</v>
      </c>
      <c r="G8" s="180">
        <f>VLOOKUP(D:D,적용!A:B,2,FALSE)</f>
        <v>1260</v>
      </c>
      <c r="H8" s="181">
        <f t="shared" si="2"/>
        <v>73080</v>
      </c>
      <c r="I8" s="181"/>
      <c r="J8" s="181">
        <f t="shared" si="3"/>
        <v>0</v>
      </c>
      <c r="K8" s="181">
        <f t="shared" si="0"/>
        <v>73080</v>
      </c>
      <c r="L8" s="209"/>
      <c r="O8" s="183"/>
    </row>
    <row r="9" spans="1:15" s="53" customFormat="1" ht="18" customHeight="1">
      <c r="A9" s="179">
        <f>'산출(기계)'!A9</f>
        <v>5</v>
      </c>
      <c r="B9" s="141" t="str">
        <f>'산출(기계)'!B9</f>
        <v>HANGER ASS'Y</v>
      </c>
      <c r="C9" s="140"/>
      <c r="D9" s="141" t="str">
        <f t="shared" si="1"/>
        <v>HANGER ASS'Y</v>
      </c>
      <c r="E9" s="68" t="str">
        <f>'산출(기계)'!D9</f>
        <v>SET</v>
      </c>
      <c r="F9" s="68">
        <f>'산출(기계)'!H9</f>
        <v>4</v>
      </c>
      <c r="G9" s="180">
        <f>VLOOKUP(D:D,적용!A:B,2,FALSE)</f>
        <v>32000</v>
      </c>
      <c r="H9" s="181">
        <f t="shared" si="2"/>
        <v>128000</v>
      </c>
      <c r="I9" s="172"/>
      <c r="J9" s="181">
        <f t="shared" si="3"/>
        <v>0</v>
      </c>
      <c r="K9" s="181">
        <f t="shared" si="0"/>
        <v>128000</v>
      </c>
      <c r="L9" s="173"/>
      <c r="N9" s="56"/>
    </row>
    <row r="10" spans="1:15" s="53" customFormat="1" ht="18" customHeight="1">
      <c r="A10" s="179">
        <f>'산출(기계)'!A10</f>
        <v>6</v>
      </c>
      <c r="B10" s="141" t="str">
        <f>'산출(기계)'!B10</f>
        <v>설치인건비</v>
      </c>
      <c r="C10" s="140" t="str">
        <f>'산출(기계)'!C10</f>
        <v>일반기기설치</v>
      </c>
      <c r="D10" s="141" t="str">
        <f t="shared" si="1"/>
        <v>설치인건비일반기기설치</v>
      </c>
      <c r="E10" s="68" t="str">
        <f>'산출(기계)'!D10</f>
        <v>TON</v>
      </c>
      <c r="F10" s="68">
        <f>'산출(기계)'!H10</f>
        <v>0.29286000000000001</v>
      </c>
      <c r="G10" s="180"/>
      <c r="H10" s="181">
        <f t="shared" si="2"/>
        <v>0</v>
      </c>
      <c r="I10" s="172">
        <f>일위대가!$K$16</f>
        <v>3150334</v>
      </c>
      <c r="J10" s="181">
        <f t="shared" ref="J10" si="4">INT(I10*F10)</f>
        <v>922606</v>
      </c>
      <c r="K10" s="181">
        <f t="shared" ref="K10" si="5">H10+J10</f>
        <v>922606</v>
      </c>
      <c r="L10" s="173" t="s">
        <v>192</v>
      </c>
      <c r="N10" s="56"/>
    </row>
    <row r="11" spans="1:15" s="53" customFormat="1" ht="18" customHeight="1">
      <c r="A11" s="179">
        <f>'산출(기계)'!A11</f>
        <v>0</v>
      </c>
      <c r="B11" s="158" t="str">
        <f>'산출(기계)'!B11</f>
        <v>철거</v>
      </c>
      <c r="C11" s="140">
        <f>'산출(기계)'!C11</f>
        <v>0</v>
      </c>
      <c r="D11" s="141" t="str">
        <f t="shared" si="1"/>
        <v>철거0</v>
      </c>
      <c r="E11" s="68">
        <f>'산출(기계)'!D11</f>
        <v>0</v>
      </c>
      <c r="F11" s="68">
        <f>'산출(기계)'!H11</f>
        <v>0</v>
      </c>
      <c r="G11" s="180"/>
      <c r="H11" s="181">
        <f t="shared" si="2"/>
        <v>0</v>
      </c>
      <c r="I11" s="172"/>
      <c r="J11" s="181"/>
      <c r="K11" s="181"/>
      <c r="L11" s="173"/>
      <c r="N11" s="56"/>
    </row>
    <row r="12" spans="1:15" s="53" customFormat="1" ht="18" customHeight="1">
      <c r="A12" s="179">
        <f>'산출(기계)'!A12</f>
        <v>1</v>
      </c>
      <c r="B12" s="141" t="str">
        <f>'산출(기계)'!B12</f>
        <v>철거인건비</v>
      </c>
      <c r="C12" s="140" t="str">
        <f>'산출(기계)'!C12</f>
        <v>재사용을 고려안할경우</v>
      </c>
      <c r="D12" s="141" t="str">
        <f t="shared" si="1"/>
        <v>철거인건비재사용을 고려안할경우</v>
      </c>
      <c r="E12" s="68" t="str">
        <f>'산출(기계)'!D12</f>
        <v>TON</v>
      </c>
      <c r="F12" s="68">
        <f>'산출(기계)'!H12</f>
        <v>0.14599999999999999</v>
      </c>
      <c r="G12" s="180"/>
      <c r="H12" s="181">
        <f t="shared" ref="H12:H13" si="6">INT(G12*F12)</f>
        <v>0</v>
      </c>
      <c r="I12" s="172">
        <f>일위대가!$K$18</f>
        <v>1890200</v>
      </c>
      <c r="J12" s="181">
        <f t="shared" ref="J12:J13" si="7">INT(I12*F12)</f>
        <v>275969</v>
      </c>
      <c r="K12" s="181">
        <f t="shared" ref="K12:K13" si="8">H12+J12</f>
        <v>275969</v>
      </c>
      <c r="L12" s="173" t="s">
        <v>192</v>
      </c>
      <c r="N12" s="56"/>
    </row>
    <row r="13" spans="1:15" s="53" customFormat="1" ht="18" customHeight="1">
      <c r="A13" s="179">
        <f>'산출(기계)'!A13</f>
        <v>2</v>
      </c>
      <c r="B13" s="141" t="str">
        <f>'산출(기계)'!B13</f>
        <v>고철</v>
      </c>
      <c r="C13" s="140"/>
      <c r="D13" s="141" t="str">
        <f t="shared" si="1"/>
        <v>고철</v>
      </c>
      <c r="E13" s="68" t="str">
        <f>'산출(기계)'!D13</f>
        <v>KG</v>
      </c>
      <c r="F13" s="68">
        <f>'산출(기계)'!H13</f>
        <v>35</v>
      </c>
      <c r="G13" s="180">
        <f>VLOOKUP(D:D,적용!A:B,2,FALSE)</f>
        <v>-130</v>
      </c>
      <c r="H13" s="181">
        <f t="shared" si="6"/>
        <v>-4550</v>
      </c>
      <c r="I13" s="172"/>
      <c r="J13" s="181">
        <f t="shared" si="7"/>
        <v>0</v>
      </c>
      <c r="K13" s="181">
        <f t="shared" si="8"/>
        <v>-4550</v>
      </c>
      <c r="L13" s="173"/>
      <c r="N13" s="56"/>
    </row>
    <row r="14" spans="1:15" s="53" customFormat="1" ht="18" customHeight="1">
      <c r="A14" s="179">
        <f>'산출(기계)'!A14</f>
        <v>0</v>
      </c>
      <c r="B14" s="158" t="str">
        <f>'산출(기계)'!B14</f>
        <v>동일구내이설</v>
      </c>
      <c r="C14" s="140"/>
      <c r="D14" s="141" t="str">
        <f t="shared" si="1"/>
        <v>동일구내이설</v>
      </c>
      <c r="E14" s="68">
        <f>'산출(기계)'!D14</f>
        <v>0</v>
      </c>
      <c r="F14" s="68">
        <f>'산출(기계)'!H14</f>
        <v>0</v>
      </c>
      <c r="G14" s="180"/>
      <c r="H14" s="181"/>
      <c r="I14" s="172"/>
      <c r="J14" s="181"/>
      <c r="K14" s="181"/>
      <c r="L14" s="173"/>
      <c r="N14" s="56"/>
    </row>
    <row r="15" spans="1:15" s="53" customFormat="1" ht="18" customHeight="1">
      <c r="A15" s="179">
        <f>'산출(기계)'!A16</f>
        <v>1</v>
      </c>
      <c r="B15" s="141" t="str">
        <f>'산출(기계)'!B16</f>
        <v>일반기기설치</v>
      </c>
      <c r="C15" s="140" t="str">
        <f>'산출(기계)'!C16</f>
        <v>동일구내이설</v>
      </c>
      <c r="D15" s="141" t="str">
        <f t="shared" ref="D15" si="9">B15&amp;C15</f>
        <v>일반기기설치동일구내이설</v>
      </c>
      <c r="E15" s="68" t="str">
        <f>'산출(기계)'!D16</f>
        <v>TON</v>
      </c>
      <c r="F15" s="68">
        <f>'산출(기계)'!H16</f>
        <v>0.2</v>
      </c>
      <c r="G15" s="180"/>
      <c r="H15" s="181">
        <f t="shared" si="2"/>
        <v>0</v>
      </c>
      <c r="I15" s="172">
        <f>일위대가!$K$25</f>
        <v>6048640</v>
      </c>
      <c r="J15" s="181">
        <f t="shared" si="3"/>
        <v>1209728</v>
      </c>
      <c r="K15" s="181">
        <f t="shared" si="0"/>
        <v>1209728</v>
      </c>
      <c r="L15" s="173" t="s">
        <v>192</v>
      </c>
      <c r="N15" s="56"/>
    </row>
    <row r="16" spans="1:15" s="53" customFormat="1" ht="18" customHeight="1">
      <c r="A16" s="179"/>
      <c r="B16" s="141"/>
      <c r="C16" s="140"/>
      <c r="D16" s="141"/>
      <c r="E16" s="68"/>
      <c r="F16" s="68"/>
      <c r="G16" s="180"/>
      <c r="H16" s="181"/>
      <c r="I16" s="172"/>
      <c r="J16" s="181"/>
      <c r="K16" s="181"/>
      <c r="L16" s="173"/>
      <c r="N16" s="56"/>
    </row>
    <row r="17" spans="1:14" s="53" customFormat="1" ht="18" customHeight="1">
      <c r="A17" s="179"/>
      <c r="B17" s="141"/>
      <c r="C17" s="140"/>
      <c r="D17" s="141"/>
      <c r="E17" s="68"/>
      <c r="F17" s="68"/>
      <c r="G17" s="180"/>
      <c r="H17" s="181"/>
      <c r="I17" s="172"/>
      <c r="J17" s="181"/>
      <c r="K17" s="181"/>
      <c r="L17" s="173"/>
      <c r="N17" s="56"/>
    </row>
    <row r="18" spans="1:14" s="53" customFormat="1" ht="18" customHeight="1">
      <c r="A18" s="179"/>
      <c r="B18" s="141"/>
      <c r="C18" s="140"/>
      <c r="D18" s="141"/>
      <c r="E18" s="68"/>
      <c r="F18" s="68"/>
      <c r="G18" s="180"/>
      <c r="H18" s="181"/>
      <c r="I18" s="172"/>
      <c r="J18" s="181"/>
      <c r="K18" s="181"/>
      <c r="L18" s="173"/>
      <c r="N18" s="56"/>
    </row>
    <row r="19" spans="1:14" s="53" customFormat="1" ht="18" customHeight="1">
      <c r="A19" s="179"/>
      <c r="B19" s="141"/>
      <c r="C19" s="140"/>
      <c r="D19" s="141"/>
      <c r="E19" s="68"/>
      <c r="F19" s="68"/>
      <c r="G19" s="180"/>
      <c r="H19" s="181"/>
      <c r="I19" s="172"/>
      <c r="J19" s="181"/>
      <c r="K19" s="181"/>
      <c r="L19" s="173"/>
      <c r="N19" s="56"/>
    </row>
    <row r="20" spans="1:14" s="53" customFormat="1" ht="18" customHeight="1">
      <c r="A20" s="179"/>
      <c r="B20" s="141"/>
      <c r="C20" s="140"/>
      <c r="D20" s="141"/>
      <c r="E20" s="68"/>
      <c r="F20" s="68"/>
      <c r="G20" s="180"/>
      <c r="H20" s="181"/>
      <c r="I20" s="172"/>
      <c r="J20" s="181"/>
      <c r="K20" s="181"/>
      <c r="L20" s="173"/>
      <c r="N20" s="56"/>
    </row>
    <row r="21" spans="1:14" s="53" customFormat="1" ht="18" customHeight="1">
      <c r="A21" s="179"/>
      <c r="B21" s="141"/>
      <c r="C21" s="140"/>
      <c r="D21" s="141"/>
      <c r="E21" s="68"/>
      <c r="F21" s="68"/>
      <c r="G21" s="180"/>
      <c r="H21" s="181"/>
      <c r="I21" s="172"/>
      <c r="J21" s="181"/>
      <c r="K21" s="181"/>
      <c r="L21" s="173"/>
      <c r="N21" s="56"/>
    </row>
    <row r="22" spans="1:14" s="53" customFormat="1" ht="18" customHeight="1">
      <c r="A22" s="179">
        <f>'산출(기계)'!A19</f>
        <v>0</v>
      </c>
      <c r="B22" s="141">
        <f>'산출(기계)'!B19</f>
        <v>0</v>
      </c>
      <c r="C22" s="140">
        <f>'산출(기계)'!C19</f>
        <v>0</v>
      </c>
      <c r="D22" s="141" t="str">
        <f>B22&amp;C22</f>
        <v>00</v>
      </c>
      <c r="E22" s="68">
        <f>'산출(기계)'!D19</f>
        <v>0</v>
      </c>
      <c r="F22" s="68">
        <f>'산출(기계)'!H19</f>
        <v>0</v>
      </c>
      <c r="G22" s="180"/>
      <c r="H22" s="172"/>
      <c r="I22" s="172"/>
      <c r="J22" s="172"/>
      <c r="K22" s="172"/>
      <c r="L22" s="173"/>
      <c r="N22" s="56"/>
    </row>
    <row r="23" spans="1:14" s="53" customFormat="1" ht="18" customHeight="1">
      <c r="A23" s="179"/>
      <c r="B23" s="141"/>
      <c r="C23" s="140"/>
      <c r="D23" s="141"/>
      <c r="E23" s="68"/>
      <c r="F23" s="68"/>
      <c r="G23" s="180"/>
      <c r="H23" s="172"/>
      <c r="I23" s="172"/>
      <c r="J23" s="172"/>
      <c r="K23" s="172"/>
      <c r="L23" s="173"/>
      <c r="N23" s="56"/>
    </row>
    <row r="24" spans="1:14" s="53" customFormat="1" ht="18" customHeight="1">
      <c r="A24" s="179">
        <f>'산출(기계)'!A24</f>
        <v>0</v>
      </c>
      <c r="B24" s="141">
        <f>'산출(기계)'!B24</f>
        <v>0</v>
      </c>
      <c r="C24" s="140">
        <f>'산출(기계)'!C24</f>
        <v>0</v>
      </c>
      <c r="D24" s="141" t="str">
        <f t="shared" ref="D24:D26" si="10">B24&amp;C24</f>
        <v>00</v>
      </c>
      <c r="E24" s="68">
        <f>'산출(기계)'!D24</f>
        <v>0</v>
      </c>
      <c r="F24" s="68">
        <f>'산출(기계)'!H24</f>
        <v>0</v>
      </c>
      <c r="G24" s="180"/>
      <c r="H24" s="172"/>
      <c r="I24" s="172"/>
      <c r="J24" s="172"/>
      <c r="K24" s="172"/>
      <c r="L24" s="173"/>
      <c r="N24" s="56"/>
    </row>
    <row r="25" spans="1:14" s="53" customFormat="1" ht="18" customHeight="1">
      <c r="A25" s="179">
        <f>'산출(기계)'!A25</f>
        <v>0</v>
      </c>
      <c r="B25" s="141">
        <f>'산출(기계)'!B25</f>
        <v>0</v>
      </c>
      <c r="C25" s="140">
        <f>'산출(기계)'!C25</f>
        <v>0</v>
      </c>
      <c r="D25" s="141" t="str">
        <f t="shared" si="10"/>
        <v>00</v>
      </c>
      <c r="E25" s="68">
        <f>'산출(기계)'!D25</f>
        <v>0</v>
      </c>
      <c r="F25" s="68">
        <f>'산출(기계)'!H25</f>
        <v>0</v>
      </c>
      <c r="G25" s="180"/>
      <c r="H25" s="172"/>
      <c r="I25" s="172"/>
      <c r="J25" s="172"/>
      <c r="K25" s="172"/>
      <c r="L25" s="173"/>
      <c r="N25" s="56"/>
    </row>
    <row r="26" spans="1:14" s="53" customFormat="1" ht="18" customHeight="1">
      <c r="A26" s="179">
        <f>'산출(기계)'!A26</f>
        <v>0</v>
      </c>
      <c r="B26" s="141">
        <f>'산출(기계)'!B26</f>
        <v>0</v>
      </c>
      <c r="C26" s="140">
        <f>'산출(기계)'!C26</f>
        <v>0</v>
      </c>
      <c r="D26" s="141" t="str">
        <f t="shared" si="10"/>
        <v>00</v>
      </c>
      <c r="E26" s="68">
        <f>'산출(기계)'!D26</f>
        <v>0</v>
      </c>
      <c r="F26" s="68">
        <f>'산출(기계)'!H26</f>
        <v>0</v>
      </c>
      <c r="G26" s="180"/>
      <c r="H26" s="172"/>
      <c r="I26" s="172"/>
      <c r="J26" s="172"/>
      <c r="K26" s="172"/>
      <c r="L26" s="173"/>
      <c r="N26" s="56"/>
    </row>
    <row r="27" spans="1:14" s="53" customFormat="1" ht="18" customHeight="1">
      <c r="A27" s="78"/>
      <c r="B27" s="148"/>
      <c r="C27" s="78"/>
      <c r="D27" s="78"/>
      <c r="E27" s="80"/>
      <c r="F27" s="80"/>
      <c r="G27" s="180"/>
      <c r="H27" s="172"/>
      <c r="I27" s="172"/>
      <c r="J27" s="172"/>
      <c r="K27" s="172"/>
      <c r="L27" s="173"/>
      <c r="N27" s="56"/>
    </row>
    <row r="28" spans="1:14" s="53" customFormat="1" ht="18" customHeight="1">
      <c r="A28" s="78"/>
      <c r="B28" s="148"/>
      <c r="C28" s="78"/>
      <c r="D28" s="78"/>
      <c r="E28" s="80"/>
      <c r="F28" s="80"/>
      <c r="G28" s="180"/>
      <c r="H28" s="172"/>
      <c r="I28" s="172"/>
      <c r="J28" s="172"/>
      <c r="K28" s="172"/>
      <c r="L28" s="173"/>
      <c r="N28" s="56"/>
    </row>
    <row r="29" spans="1:14" ht="18" customHeight="1">
      <c r="A29" s="179"/>
      <c r="B29" s="184" t="s">
        <v>92</v>
      </c>
      <c r="C29" s="185"/>
      <c r="D29" s="186"/>
      <c r="E29" s="141"/>
      <c r="F29" s="68"/>
      <c r="G29" s="178"/>
      <c r="H29" s="178">
        <f>SUM(H4:H28)</f>
        <v>3306530</v>
      </c>
      <c r="I29" s="178"/>
      <c r="J29" s="178">
        <f>SUM(J4:J28)</f>
        <v>2408303</v>
      </c>
      <c r="K29" s="178">
        <f>H29+J29</f>
        <v>5714833</v>
      </c>
      <c r="L29" s="72"/>
    </row>
    <row r="30" spans="1:14" s="142" customFormat="1" ht="18" customHeight="1">
      <c r="A30" s="142" t="str">
        <f>'산출(기계)'!A30</f>
        <v>NO.2) CONTOUR CURTAIN</v>
      </c>
      <c r="F30" s="175"/>
      <c r="G30" s="176"/>
      <c r="H30" s="176"/>
      <c r="I30" s="176"/>
      <c r="J30" s="176"/>
      <c r="K30" s="177"/>
    </row>
    <row r="31" spans="1:14" ht="18" customHeight="1">
      <c r="A31" s="395" t="s">
        <v>89</v>
      </c>
      <c r="B31" s="395" t="s">
        <v>88</v>
      </c>
      <c r="C31" s="395" t="s">
        <v>87</v>
      </c>
      <c r="D31" s="343"/>
      <c r="E31" s="395" t="s">
        <v>91</v>
      </c>
      <c r="F31" s="395" t="s">
        <v>86</v>
      </c>
      <c r="G31" s="393" t="s">
        <v>90</v>
      </c>
      <c r="H31" s="394"/>
      <c r="I31" s="393" t="s">
        <v>85</v>
      </c>
      <c r="J31" s="394"/>
      <c r="K31" s="395" t="s">
        <v>84</v>
      </c>
      <c r="L31" s="395" t="s">
        <v>83</v>
      </c>
    </row>
    <row r="32" spans="1:14" ht="18" customHeight="1">
      <c r="A32" s="396"/>
      <c r="B32" s="396"/>
      <c r="C32" s="396"/>
      <c r="D32" s="344"/>
      <c r="E32" s="396"/>
      <c r="F32" s="396"/>
      <c r="G32" s="174" t="s">
        <v>82</v>
      </c>
      <c r="H32" s="174" t="s">
        <v>80</v>
      </c>
      <c r="I32" s="174" t="s">
        <v>81</v>
      </c>
      <c r="J32" s="174" t="s">
        <v>80</v>
      </c>
      <c r="K32" s="396"/>
      <c r="L32" s="396"/>
    </row>
    <row r="33" spans="1:15" ht="18" customHeight="1">
      <c r="A33" s="158"/>
      <c r="B33" s="158" t="str">
        <f>'산출(기계)'!B33</f>
        <v>교체설치</v>
      </c>
      <c r="C33" s="68"/>
      <c r="D33" s="68"/>
      <c r="E33" s="68"/>
      <c r="F33" s="68"/>
      <c r="G33" s="178"/>
      <c r="H33" s="178"/>
      <c r="I33" s="178"/>
      <c r="J33" s="178"/>
      <c r="K33" s="208"/>
      <c r="L33" s="68"/>
    </row>
    <row r="34" spans="1:15" ht="18" customHeight="1">
      <c r="A34" s="179">
        <f>'산출(기계)'!A34</f>
        <v>1</v>
      </c>
      <c r="B34" s="141" t="str">
        <f>'산출(기계)'!B34</f>
        <v>DRIVE M/C ASS'Y</v>
      </c>
      <c r="C34" s="140" t="str">
        <f>'산출(기계)'!C34</f>
        <v>2.2KWx4P</v>
      </c>
      <c r="D34" s="141" t="str">
        <f>B34&amp;C34</f>
        <v>DRIVE M/C ASS'Y2.2KWx4P</v>
      </c>
      <c r="E34" s="68" t="str">
        <f>'산출(기계)'!D34</f>
        <v>SET</v>
      </c>
      <c r="F34" s="68">
        <f>'산출(기계)'!H34</f>
        <v>1</v>
      </c>
      <c r="G34" s="180">
        <f>VLOOKUP(D:D,적용!A:B,2,FALSE)</f>
        <v>3000000</v>
      </c>
      <c r="H34" s="181">
        <f>INT(G34*F34)</f>
        <v>3000000</v>
      </c>
      <c r="I34" s="181"/>
      <c r="J34" s="181">
        <f>INT(I34*F34)</f>
        <v>0</v>
      </c>
      <c r="K34" s="181">
        <f t="shared" ref="K34:K45" si="11">H34+J34</f>
        <v>3000000</v>
      </c>
      <c r="L34" s="182"/>
      <c r="O34" s="183"/>
    </row>
    <row r="35" spans="1:15" ht="18" customHeight="1">
      <c r="A35" s="179">
        <f>'산출(기계)'!A35</f>
        <v>2</v>
      </c>
      <c r="B35" s="141" t="str">
        <f>'산출(기계)'!B35</f>
        <v>V-SHEAVE</v>
      </c>
      <c r="C35" s="140" t="str">
        <f>'산출(기계)'!C35</f>
        <v>Ø100x8P</v>
      </c>
      <c r="D35" s="141" t="str">
        <f t="shared" ref="D35:D45" si="12">B35&amp;C35</f>
        <v>V-SHEAVEØ100x8P</v>
      </c>
      <c r="E35" s="68" t="str">
        <f>'산출(기계)'!D35</f>
        <v>SET</v>
      </c>
      <c r="F35" s="68">
        <f>'산출(기계)'!H35</f>
        <v>1</v>
      </c>
      <c r="G35" s="180">
        <f>VLOOKUP(D:D,적용!A:B,2,FALSE)</f>
        <v>78000</v>
      </c>
      <c r="H35" s="181">
        <f t="shared" ref="H35:H45" si="13">INT(G35*F35)</f>
        <v>78000</v>
      </c>
      <c r="I35" s="181"/>
      <c r="J35" s="181">
        <f t="shared" ref="J35:J45" si="14">INT(I35*F35)</f>
        <v>0</v>
      </c>
      <c r="K35" s="181">
        <f t="shared" si="11"/>
        <v>78000</v>
      </c>
      <c r="L35" s="182"/>
      <c r="O35" s="183"/>
    </row>
    <row r="36" spans="1:15" ht="18" customHeight="1">
      <c r="A36" s="179">
        <f>'산출(기계)'!A36</f>
        <v>3</v>
      </c>
      <c r="B36" s="141" t="str">
        <f>'산출(기계)'!B36</f>
        <v>V-SHEAVE</v>
      </c>
      <c r="C36" s="140" t="str">
        <f>'산출(기계)'!C36</f>
        <v>Ø100x5P</v>
      </c>
      <c r="D36" s="141" t="str">
        <f t="shared" si="12"/>
        <v>V-SHEAVEØ100x5P</v>
      </c>
      <c r="E36" s="68" t="str">
        <f>'산출(기계)'!D36</f>
        <v>SET</v>
      </c>
      <c r="F36" s="68">
        <f>'산출(기계)'!H36</f>
        <v>1</v>
      </c>
      <c r="G36" s="180">
        <f>VLOOKUP(D:D,적용!A:B,2,FALSE)</f>
        <v>53000</v>
      </c>
      <c r="H36" s="181">
        <f t="shared" si="13"/>
        <v>53000</v>
      </c>
      <c r="I36" s="181"/>
      <c r="J36" s="181">
        <f t="shared" si="14"/>
        <v>0</v>
      </c>
      <c r="K36" s="181">
        <f t="shared" si="11"/>
        <v>53000</v>
      </c>
      <c r="L36" s="209"/>
      <c r="O36" s="183"/>
    </row>
    <row r="37" spans="1:15" ht="18" customHeight="1">
      <c r="A37" s="179">
        <f>'산출(기계)'!A37</f>
        <v>4</v>
      </c>
      <c r="B37" s="141" t="str">
        <f>'산출(기계)'!B37</f>
        <v>V-SHEAVE</v>
      </c>
      <c r="C37" s="140" t="str">
        <f>'산출(기계)'!C37</f>
        <v>Ø100x2P</v>
      </c>
      <c r="D37" s="141" t="str">
        <f t="shared" si="12"/>
        <v>V-SHEAVEØ100x2P</v>
      </c>
      <c r="E37" s="68" t="str">
        <f>'산출(기계)'!D37</f>
        <v>SET</v>
      </c>
      <c r="F37" s="68">
        <f>'산출(기계)'!H37</f>
        <v>1</v>
      </c>
      <c r="G37" s="180">
        <f>VLOOKUP(D:D,적용!A:B,2,FALSE)</f>
        <v>70000</v>
      </c>
      <c r="H37" s="181">
        <f t="shared" si="13"/>
        <v>70000</v>
      </c>
      <c r="I37" s="181"/>
      <c r="J37" s="181">
        <f t="shared" si="14"/>
        <v>0</v>
      </c>
      <c r="K37" s="181">
        <f t="shared" si="11"/>
        <v>70000</v>
      </c>
      <c r="L37" s="209"/>
      <c r="O37" s="183"/>
    </row>
    <row r="38" spans="1:15" s="53" customFormat="1" ht="18" customHeight="1">
      <c r="A38" s="179">
        <f>'산출(기계)'!A38</f>
        <v>5</v>
      </c>
      <c r="B38" s="141" t="str">
        <f>'산출(기계)'!B38</f>
        <v>V-SHEAVE</v>
      </c>
      <c r="C38" s="140" t="str">
        <f>'산출(기계)'!C38</f>
        <v>Ø100x1P</v>
      </c>
      <c r="D38" s="141" t="str">
        <f t="shared" si="12"/>
        <v>V-SHEAVEØ100x1P</v>
      </c>
      <c r="E38" s="68" t="str">
        <f>'산출(기계)'!D38</f>
        <v>SET</v>
      </c>
      <c r="F38" s="68">
        <f>'산출(기계)'!H38</f>
        <v>7</v>
      </c>
      <c r="G38" s="180">
        <f>VLOOKUP(D:D,적용!A:B,2,FALSE)</f>
        <v>50000</v>
      </c>
      <c r="H38" s="181">
        <f t="shared" si="13"/>
        <v>350000</v>
      </c>
      <c r="I38" s="172"/>
      <c r="J38" s="181">
        <f t="shared" si="14"/>
        <v>0</v>
      </c>
      <c r="K38" s="181">
        <f t="shared" si="11"/>
        <v>350000</v>
      </c>
      <c r="L38" s="173"/>
      <c r="N38" s="56"/>
    </row>
    <row r="39" spans="1:15" s="53" customFormat="1" ht="18" customHeight="1">
      <c r="A39" s="179">
        <f>'산출(기계)'!A39</f>
        <v>6</v>
      </c>
      <c r="B39" s="141" t="str">
        <f>'산출(기계)'!B39</f>
        <v>WIRE ROPE</v>
      </c>
      <c r="C39" s="140" t="str">
        <f>'산출(기계)'!C39</f>
        <v>Ø3.2</v>
      </c>
      <c r="D39" s="141" t="str">
        <f t="shared" si="12"/>
        <v>WIRE ROPEØ3.2</v>
      </c>
      <c r="E39" s="68" t="str">
        <f>'산출(기계)'!D39</f>
        <v>M</v>
      </c>
      <c r="F39" s="68">
        <f>'산출(기계)'!H39</f>
        <v>140</v>
      </c>
      <c r="G39" s="180">
        <f>VLOOKUP(D:D,적용!A:B,2,FALSE)</f>
        <v>623</v>
      </c>
      <c r="H39" s="181">
        <f t="shared" si="13"/>
        <v>87220</v>
      </c>
      <c r="I39" s="172"/>
      <c r="J39" s="181">
        <f t="shared" si="14"/>
        <v>0</v>
      </c>
      <c r="K39" s="181">
        <f t="shared" si="11"/>
        <v>87220</v>
      </c>
      <c r="L39" s="173"/>
      <c r="N39" s="56"/>
    </row>
    <row r="40" spans="1:15" s="53" customFormat="1" ht="18" customHeight="1">
      <c r="A40" s="179">
        <f>'산출(기계)'!A40</f>
        <v>7</v>
      </c>
      <c r="B40" s="141" t="str">
        <f>'산출(기계)'!B40</f>
        <v>설치인건비</v>
      </c>
      <c r="C40" s="140" t="str">
        <f>'산출(기계)'!C40</f>
        <v>일반기기설치</v>
      </c>
      <c r="D40" s="141" t="str">
        <f t="shared" si="12"/>
        <v>설치인건비일반기기설치</v>
      </c>
      <c r="E40" s="68" t="str">
        <f>'산출(기계)'!D40</f>
        <v>TON</v>
      </c>
      <c r="F40" s="68">
        <f>'산출(기계)'!H40</f>
        <v>0.39879999999999999</v>
      </c>
      <c r="G40" s="180"/>
      <c r="H40" s="181">
        <f t="shared" si="13"/>
        <v>0</v>
      </c>
      <c r="I40" s="172">
        <f>일위대가!$K$16</f>
        <v>3150334</v>
      </c>
      <c r="J40" s="181">
        <f t="shared" si="14"/>
        <v>1256353</v>
      </c>
      <c r="K40" s="181">
        <f t="shared" si="11"/>
        <v>1256353</v>
      </c>
      <c r="L40" s="173" t="s">
        <v>192</v>
      </c>
      <c r="N40" s="56"/>
    </row>
    <row r="41" spans="1:15" s="53" customFormat="1" ht="18" customHeight="1">
      <c r="A41" s="179">
        <f>'산출(기계)'!A41</f>
        <v>0</v>
      </c>
      <c r="B41" s="158" t="str">
        <f>'산출(기계)'!B41</f>
        <v>철거</v>
      </c>
      <c r="C41" s="140">
        <f>'산출(기계)'!C41</f>
        <v>0</v>
      </c>
      <c r="D41" s="141" t="str">
        <f t="shared" si="12"/>
        <v>철거0</v>
      </c>
      <c r="E41" s="68">
        <f>'산출(기계)'!D41</f>
        <v>0</v>
      </c>
      <c r="F41" s="68">
        <f>'산출(기계)'!H41</f>
        <v>0</v>
      </c>
      <c r="G41" s="180"/>
      <c r="H41" s="181">
        <f t="shared" si="13"/>
        <v>0</v>
      </c>
      <c r="I41" s="172"/>
      <c r="J41" s="181">
        <f t="shared" si="14"/>
        <v>0</v>
      </c>
      <c r="K41" s="181">
        <f t="shared" si="11"/>
        <v>0</v>
      </c>
      <c r="L41" s="173"/>
      <c r="N41" s="56"/>
    </row>
    <row r="42" spans="1:15" s="53" customFormat="1" ht="18" customHeight="1">
      <c r="A42" s="179">
        <f>'산출(기계)'!A42</f>
        <v>1</v>
      </c>
      <c r="B42" s="141" t="str">
        <f>'산출(기계)'!B42</f>
        <v>철거인건비</v>
      </c>
      <c r="C42" s="140" t="str">
        <f>'산출(기계)'!C42</f>
        <v>재사용을 고려안할경우</v>
      </c>
      <c r="D42" s="141" t="str">
        <f t="shared" si="12"/>
        <v>철거인건비재사용을 고려안할경우</v>
      </c>
      <c r="E42" s="68" t="str">
        <f>'산출(기계)'!D42</f>
        <v>TON</v>
      </c>
      <c r="F42" s="68">
        <f>'산출(기계)'!H42</f>
        <v>0.19900000000000001</v>
      </c>
      <c r="G42" s="180"/>
      <c r="H42" s="181">
        <f t="shared" si="13"/>
        <v>0</v>
      </c>
      <c r="I42" s="172">
        <f>일위대가!$K$18</f>
        <v>1890200</v>
      </c>
      <c r="J42" s="181">
        <f t="shared" si="14"/>
        <v>376149</v>
      </c>
      <c r="K42" s="181">
        <f t="shared" si="11"/>
        <v>376149</v>
      </c>
      <c r="L42" s="173" t="s">
        <v>192</v>
      </c>
      <c r="N42" s="56"/>
    </row>
    <row r="43" spans="1:15" s="53" customFormat="1" ht="18" customHeight="1">
      <c r="A43" s="179">
        <f>'산출(기계)'!A43</f>
        <v>2</v>
      </c>
      <c r="B43" s="141" t="str">
        <f>'산출(기계)'!B43</f>
        <v>고철</v>
      </c>
      <c r="C43" s="140"/>
      <c r="D43" s="141" t="str">
        <f t="shared" si="12"/>
        <v>고철</v>
      </c>
      <c r="E43" s="68" t="str">
        <f>'산출(기계)'!D43</f>
        <v>KG</v>
      </c>
      <c r="F43" s="68">
        <f>'산출(기계)'!H43</f>
        <v>125</v>
      </c>
      <c r="G43" s="180">
        <f>VLOOKUP(D:D,적용!A:B,2,FALSE)</f>
        <v>-130</v>
      </c>
      <c r="H43" s="181">
        <f t="shared" si="13"/>
        <v>-16250</v>
      </c>
      <c r="I43" s="172"/>
      <c r="J43" s="181">
        <f t="shared" si="14"/>
        <v>0</v>
      </c>
      <c r="K43" s="181">
        <f t="shared" si="11"/>
        <v>-16250</v>
      </c>
      <c r="L43" s="173"/>
      <c r="N43" s="56"/>
    </row>
    <row r="44" spans="1:15" s="53" customFormat="1" ht="18" customHeight="1">
      <c r="A44" s="179">
        <f>'산출(기계)'!A44</f>
        <v>0</v>
      </c>
      <c r="B44" s="158" t="str">
        <f>'산출(기계)'!B44</f>
        <v>동일구내이설</v>
      </c>
      <c r="C44" s="140">
        <f>'산출(기계)'!C44</f>
        <v>0</v>
      </c>
      <c r="D44" s="141" t="str">
        <f t="shared" si="12"/>
        <v>동일구내이설0</v>
      </c>
      <c r="E44" s="68">
        <f>'산출(기계)'!D44</f>
        <v>0</v>
      </c>
      <c r="F44" s="68">
        <f>'산출(기계)'!H44</f>
        <v>0</v>
      </c>
      <c r="G44" s="180"/>
      <c r="H44" s="181">
        <f t="shared" si="13"/>
        <v>0</v>
      </c>
      <c r="I44" s="172"/>
      <c r="J44" s="181">
        <f t="shared" si="14"/>
        <v>0</v>
      </c>
      <c r="K44" s="181">
        <f t="shared" si="11"/>
        <v>0</v>
      </c>
      <c r="L44" s="173"/>
      <c r="N44" s="56"/>
    </row>
    <row r="45" spans="1:15" s="53" customFormat="1" ht="18" customHeight="1">
      <c r="A45" s="179">
        <f>'산출(기계)'!A47</f>
        <v>1</v>
      </c>
      <c r="B45" s="141" t="str">
        <f>'산출(기계)'!B47</f>
        <v>일반기기설치</v>
      </c>
      <c r="C45" s="140" t="str">
        <f>'산출(기계)'!C47</f>
        <v>동일구내이설</v>
      </c>
      <c r="D45" s="141" t="str">
        <f t="shared" si="12"/>
        <v>일반기기설치동일구내이설</v>
      </c>
      <c r="E45" s="68" t="str">
        <f>'산출(기계)'!D47</f>
        <v>TON</v>
      </c>
      <c r="F45" s="68">
        <f>'산출(기계)'!H47</f>
        <v>0.122</v>
      </c>
      <c r="G45" s="180"/>
      <c r="H45" s="181">
        <f t="shared" si="13"/>
        <v>0</v>
      </c>
      <c r="I45" s="172">
        <f>일위대가!$K$25</f>
        <v>6048640</v>
      </c>
      <c r="J45" s="181">
        <f t="shared" si="14"/>
        <v>737934</v>
      </c>
      <c r="K45" s="181">
        <f t="shared" si="11"/>
        <v>737934</v>
      </c>
      <c r="L45" s="173" t="s">
        <v>192</v>
      </c>
      <c r="N45" s="56"/>
    </row>
    <row r="46" spans="1:15" s="53" customFormat="1" ht="18" customHeight="1">
      <c r="A46" s="179">
        <f>'산출(기계)'!A48</f>
        <v>0</v>
      </c>
      <c r="B46" s="141">
        <f>'산출(기계)'!B48</f>
        <v>0</v>
      </c>
      <c r="C46" s="140">
        <f>'산출(기계)'!C48</f>
        <v>0</v>
      </c>
      <c r="D46" s="141" t="str">
        <f>B46&amp;C46</f>
        <v>00</v>
      </c>
      <c r="E46" s="68">
        <f>'산출(기계)'!D48</f>
        <v>0</v>
      </c>
      <c r="F46" s="68">
        <f>'산출(기계)'!H48</f>
        <v>0</v>
      </c>
      <c r="G46" s="180"/>
      <c r="H46" s="172"/>
      <c r="I46" s="172"/>
      <c r="J46" s="172"/>
      <c r="K46" s="172"/>
      <c r="L46" s="173"/>
      <c r="N46" s="56"/>
    </row>
    <row r="47" spans="1:15" s="53" customFormat="1" ht="18" customHeight="1">
      <c r="A47" s="179"/>
      <c r="B47" s="141"/>
      <c r="C47" s="140"/>
      <c r="D47" s="141"/>
      <c r="E47" s="68"/>
      <c r="F47" s="68"/>
      <c r="G47" s="180"/>
      <c r="H47" s="172"/>
      <c r="I47" s="172"/>
      <c r="J47" s="172"/>
      <c r="K47" s="172"/>
      <c r="L47" s="173"/>
      <c r="N47" s="56"/>
    </row>
    <row r="48" spans="1:15" s="53" customFormat="1" ht="18" customHeight="1">
      <c r="A48" s="179"/>
      <c r="B48" s="141"/>
      <c r="C48" s="140"/>
      <c r="D48" s="141"/>
      <c r="E48" s="68"/>
      <c r="F48" s="68"/>
      <c r="G48" s="180"/>
      <c r="H48" s="172"/>
      <c r="I48" s="172"/>
      <c r="J48" s="172"/>
      <c r="K48" s="172"/>
      <c r="L48" s="173"/>
      <c r="N48" s="56"/>
    </row>
    <row r="49" spans="1:15" s="53" customFormat="1" ht="18" customHeight="1">
      <c r="A49" s="179"/>
      <c r="B49" s="141"/>
      <c r="C49" s="140"/>
      <c r="D49" s="141"/>
      <c r="E49" s="68"/>
      <c r="F49" s="68"/>
      <c r="G49" s="180"/>
      <c r="H49" s="172"/>
      <c r="I49" s="172"/>
      <c r="J49" s="172"/>
      <c r="K49" s="172"/>
      <c r="L49" s="173"/>
      <c r="N49" s="56"/>
    </row>
    <row r="50" spans="1:15" s="53" customFormat="1" ht="18" customHeight="1">
      <c r="A50" s="179"/>
      <c r="B50" s="141"/>
      <c r="C50" s="140"/>
      <c r="D50" s="141"/>
      <c r="E50" s="68"/>
      <c r="F50" s="68"/>
      <c r="G50" s="180"/>
      <c r="H50" s="172"/>
      <c r="I50" s="172"/>
      <c r="J50" s="172"/>
      <c r="K50" s="172"/>
      <c r="L50" s="173"/>
      <c r="N50" s="56"/>
    </row>
    <row r="51" spans="1:15" s="53" customFormat="1" ht="18" customHeight="1">
      <c r="A51" s="179"/>
      <c r="B51" s="141"/>
      <c r="C51" s="140"/>
      <c r="D51" s="141"/>
      <c r="E51" s="68"/>
      <c r="F51" s="68"/>
      <c r="G51" s="180"/>
      <c r="H51" s="172"/>
      <c r="I51" s="172"/>
      <c r="J51" s="172"/>
      <c r="K51" s="172"/>
      <c r="L51" s="173"/>
      <c r="N51" s="56"/>
    </row>
    <row r="52" spans="1:15" s="53" customFormat="1" ht="18" customHeight="1">
      <c r="A52" s="179"/>
      <c r="B52" s="141"/>
      <c r="C52" s="140"/>
      <c r="D52" s="141"/>
      <c r="E52" s="68"/>
      <c r="F52" s="68"/>
      <c r="G52" s="180"/>
      <c r="H52" s="172"/>
      <c r="I52" s="172"/>
      <c r="J52" s="172"/>
      <c r="K52" s="172"/>
      <c r="L52" s="173"/>
      <c r="N52" s="56"/>
    </row>
    <row r="53" spans="1:15" s="53" customFormat="1" ht="18" customHeight="1">
      <c r="A53" s="179">
        <f>'산출(기계)'!A53</f>
        <v>0</v>
      </c>
      <c r="B53" s="141">
        <f>'산출(기계)'!B53</f>
        <v>0</v>
      </c>
      <c r="C53" s="140">
        <f>'산출(기계)'!C53</f>
        <v>0</v>
      </c>
      <c r="D53" s="141" t="str">
        <f t="shared" ref="D53:D55" si="15">B53&amp;C53</f>
        <v>00</v>
      </c>
      <c r="E53" s="68">
        <f>'산출(기계)'!D53</f>
        <v>0</v>
      </c>
      <c r="F53" s="68">
        <f>'산출(기계)'!H53</f>
        <v>0</v>
      </c>
      <c r="G53" s="180"/>
      <c r="H53" s="172"/>
      <c r="I53" s="172"/>
      <c r="J53" s="172"/>
      <c r="K53" s="172"/>
      <c r="L53" s="173"/>
      <c r="N53" s="56"/>
    </row>
    <row r="54" spans="1:15" s="53" customFormat="1" ht="18" customHeight="1">
      <c r="A54" s="179">
        <f>'산출(기계)'!A54</f>
        <v>0</v>
      </c>
      <c r="B54" s="141">
        <f>'산출(기계)'!B54</f>
        <v>0</v>
      </c>
      <c r="C54" s="140">
        <f>'산출(기계)'!C54</f>
        <v>0</v>
      </c>
      <c r="D54" s="141" t="str">
        <f t="shared" si="15"/>
        <v>00</v>
      </c>
      <c r="E54" s="68">
        <f>'산출(기계)'!D54</f>
        <v>0</v>
      </c>
      <c r="F54" s="68">
        <f>'산출(기계)'!H54</f>
        <v>0</v>
      </c>
      <c r="G54" s="180"/>
      <c r="H54" s="172"/>
      <c r="I54" s="172"/>
      <c r="J54" s="172"/>
      <c r="K54" s="172"/>
      <c r="L54" s="173"/>
      <c r="N54" s="56"/>
    </row>
    <row r="55" spans="1:15" s="53" customFormat="1" ht="18" customHeight="1">
      <c r="A55" s="179">
        <f>'산출(기계)'!A55</f>
        <v>0</v>
      </c>
      <c r="B55" s="141">
        <f>'산출(기계)'!B55</f>
        <v>0</v>
      </c>
      <c r="C55" s="140">
        <f>'산출(기계)'!C55</f>
        <v>0</v>
      </c>
      <c r="D55" s="141" t="str">
        <f t="shared" si="15"/>
        <v>00</v>
      </c>
      <c r="E55" s="68">
        <f>'산출(기계)'!D55</f>
        <v>0</v>
      </c>
      <c r="F55" s="68">
        <f>'산출(기계)'!H55</f>
        <v>0</v>
      </c>
      <c r="G55" s="180"/>
      <c r="H55" s="172"/>
      <c r="I55" s="172"/>
      <c r="J55" s="172"/>
      <c r="K55" s="172"/>
      <c r="L55" s="173"/>
      <c r="N55" s="56"/>
    </row>
    <row r="56" spans="1:15" s="53" customFormat="1" ht="18" customHeight="1">
      <c r="A56" s="78"/>
      <c r="B56" s="148"/>
      <c r="C56" s="78"/>
      <c r="D56" s="78"/>
      <c r="E56" s="80"/>
      <c r="F56" s="80"/>
      <c r="G56" s="180"/>
      <c r="H56" s="172"/>
      <c r="I56" s="172"/>
      <c r="J56" s="172"/>
      <c r="K56" s="172"/>
      <c r="L56" s="173"/>
      <c r="N56" s="56"/>
    </row>
    <row r="57" spans="1:15" s="53" customFormat="1" ht="18" customHeight="1">
      <c r="A57" s="78"/>
      <c r="B57" s="148"/>
      <c r="C57" s="78"/>
      <c r="D57" s="78"/>
      <c r="E57" s="80"/>
      <c r="F57" s="80"/>
      <c r="G57" s="180"/>
      <c r="H57" s="172"/>
      <c r="I57" s="172"/>
      <c r="J57" s="172"/>
      <c r="K57" s="172"/>
      <c r="L57" s="173"/>
      <c r="N57" s="56"/>
    </row>
    <row r="58" spans="1:15" ht="18" customHeight="1">
      <c r="A58" s="179"/>
      <c r="B58" s="184" t="s">
        <v>92</v>
      </c>
      <c r="C58" s="185"/>
      <c r="D58" s="186"/>
      <c r="E58" s="141"/>
      <c r="F58" s="68"/>
      <c r="G58" s="178"/>
      <c r="H58" s="178">
        <f>SUM(H33:H57)</f>
        <v>3621970</v>
      </c>
      <c r="I58" s="178"/>
      <c r="J58" s="178">
        <f>SUM(J33:J57)</f>
        <v>2370436</v>
      </c>
      <c r="K58" s="178">
        <f>H58+J58</f>
        <v>5992406</v>
      </c>
      <c r="L58" s="72"/>
    </row>
    <row r="59" spans="1:15" s="142" customFormat="1" ht="18" customHeight="1">
      <c r="A59" s="142" t="str">
        <f>'산출(기계)'!A59</f>
        <v>NO.3) NO.2 BORDER LIGHT BATTEN</v>
      </c>
      <c r="F59" s="175"/>
      <c r="G59" s="176"/>
      <c r="H59" s="176"/>
      <c r="I59" s="176"/>
      <c r="J59" s="176"/>
      <c r="K59" s="177"/>
    </row>
    <row r="60" spans="1:15" ht="18" customHeight="1">
      <c r="A60" s="395" t="s">
        <v>33</v>
      </c>
      <c r="B60" s="395" t="s">
        <v>88</v>
      </c>
      <c r="C60" s="395" t="s">
        <v>87</v>
      </c>
      <c r="D60" s="343"/>
      <c r="E60" s="395" t="s">
        <v>36</v>
      </c>
      <c r="F60" s="395" t="s">
        <v>7</v>
      </c>
      <c r="G60" s="393" t="s">
        <v>90</v>
      </c>
      <c r="H60" s="394"/>
      <c r="I60" s="393" t="s">
        <v>85</v>
      </c>
      <c r="J60" s="394"/>
      <c r="K60" s="395" t="s">
        <v>84</v>
      </c>
      <c r="L60" s="395" t="s">
        <v>39</v>
      </c>
    </row>
    <row r="61" spans="1:15" ht="18" customHeight="1">
      <c r="A61" s="396"/>
      <c r="B61" s="396"/>
      <c r="C61" s="396"/>
      <c r="D61" s="344"/>
      <c r="E61" s="396"/>
      <c r="F61" s="396"/>
      <c r="G61" s="174" t="s">
        <v>82</v>
      </c>
      <c r="H61" s="174" t="s">
        <v>80</v>
      </c>
      <c r="I61" s="174" t="s">
        <v>81</v>
      </c>
      <c r="J61" s="174" t="s">
        <v>80</v>
      </c>
      <c r="K61" s="396"/>
      <c r="L61" s="396"/>
    </row>
    <row r="62" spans="1:15" ht="18" customHeight="1">
      <c r="A62" s="158"/>
      <c r="B62" s="158" t="str">
        <f>'산출(기계)'!B62</f>
        <v>교체설치</v>
      </c>
      <c r="C62" s="68"/>
      <c r="D62" s="68"/>
      <c r="E62" s="68"/>
      <c r="F62" s="68"/>
      <c r="G62" s="178"/>
      <c r="H62" s="178"/>
      <c r="I62" s="178"/>
      <c r="J62" s="178"/>
      <c r="K62" s="208"/>
      <c r="L62" s="68"/>
    </row>
    <row r="63" spans="1:15" ht="18" customHeight="1">
      <c r="A63" s="179">
        <f>'산출(기계)'!A63</f>
        <v>1</v>
      </c>
      <c r="B63" s="141" t="str">
        <f>'산출(기계)'!B63</f>
        <v>DRIVE M/C ASS'Y</v>
      </c>
      <c r="C63" s="140" t="str">
        <f>'산출(기계)'!C63</f>
        <v>2.2KWx4P</v>
      </c>
      <c r="D63" s="141" t="str">
        <f>B63&amp;C63</f>
        <v>DRIVE M/C ASS'Y2.2KWx4P</v>
      </c>
      <c r="E63" s="68" t="str">
        <f>'산출(기계)'!D63</f>
        <v>SET</v>
      </c>
      <c r="F63" s="68">
        <f>'산출(기계)'!H63</f>
        <v>1</v>
      </c>
      <c r="G63" s="180">
        <f>VLOOKUP(D:D,적용!A:B,2,FALSE)</f>
        <v>3000000</v>
      </c>
      <c r="H63" s="181">
        <f>INT(G63*F63)</f>
        <v>3000000</v>
      </c>
      <c r="I63" s="181"/>
      <c r="J63" s="181">
        <f>INT(I63*F63)</f>
        <v>0</v>
      </c>
      <c r="K63" s="181">
        <f t="shared" ref="K63:K68" si="16">H63+J63</f>
        <v>3000000</v>
      </c>
      <c r="L63" s="182"/>
      <c r="O63" s="183"/>
    </row>
    <row r="64" spans="1:15" ht="18" customHeight="1">
      <c r="A64" s="179">
        <f>'산출(기계)'!A64</f>
        <v>2</v>
      </c>
      <c r="B64" s="141" t="str">
        <f>'산출(기계)'!B64</f>
        <v>V-SHEAVE</v>
      </c>
      <c r="C64" s="140" t="str">
        <f>'산출(기계)'!C64</f>
        <v>Ø200x3P</v>
      </c>
      <c r="D64" s="141" t="str">
        <f t="shared" ref="D64:D72" si="17">B64&amp;C64</f>
        <v>V-SHEAVEØ200x3P</v>
      </c>
      <c r="E64" s="68" t="str">
        <f>'산출(기계)'!D64</f>
        <v>SET</v>
      </c>
      <c r="F64" s="68">
        <f>'산출(기계)'!H64</f>
        <v>1</v>
      </c>
      <c r="G64" s="180">
        <f>VLOOKUP(D:D,적용!A:B,2,FALSE)</f>
        <v>100000</v>
      </c>
      <c r="H64" s="181">
        <f t="shared" ref="H64:H71" si="18">INT(G64*F64)</f>
        <v>100000</v>
      </c>
      <c r="I64" s="181"/>
      <c r="J64" s="181">
        <f t="shared" ref="J64:J68" si="19">INT(I64*F64)</f>
        <v>0</v>
      </c>
      <c r="K64" s="181">
        <f t="shared" si="16"/>
        <v>100000</v>
      </c>
      <c r="L64" s="182"/>
      <c r="O64" s="183"/>
    </row>
    <row r="65" spans="1:15" ht="18" customHeight="1">
      <c r="A65" s="179">
        <f>'산출(기계)'!A65</f>
        <v>3</v>
      </c>
      <c r="B65" s="141" t="str">
        <f>'산출(기계)'!B65</f>
        <v>V-SHEAVE</v>
      </c>
      <c r="C65" s="140" t="str">
        <f>'산출(기계)'!C65</f>
        <v>Ø200x1P</v>
      </c>
      <c r="D65" s="141" t="str">
        <f t="shared" si="17"/>
        <v>V-SHEAVEØ200x1P</v>
      </c>
      <c r="E65" s="68" t="str">
        <f>'산출(기계)'!D65</f>
        <v>SET</v>
      </c>
      <c r="F65" s="68">
        <f>'산출(기계)'!H65</f>
        <v>3</v>
      </c>
      <c r="G65" s="180">
        <f>VLOOKUP(D:D,적용!A:B,2,FALSE)</f>
        <v>70000</v>
      </c>
      <c r="H65" s="181">
        <f t="shared" si="18"/>
        <v>210000</v>
      </c>
      <c r="I65" s="181"/>
      <c r="J65" s="181">
        <f t="shared" si="19"/>
        <v>0</v>
      </c>
      <c r="K65" s="181">
        <f t="shared" si="16"/>
        <v>210000</v>
      </c>
      <c r="L65" s="209"/>
      <c r="O65" s="183"/>
    </row>
    <row r="66" spans="1:15" ht="18" customHeight="1">
      <c r="A66" s="179">
        <f>'산출(기계)'!A66</f>
        <v>4</v>
      </c>
      <c r="B66" s="141" t="str">
        <f>'산출(기계)'!B66</f>
        <v>WIRE ROPE</v>
      </c>
      <c r="C66" s="140" t="str">
        <f>'산출(기계)'!C66</f>
        <v>Ø6</v>
      </c>
      <c r="D66" s="141" t="str">
        <f t="shared" si="17"/>
        <v>WIRE ROPEØ6</v>
      </c>
      <c r="E66" s="68" t="str">
        <f>'산출(기계)'!D66</f>
        <v>M</v>
      </c>
      <c r="F66" s="68">
        <f>'산출(기계)'!H66</f>
        <v>58</v>
      </c>
      <c r="G66" s="180">
        <f>VLOOKUP(D:D,적용!A:B,2,FALSE)</f>
        <v>1260</v>
      </c>
      <c r="H66" s="181">
        <f t="shared" si="18"/>
        <v>73080</v>
      </c>
      <c r="I66" s="181"/>
      <c r="J66" s="181">
        <f t="shared" si="19"/>
        <v>0</v>
      </c>
      <c r="K66" s="181">
        <f t="shared" si="16"/>
        <v>73080</v>
      </c>
      <c r="L66" s="209"/>
      <c r="O66" s="183"/>
    </row>
    <row r="67" spans="1:15" s="53" customFormat="1" ht="18" customHeight="1">
      <c r="A67" s="179">
        <f>'산출(기계)'!A67</f>
        <v>5</v>
      </c>
      <c r="B67" s="141" t="str">
        <f>'산출(기계)'!B67</f>
        <v>HANGER ASS'Y</v>
      </c>
      <c r="C67" s="140"/>
      <c r="D67" s="141" t="str">
        <f t="shared" si="17"/>
        <v>HANGER ASS'Y</v>
      </c>
      <c r="E67" s="68" t="str">
        <f>'산출(기계)'!D67</f>
        <v>SET</v>
      </c>
      <c r="F67" s="68">
        <f>'산출(기계)'!H67</f>
        <v>4</v>
      </c>
      <c r="G67" s="180">
        <f>VLOOKUP(D:D,적용!A:B,2,FALSE)</f>
        <v>32000</v>
      </c>
      <c r="H67" s="181">
        <f t="shared" si="18"/>
        <v>128000</v>
      </c>
      <c r="I67" s="172"/>
      <c r="J67" s="181">
        <f t="shared" si="19"/>
        <v>0</v>
      </c>
      <c r="K67" s="181">
        <f t="shared" si="16"/>
        <v>128000</v>
      </c>
      <c r="L67" s="173"/>
      <c r="N67" s="56"/>
    </row>
    <row r="68" spans="1:15" s="53" customFormat="1" ht="18" customHeight="1">
      <c r="A68" s="179">
        <f>'산출(기계)'!A68</f>
        <v>6</v>
      </c>
      <c r="B68" s="141" t="str">
        <f>'산출(기계)'!B68</f>
        <v>설치인건비</v>
      </c>
      <c r="C68" s="140" t="str">
        <f>'산출(기계)'!C68</f>
        <v>일반기기설치</v>
      </c>
      <c r="D68" s="141" t="str">
        <f t="shared" si="17"/>
        <v>설치인건비일반기기설치</v>
      </c>
      <c r="E68" s="68" t="str">
        <f>'산출(기계)'!D68</f>
        <v>TON</v>
      </c>
      <c r="F68" s="68">
        <f>'산출(기계)'!H68</f>
        <v>0.29486000000000001</v>
      </c>
      <c r="G68" s="180"/>
      <c r="H68" s="181">
        <f t="shared" si="18"/>
        <v>0</v>
      </c>
      <c r="I68" s="172">
        <f>일위대가!$K$16</f>
        <v>3150334</v>
      </c>
      <c r="J68" s="181">
        <f t="shared" si="19"/>
        <v>928907</v>
      </c>
      <c r="K68" s="181">
        <f t="shared" si="16"/>
        <v>928907</v>
      </c>
      <c r="L68" s="173" t="s">
        <v>192</v>
      </c>
      <c r="N68" s="56"/>
    </row>
    <row r="69" spans="1:15" s="53" customFormat="1" ht="18" customHeight="1">
      <c r="A69" s="179">
        <f>'산출(기계)'!A69</f>
        <v>0</v>
      </c>
      <c r="B69" s="158" t="str">
        <f>'산출(기계)'!B69</f>
        <v>철거</v>
      </c>
      <c r="C69" s="140">
        <f>'산출(기계)'!C69</f>
        <v>0</v>
      </c>
      <c r="D69" s="141" t="str">
        <f t="shared" si="17"/>
        <v>철거0</v>
      </c>
      <c r="E69" s="68">
        <f>'산출(기계)'!D69</f>
        <v>0</v>
      </c>
      <c r="F69" s="68">
        <f>'산출(기계)'!H69</f>
        <v>0</v>
      </c>
      <c r="G69" s="180"/>
      <c r="H69" s="181">
        <f t="shared" si="18"/>
        <v>0</v>
      </c>
      <c r="I69" s="172"/>
      <c r="J69" s="181"/>
      <c r="K69" s="181"/>
      <c r="L69" s="173"/>
      <c r="N69" s="56"/>
    </row>
    <row r="70" spans="1:15" s="53" customFormat="1" ht="18" customHeight="1">
      <c r="A70" s="179">
        <f>'산출(기계)'!A70</f>
        <v>1</v>
      </c>
      <c r="B70" s="141" t="str">
        <f>'산출(기계)'!B70</f>
        <v>철거인건비</v>
      </c>
      <c r="C70" s="140" t="str">
        <f>'산출(기계)'!C70</f>
        <v>재사용을 고려안할경우</v>
      </c>
      <c r="D70" s="141" t="str">
        <f t="shared" si="17"/>
        <v>철거인건비재사용을 고려안할경우</v>
      </c>
      <c r="E70" s="68" t="str">
        <f>'산출(기계)'!D70</f>
        <v>TON</v>
      </c>
      <c r="F70" s="68">
        <f>'산출(기계)'!H70</f>
        <v>0.17100000000000001</v>
      </c>
      <c r="G70" s="180"/>
      <c r="H70" s="181">
        <f t="shared" si="18"/>
        <v>0</v>
      </c>
      <c r="I70" s="172">
        <f>일위대가!$K$18</f>
        <v>1890200</v>
      </c>
      <c r="J70" s="181">
        <f t="shared" ref="J70:J71" si="20">INT(I70*F70)</f>
        <v>323224</v>
      </c>
      <c r="K70" s="181">
        <f t="shared" ref="K70:K71" si="21">H70+J70</f>
        <v>323224</v>
      </c>
      <c r="L70" s="173" t="s">
        <v>192</v>
      </c>
      <c r="N70" s="56"/>
    </row>
    <row r="71" spans="1:15" s="53" customFormat="1" ht="18" customHeight="1">
      <c r="A71" s="179">
        <f>'산출(기계)'!A71</f>
        <v>2</v>
      </c>
      <c r="B71" s="141" t="str">
        <f>'산출(기계)'!B71</f>
        <v>고철</v>
      </c>
      <c r="C71" s="140"/>
      <c r="D71" s="141" t="str">
        <f t="shared" si="17"/>
        <v>고철</v>
      </c>
      <c r="E71" s="68" t="str">
        <f>'산출(기계)'!D71</f>
        <v>KG</v>
      </c>
      <c r="F71" s="68">
        <f>'산출(기계)'!H71</f>
        <v>35</v>
      </c>
      <c r="G71" s="180">
        <f>VLOOKUP(D:D,적용!A:B,2,FALSE)</f>
        <v>-130</v>
      </c>
      <c r="H71" s="181">
        <f t="shared" si="18"/>
        <v>-4550</v>
      </c>
      <c r="I71" s="172"/>
      <c r="J71" s="181">
        <f t="shared" si="20"/>
        <v>0</v>
      </c>
      <c r="K71" s="181">
        <f t="shared" si="21"/>
        <v>-4550</v>
      </c>
      <c r="L71" s="173"/>
      <c r="N71" s="56"/>
    </row>
    <row r="72" spans="1:15" s="53" customFormat="1" ht="18" customHeight="1">
      <c r="A72" s="179">
        <f>'산출(기계)'!A72</f>
        <v>0</v>
      </c>
      <c r="B72" s="158" t="str">
        <f>'산출(기계)'!B72</f>
        <v>동일구내이설</v>
      </c>
      <c r="C72" s="140"/>
      <c r="D72" s="141" t="str">
        <f t="shared" si="17"/>
        <v>동일구내이설</v>
      </c>
      <c r="E72" s="68">
        <f>'산출(기계)'!D72</f>
        <v>0</v>
      </c>
      <c r="F72" s="68">
        <f>'산출(기계)'!H72</f>
        <v>0</v>
      </c>
      <c r="G72" s="180"/>
      <c r="H72" s="181"/>
      <c r="I72" s="172"/>
      <c r="J72" s="181"/>
      <c r="K72" s="181"/>
      <c r="L72" s="173"/>
      <c r="N72" s="56"/>
    </row>
    <row r="73" spans="1:15" s="53" customFormat="1" ht="18" customHeight="1">
      <c r="A73" s="179">
        <f>'산출(기계)'!A75</f>
        <v>1</v>
      </c>
      <c r="B73" s="141" t="str">
        <f>'산출(기계)'!B75</f>
        <v>일반기기설치</v>
      </c>
      <c r="C73" s="140" t="str">
        <f>'산출(기계)'!C75</f>
        <v>동일구내이설</v>
      </c>
      <c r="D73" s="141" t="str">
        <f t="shared" ref="D73" si="22">B73&amp;C73</f>
        <v>일반기기설치동일구내이설</v>
      </c>
      <c r="E73" s="68" t="str">
        <f>'산출(기계)'!D75</f>
        <v>TON</v>
      </c>
      <c r="F73" s="68">
        <f>'산출(기계)'!H75</f>
        <v>0.27700000000000002</v>
      </c>
      <c r="G73" s="180"/>
      <c r="H73" s="181"/>
      <c r="I73" s="172">
        <f>일위대가!$K$25</f>
        <v>6048640</v>
      </c>
      <c r="J73" s="181">
        <f t="shared" ref="J73" si="23">INT(I73*F73)</f>
        <v>1675473</v>
      </c>
      <c r="K73" s="181">
        <f t="shared" ref="K73" si="24">H73+J73</f>
        <v>1675473</v>
      </c>
      <c r="L73" s="173" t="s">
        <v>192</v>
      </c>
      <c r="N73" s="56"/>
    </row>
    <row r="74" spans="1:15" s="53" customFormat="1" ht="18" customHeight="1">
      <c r="A74" s="179"/>
      <c r="B74" s="141"/>
      <c r="C74" s="140"/>
      <c r="D74" s="141"/>
      <c r="E74" s="68"/>
      <c r="F74" s="68"/>
      <c r="G74" s="180"/>
      <c r="H74" s="181"/>
      <c r="I74" s="172"/>
      <c r="J74" s="181"/>
      <c r="K74" s="181"/>
      <c r="L74" s="173"/>
      <c r="N74" s="56"/>
    </row>
    <row r="75" spans="1:15" s="53" customFormat="1" ht="18" customHeight="1">
      <c r="A75" s="179"/>
      <c r="B75" s="141"/>
      <c r="C75" s="140"/>
      <c r="D75" s="141"/>
      <c r="E75" s="68"/>
      <c r="F75" s="68"/>
      <c r="G75" s="180"/>
      <c r="H75" s="181"/>
      <c r="I75" s="172"/>
      <c r="J75" s="181"/>
      <c r="K75" s="181"/>
      <c r="L75" s="173"/>
      <c r="N75" s="56"/>
    </row>
    <row r="76" spans="1:15" s="53" customFormat="1" ht="18" customHeight="1">
      <c r="A76" s="179"/>
      <c r="B76" s="141"/>
      <c r="C76" s="140"/>
      <c r="D76" s="141"/>
      <c r="E76" s="68"/>
      <c r="F76" s="68"/>
      <c r="G76" s="180"/>
      <c r="H76" s="181"/>
      <c r="I76" s="172"/>
      <c r="J76" s="181"/>
      <c r="K76" s="181"/>
      <c r="L76" s="173"/>
      <c r="N76" s="56"/>
    </row>
    <row r="77" spans="1:15" s="53" customFormat="1" ht="18" customHeight="1">
      <c r="A77" s="179"/>
      <c r="B77" s="141"/>
      <c r="C77" s="140"/>
      <c r="D77" s="141"/>
      <c r="E77" s="68"/>
      <c r="F77" s="68"/>
      <c r="G77" s="180"/>
      <c r="H77" s="181"/>
      <c r="I77" s="172"/>
      <c r="J77" s="181"/>
      <c r="K77" s="181"/>
      <c r="L77" s="173"/>
      <c r="N77" s="56"/>
    </row>
    <row r="78" spans="1:15" s="53" customFormat="1" ht="18" customHeight="1">
      <c r="A78" s="179"/>
      <c r="B78" s="141"/>
      <c r="C78" s="140"/>
      <c r="D78" s="141"/>
      <c r="E78" s="68"/>
      <c r="F78" s="68"/>
      <c r="G78" s="180"/>
      <c r="H78" s="181"/>
      <c r="I78" s="172"/>
      <c r="J78" s="181"/>
      <c r="K78" s="181"/>
      <c r="L78" s="173"/>
      <c r="N78" s="56"/>
    </row>
    <row r="79" spans="1:15" s="53" customFormat="1" ht="18" customHeight="1">
      <c r="A79" s="179"/>
      <c r="B79" s="141"/>
      <c r="C79" s="140"/>
      <c r="D79" s="141"/>
      <c r="E79" s="68"/>
      <c r="F79" s="68"/>
      <c r="G79" s="180"/>
      <c r="H79" s="181"/>
      <c r="I79" s="172"/>
      <c r="J79" s="181"/>
      <c r="K79" s="181"/>
      <c r="L79" s="173"/>
      <c r="N79" s="56"/>
    </row>
    <row r="80" spans="1:15" s="53" customFormat="1" ht="18" customHeight="1">
      <c r="A80" s="179">
        <f>'산출(기계)'!A77</f>
        <v>0</v>
      </c>
      <c r="B80" s="141">
        <f>'산출(기계)'!B77</f>
        <v>0</v>
      </c>
      <c r="C80" s="140">
        <f>'산출(기계)'!C77</f>
        <v>0</v>
      </c>
      <c r="D80" s="141" t="str">
        <f>B80&amp;C80</f>
        <v>00</v>
      </c>
      <c r="E80" s="68">
        <f>'산출(기계)'!D77</f>
        <v>0</v>
      </c>
      <c r="F80" s="68">
        <f>'산출(기계)'!H77</f>
        <v>0</v>
      </c>
      <c r="G80" s="180"/>
      <c r="H80" s="172"/>
      <c r="I80" s="172"/>
      <c r="J80" s="172"/>
      <c r="K80" s="172"/>
      <c r="L80" s="173"/>
      <c r="N80" s="56"/>
    </row>
    <row r="81" spans="1:15" s="53" customFormat="1" ht="18" customHeight="1">
      <c r="A81" s="179"/>
      <c r="B81" s="141"/>
      <c r="C81" s="140"/>
      <c r="D81" s="141"/>
      <c r="E81" s="68"/>
      <c r="F81" s="68"/>
      <c r="G81" s="180"/>
      <c r="H81" s="172"/>
      <c r="I81" s="172"/>
      <c r="J81" s="172"/>
      <c r="K81" s="172"/>
      <c r="L81" s="173"/>
      <c r="N81" s="56"/>
    </row>
    <row r="82" spans="1:15" s="53" customFormat="1" ht="18" customHeight="1">
      <c r="A82" s="179">
        <f>'산출(기계)'!A82</f>
        <v>0</v>
      </c>
      <c r="B82" s="141">
        <f>'산출(기계)'!B82</f>
        <v>0</v>
      </c>
      <c r="C82" s="140">
        <f>'산출(기계)'!C82</f>
        <v>0</v>
      </c>
      <c r="D82" s="141" t="str">
        <f t="shared" ref="D82:D84" si="25">B82&amp;C82</f>
        <v>00</v>
      </c>
      <c r="E82" s="68">
        <f>'산출(기계)'!D82</f>
        <v>0</v>
      </c>
      <c r="F82" s="68">
        <f>'산출(기계)'!H82</f>
        <v>0</v>
      </c>
      <c r="G82" s="180"/>
      <c r="H82" s="172"/>
      <c r="I82" s="172"/>
      <c r="J82" s="172"/>
      <c r="K82" s="172"/>
      <c r="L82" s="173"/>
      <c r="N82" s="56"/>
    </row>
    <row r="83" spans="1:15" s="53" customFormat="1" ht="18" customHeight="1">
      <c r="A83" s="179">
        <f>'산출(기계)'!A83</f>
        <v>0</v>
      </c>
      <c r="B83" s="141">
        <f>'산출(기계)'!B83</f>
        <v>0</v>
      </c>
      <c r="C83" s="140">
        <f>'산출(기계)'!C83</f>
        <v>0</v>
      </c>
      <c r="D83" s="141" t="str">
        <f t="shared" si="25"/>
        <v>00</v>
      </c>
      <c r="E83" s="68">
        <f>'산출(기계)'!D83</f>
        <v>0</v>
      </c>
      <c r="F83" s="68">
        <f>'산출(기계)'!H83</f>
        <v>0</v>
      </c>
      <c r="G83" s="180"/>
      <c r="H83" s="172"/>
      <c r="I83" s="172"/>
      <c r="J83" s="172"/>
      <c r="K83" s="172"/>
      <c r="L83" s="173"/>
      <c r="N83" s="56"/>
    </row>
    <row r="84" spans="1:15" s="53" customFormat="1" ht="18" customHeight="1">
      <c r="A84" s="179">
        <f>'산출(기계)'!A84</f>
        <v>0</v>
      </c>
      <c r="B84" s="141">
        <f>'산출(기계)'!B84</f>
        <v>0</v>
      </c>
      <c r="C84" s="140">
        <f>'산출(기계)'!C84</f>
        <v>0</v>
      </c>
      <c r="D84" s="141" t="str">
        <f t="shared" si="25"/>
        <v>00</v>
      </c>
      <c r="E84" s="68">
        <f>'산출(기계)'!D84</f>
        <v>0</v>
      </c>
      <c r="F84" s="68">
        <f>'산출(기계)'!H84</f>
        <v>0</v>
      </c>
      <c r="G84" s="180"/>
      <c r="H84" s="172"/>
      <c r="I84" s="172"/>
      <c r="J84" s="172"/>
      <c r="K84" s="172"/>
      <c r="L84" s="173"/>
      <c r="N84" s="56"/>
    </row>
    <row r="85" spans="1:15" s="53" customFormat="1" ht="18" customHeight="1">
      <c r="A85" s="78"/>
      <c r="B85" s="148"/>
      <c r="C85" s="78"/>
      <c r="D85" s="78"/>
      <c r="E85" s="80"/>
      <c r="F85" s="80"/>
      <c r="G85" s="180"/>
      <c r="H85" s="172"/>
      <c r="I85" s="172"/>
      <c r="J85" s="172"/>
      <c r="K85" s="172"/>
      <c r="L85" s="173"/>
      <c r="N85" s="56"/>
    </row>
    <row r="86" spans="1:15" s="53" customFormat="1" ht="18" customHeight="1">
      <c r="A86" s="78"/>
      <c r="B86" s="148"/>
      <c r="C86" s="78"/>
      <c r="D86" s="78"/>
      <c r="E86" s="80"/>
      <c r="F86" s="80"/>
      <c r="G86" s="180"/>
      <c r="H86" s="172"/>
      <c r="I86" s="172"/>
      <c r="J86" s="172"/>
      <c r="K86" s="172"/>
      <c r="L86" s="173"/>
      <c r="N86" s="56"/>
    </row>
    <row r="87" spans="1:15" ht="18" customHeight="1">
      <c r="A87" s="179"/>
      <c r="B87" s="184" t="s">
        <v>92</v>
      </c>
      <c r="C87" s="185"/>
      <c r="D87" s="186"/>
      <c r="E87" s="141"/>
      <c r="F87" s="68"/>
      <c r="G87" s="178"/>
      <c r="H87" s="178">
        <f>SUM(H62:H86)</f>
        <v>3506530</v>
      </c>
      <c r="I87" s="178"/>
      <c r="J87" s="178">
        <f>SUM(J62:J86)</f>
        <v>2927604</v>
      </c>
      <c r="K87" s="178">
        <f>H87+J87</f>
        <v>6434134</v>
      </c>
      <c r="L87" s="72"/>
    </row>
    <row r="88" spans="1:15" s="142" customFormat="1" ht="18" customHeight="1">
      <c r="A88" s="142" t="str">
        <f>'산출(기계)'!A88</f>
        <v>NO.4) NO.1 SUSPENSION LIGHT BATTEN</v>
      </c>
      <c r="F88" s="175"/>
      <c r="G88" s="176"/>
      <c r="H88" s="176"/>
      <c r="I88" s="176"/>
      <c r="J88" s="176"/>
      <c r="K88" s="177"/>
    </row>
    <row r="89" spans="1:15" ht="18" customHeight="1">
      <c r="A89" s="395" t="s">
        <v>33</v>
      </c>
      <c r="B89" s="395" t="s">
        <v>88</v>
      </c>
      <c r="C89" s="395" t="s">
        <v>87</v>
      </c>
      <c r="D89" s="343"/>
      <c r="E89" s="395" t="s">
        <v>36</v>
      </c>
      <c r="F89" s="395" t="s">
        <v>7</v>
      </c>
      <c r="G89" s="393" t="s">
        <v>90</v>
      </c>
      <c r="H89" s="394"/>
      <c r="I89" s="393" t="s">
        <v>85</v>
      </c>
      <c r="J89" s="394"/>
      <c r="K89" s="395" t="s">
        <v>84</v>
      </c>
      <c r="L89" s="395" t="s">
        <v>39</v>
      </c>
    </row>
    <row r="90" spans="1:15" ht="18" customHeight="1">
      <c r="A90" s="396"/>
      <c r="B90" s="396"/>
      <c r="C90" s="396"/>
      <c r="D90" s="344"/>
      <c r="E90" s="396"/>
      <c r="F90" s="396"/>
      <c r="G90" s="174" t="s">
        <v>82</v>
      </c>
      <c r="H90" s="174" t="s">
        <v>80</v>
      </c>
      <c r="I90" s="174" t="s">
        <v>81</v>
      </c>
      <c r="J90" s="174" t="s">
        <v>80</v>
      </c>
      <c r="K90" s="396"/>
      <c r="L90" s="396"/>
    </row>
    <row r="91" spans="1:15" ht="18" customHeight="1">
      <c r="A91" s="158"/>
      <c r="B91" s="158" t="str">
        <f>'산출(기계)'!B91</f>
        <v>교체설치</v>
      </c>
      <c r="C91" s="68"/>
      <c r="D91" s="68"/>
      <c r="E91" s="68"/>
      <c r="F91" s="68"/>
      <c r="G91" s="178"/>
      <c r="H91" s="178"/>
      <c r="I91" s="178"/>
      <c r="J91" s="178"/>
      <c r="K91" s="208"/>
      <c r="L91" s="68"/>
    </row>
    <row r="92" spans="1:15" ht="18" customHeight="1">
      <c r="A92" s="179">
        <f>'산출(기계)'!A92</f>
        <v>1</v>
      </c>
      <c r="B92" s="141" t="str">
        <f>'산출(기계)'!B92</f>
        <v>DRIVE M/C ASS'Y</v>
      </c>
      <c r="C92" s="140" t="str">
        <f>'산출(기계)'!C92</f>
        <v>2.2KWx4P</v>
      </c>
      <c r="D92" s="141" t="str">
        <f>B92&amp;C92</f>
        <v>DRIVE M/C ASS'Y2.2KWx4P</v>
      </c>
      <c r="E92" s="68" t="str">
        <f>'산출(기계)'!D92</f>
        <v>SET</v>
      </c>
      <c r="F92" s="68">
        <f>'산출(기계)'!H92</f>
        <v>1</v>
      </c>
      <c r="G92" s="180">
        <f>VLOOKUP(D:D,적용!A:B,2,FALSE)</f>
        <v>3000000</v>
      </c>
      <c r="H92" s="181">
        <f>INT(G92*F92)</f>
        <v>3000000</v>
      </c>
      <c r="I92" s="181"/>
      <c r="J92" s="181">
        <f>INT(I92*F92)</f>
        <v>0</v>
      </c>
      <c r="K92" s="181">
        <f t="shared" ref="K92:K97" si="26">H92+J92</f>
        <v>3000000</v>
      </c>
      <c r="L92" s="182"/>
      <c r="O92" s="183"/>
    </row>
    <row r="93" spans="1:15" ht="18" customHeight="1">
      <c r="A93" s="179">
        <f>'산출(기계)'!A93</f>
        <v>2</v>
      </c>
      <c r="B93" s="141" t="str">
        <f>'산출(기계)'!B93</f>
        <v>V-SHEAVE</v>
      </c>
      <c r="C93" s="140" t="str">
        <f>'산출(기계)'!C93</f>
        <v>Ø200x3P</v>
      </c>
      <c r="D93" s="141" t="str">
        <f t="shared" ref="D93:D102" si="27">B93&amp;C93</f>
        <v>V-SHEAVEØ200x3P</v>
      </c>
      <c r="E93" s="68" t="str">
        <f>'산출(기계)'!D93</f>
        <v>SET</v>
      </c>
      <c r="F93" s="68">
        <f>'산출(기계)'!H93</f>
        <v>1</v>
      </c>
      <c r="G93" s="180">
        <f>VLOOKUP(D:D,적용!A:B,2,FALSE)</f>
        <v>100000</v>
      </c>
      <c r="H93" s="181">
        <f t="shared" ref="H93:H100" si="28">INT(G93*F93)</f>
        <v>100000</v>
      </c>
      <c r="I93" s="181"/>
      <c r="J93" s="181">
        <f t="shared" ref="J93:J97" si="29">INT(I93*F93)</f>
        <v>0</v>
      </c>
      <c r="K93" s="181">
        <f t="shared" si="26"/>
        <v>100000</v>
      </c>
      <c r="L93" s="182"/>
      <c r="O93" s="183"/>
    </row>
    <row r="94" spans="1:15" ht="18" customHeight="1">
      <c r="A94" s="179">
        <f>'산출(기계)'!A94</f>
        <v>3</v>
      </c>
      <c r="B94" s="141" t="str">
        <f>'산출(기계)'!B94</f>
        <v>V-SHEAVE</v>
      </c>
      <c r="C94" s="140" t="str">
        <f>'산출(기계)'!C94</f>
        <v>Ø200x1P</v>
      </c>
      <c r="D94" s="141" t="str">
        <f t="shared" si="27"/>
        <v>V-SHEAVEØ200x1P</v>
      </c>
      <c r="E94" s="68" t="str">
        <f>'산출(기계)'!D94</f>
        <v>SET</v>
      </c>
      <c r="F94" s="68">
        <f>'산출(기계)'!H94</f>
        <v>3</v>
      </c>
      <c r="G94" s="180">
        <f>VLOOKUP(D:D,적용!A:B,2,FALSE)</f>
        <v>70000</v>
      </c>
      <c r="H94" s="181">
        <f t="shared" si="28"/>
        <v>210000</v>
      </c>
      <c r="I94" s="181"/>
      <c r="J94" s="181">
        <f t="shared" si="29"/>
        <v>0</v>
      </c>
      <c r="K94" s="181">
        <f t="shared" si="26"/>
        <v>210000</v>
      </c>
      <c r="L94" s="209"/>
      <c r="O94" s="183"/>
    </row>
    <row r="95" spans="1:15" ht="18" customHeight="1">
      <c r="A95" s="179">
        <f>'산출(기계)'!A95</f>
        <v>4</v>
      </c>
      <c r="B95" s="141" t="str">
        <f>'산출(기계)'!B95</f>
        <v>WIRE ROPE</v>
      </c>
      <c r="C95" s="140" t="str">
        <f>'산출(기계)'!C95</f>
        <v>Ø6</v>
      </c>
      <c r="D95" s="141" t="str">
        <f t="shared" si="27"/>
        <v>WIRE ROPEØ6</v>
      </c>
      <c r="E95" s="68" t="str">
        <f>'산출(기계)'!D95</f>
        <v>M</v>
      </c>
      <c r="F95" s="68">
        <f>'산출(기계)'!H95</f>
        <v>58</v>
      </c>
      <c r="G95" s="180">
        <f>VLOOKUP(D:D,적용!A:B,2,FALSE)</f>
        <v>1260</v>
      </c>
      <c r="H95" s="181">
        <f t="shared" si="28"/>
        <v>73080</v>
      </c>
      <c r="I95" s="181"/>
      <c r="J95" s="181">
        <f t="shared" si="29"/>
        <v>0</v>
      </c>
      <c r="K95" s="181">
        <f t="shared" si="26"/>
        <v>73080</v>
      </c>
      <c r="L95" s="209"/>
      <c r="O95" s="183"/>
    </row>
    <row r="96" spans="1:15" s="53" customFormat="1" ht="18" customHeight="1">
      <c r="A96" s="179">
        <f>'산출(기계)'!A96</f>
        <v>5</v>
      </c>
      <c r="B96" s="141" t="str">
        <f>'산출(기계)'!B96</f>
        <v>HANGER ASS'Y</v>
      </c>
      <c r="C96" s="140"/>
      <c r="D96" s="141" t="str">
        <f t="shared" si="27"/>
        <v>HANGER ASS'Y</v>
      </c>
      <c r="E96" s="68" t="str">
        <f>'산출(기계)'!D96</f>
        <v>SET</v>
      </c>
      <c r="F96" s="68">
        <f>'산출(기계)'!H96</f>
        <v>4</v>
      </c>
      <c r="G96" s="180">
        <f>VLOOKUP(D:D,적용!A:B,2,FALSE)</f>
        <v>32000</v>
      </c>
      <c r="H96" s="181">
        <f t="shared" si="28"/>
        <v>128000</v>
      </c>
      <c r="I96" s="172"/>
      <c r="J96" s="181">
        <f t="shared" si="29"/>
        <v>0</v>
      </c>
      <c r="K96" s="181">
        <f t="shared" si="26"/>
        <v>128000</v>
      </c>
      <c r="L96" s="173"/>
      <c r="N96" s="56"/>
    </row>
    <row r="97" spans="1:14" s="53" customFormat="1" ht="18" customHeight="1">
      <c r="A97" s="179">
        <f>'산출(기계)'!A97</f>
        <v>6</v>
      </c>
      <c r="B97" s="141" t="str">
        <f>'산출(기계)'!B97</f>
        <v>설치인건비</v>
      </c>
      <c r="C97" s="140" t="str">
        <f>'산출(기계)'!C97</f>
        <v>일반기기설치</v>
      </c>
      <c r="D97" s="141" t="str">
        <f t="shared" si="27"/>
        <v>설치인건비일반기기설치</v>
      </c>
      <c r="E97" s="68" t="str">
        <f>'산출(기계)'!D97</f>
        <v>TON</v>
      </c>
      <c r="F97" s="68">
        <f>'산출(기계)'!H97</f>
        <v>0.34286</v>
      </c>
      <c r="G97" s="180"/>
      <c r="H97" s="181">
        <f t="shared" si="28"/>
        <v>0</v>
      </c>
      <c r="I97" s="172">
        <f>일위대가!$K$16</f>
        <v>3150334</v>
      </c>
      <c r="J97" s="181">
        <f t="shared" si="29"/>
        <v>1080123</v>
      </c>
      <c r="K97" s="181">
        <f t="shared" si="26"/>
        <v>1080123</v>
      </c>
      <c r="L97" s="173" t="s">
        <v>192</v>
      </c>
      <c r="N97" s="56"/>
    </row>
    <row r="98" spans="1:14" s="53" customFormat="1" ht="18" customHeight="1">
      <c r="A98" s="179">
        <f>'산출(기계)'!A98</f>
        <v>0</v>
      </c>
      <c r="B98" s="158" t="str">
        <f>'산출(기계)'!B98</f>
        <v>철거</v>
      </c>
      <c r="C98" s="140">
        <f>'산출(기계)'!C98</f>
        <v>0</v>
      </c>
      <c r="D98" s="141" t="str">
        <f t="shared" si="27"/>
        <v>철거0</v>
      </c>
      <c r="E98" s="68">
        <f>'산출(기계)'!D98</f>
        <v>0</v>
      </c>
      <c r="F98" s="68">
        <f>'산출(기계)'!H98</f>
        <v>0</v>
      </c>
      <c r="G98" s="180"/>
      <c r="H98" s="181">
        <f t="shared" si="28"/>
        <v>0</v>
      </c>
      <c r="I98" s="172"/>
      <c r="J98" s="181"/>
      <c r="K98" s="181"/>
      <c r="L98" s="173"/>
      <c r="N98" s="56"/>
    </row>
    <row r="99" spans="1:14" s="53" customFormat="1" ht="18" customHeight="1">
      <c r="A99" s="179">
        <f>'산출(기계)'!A99</f>
        <v>1</v>
      </c>
      <c r="B99" s="141" t="str">
        <f>'산출(기계)'!B99</f>
        <v>철거인건비</v>
      </c>
      <c r="C99" s="140" t="str">
        <f>'산출(기계)'!C99</f>
        <v>재사용을 고려안할경우</v>
      </c>
      <c r="D99" s="141" t="str">
        <f t="shared" si="27"/>
        <v>철거인건비재사용을 고려안할경우</v>
      </c>
      <c r="E99" s="68" t="str">
        <f>'산출(기계)'!D99</f>
        <v>TON</v>
      </c>
      <c r="F99" s="68">
        <f>'산출(기계)'!H99</f>
        <v>0.17100000000000001</v>
      </c>
      <c r="G99" s="180"/>
      <c r="H99" s="181">
        <f t="shared" si="28"/>
        <v>0</v>
      </c>
      <c r="I99" s="172">
        <f>일위대가!$K$18</f>
        <v>1890200</v>
      </c>
      <c r="J99" s="181">
        <f t="shared" ref="J99:J100" si="30">INT(I99*F99)</f>
        <v>323224</v>
      </c>
      <c r="K99" s="181">
        <f t="shared" ref="K99:K100" si="31">H99+J99</f>
        <v>323224</v>
      </c>
      <c r="L99" s="173" t="s">
        <v>192</v>
      </c>
      <c r="N99" s="56"/>
    </row>
    <row r="100" spans="1:14" s="53" customFormat="1" ht="18" customHeight="1">
      <c r="A100" s="179">
        <f>'산출(기계)'!A100</f>
        <v>2</v>
      </c>
      <c r="B100" s="141" t="str">
        <f>'산출(기계)'!B100</f>
        <v>고철</v>
      </c>
      <c r="C100" s="140"/>
      <c r="D100" s="141" t="str">
        <f t="shared" si="27"/>
        <v>고철</v>
      </c>
      <c r="E100" s="68" t="str">
        <f>'산출(기계)'!D100</f>
        <v>KG</v>
      </c>
      <c r="F100" s="68">
        <f>'산출(기계)'!H100</f>
        <v>35</v>
      </c>
      <c r="G100" s="180">
        <f>VLOOKUP(D:D,적용!A:B,2,FALSE)</f>
        <v>-130</v>
      </c>
      <c r="H100" s="181">
        <f t="shared" si="28"/>
        <v>-4550</v>
      </c>
      <c r="I100" s="172"/>
      <c r="J100" s="181">
        <f t="shared" si="30"/>
        <v>0</v>
      </c>
      <c r="K100" s="181">
        <f t="shared" si="31"/>
        <v>-4550</v>
      </c>
      <c r="L100" s="173"/>
      <c r="N100" s="56"/>
    </row>
    <row r="101" spans="1:14" s="53" customFormat="1" ht="18" customHeight="1">
      <c r="A101" s="179">
        <f>'산출(기계)'!A101</f>
        <v>0</v>
      </c>
      <c r="B101" s="158" t="str">
        <f>'산출(기계)'!B101</f>
        <v>동일구내이설</v>
      </c>
      <c r="C101" s="140"/>
      <c r="D101" s="141" t="str">
        <f t="shared" si="27"/>
        <v>동일구내이설</v>
      </c>
      <c r="E101" s="68">
        <f>'산출(기계)'!D101</f>
        <v>0</v>
      </c>
      <c r="F101" s="68">
        <f>'산출(기계)'!H101</f>
        <v>0</v>
      </c>
      <c r="G101" s="180"/>
      <c r="H101" s="181"/>
      <c r="I101" s="172"/>
      <c r="J101" s="181"/>
      <c r="K101" s="181"/>
      <c r="L101" s="173"/>
      <c r="N101" s="56"/>
    </row>
    <row r="102" spans="1:14" s="53" customFormat="1" ht="18" customHeight="1">
      <c r="A102" s="179">
        <f>'산출(기계)'!A104</f>
        <v>1</v>
      </c>
      <c r="B102" s="141" t="str">
        <f>'산출(기계)'!B104</f>
        <v>일반기기설치</v>
      </c>
      <c r="C102" s="140" t="str">
        <f>'산출(기계)'!C104</f>
        <v>동일구내이설</v>
      </c>
      <c r="D102" s="141" t="str">
        <f t="shared" si="27"/>
        <v>일반기기설치동일구내이설</v>
      </c>
      <c r="E102" s="68" t="str">
        <f>'산출(기계)'!D104</f>
        <v>TON</v>
      </c>
      <c r="F102" s="68">
        <f>'산출(기계)'!H104</f>
        <v>0.30399999999999999</v>
      </c>
      <c r="G102" s="180"/>
      <c r="H102" s="181"/>
      <c r="I102" s="172">
        <f>일위대가!$K$25</f>
        <v>6048640</v>
      </c>
      <c r="J102" s="181">
        <f t="shared" ref="J102" si="32">INT(I102*F102)</f>
        <v>1838786</v>
      </c>
      <c r="K102" s="181">
        <f t="shared" ref="K102" si="33">H102+J102</f>
        <v>1838786</v>
      </c>
      <c r="L102" s="173" t="s">
        <v>192</v>
      </c>
      <c r="N102" s="56"/>
    </row>
    <row r="103" spans="1:14" s="53" customFormat="1" ht="18" customHeight="1">
      <c r="A103" s="179"/>
      <c r="B103" s="141"/>
      <c r="C103" s="140"/>
      <c r="D103" s="141"/>
      <c r="E103" s="68"/>
      <c r="F103" s="68"/>
      <c r="G103" s="180"/>
      <c r="H103" s="181"/>
      <c r="I103" s="172"/>
      <c r="J103" s="181"/>
      <c r="K103" s="181"/>
      <c r="L103" s="173"/>
      <c r="N103" s="56"/>
    </row>
    <row r="104" spans="1:14" s="53" customFormat="1" ht="18" customHeight="1">
      <c r="A104" s="179"/>
      <c r="B104" s="141"/>
      <c r="C104" s="140"/>
      <c r="D104" s="141"/>
      <c r="E104" s="68"/>
      <c r="F104" s="68"/>
      <c r="G104" s="180"/>
      <c r="H104" s="181"/>
      <c r="I104" s="172"/>
      <c r="J104" s="181"/>
      <c r="K104" s="181"/>
      <c r="L104" s="173"/>
      <c r="N104" s="56"/>
    </row>
    <row r="105" spans="1:14" s="53" customFormat="1" ht="18" customHeight="1">
      <c r="A105" s="179"/>
      <c r="B105" s="141"/>
      <c r="C105" s="140"/>
      <c r="D105" s="141"/>
      <c r="E105" s="68"/>
      <c r="F105" s="68"/>
      <c r="G105" s="180"/>
      <c r="H105" s="181"/>
      <c r="I105" s="172"/>
      <c r="J105" s="181"/>
      <c r="K105" s="181"/>
      <c r="L105" s="173"/>
      <c r="N105" s="56"/>
    </row>
    <row r="106" spans="1:14" s="53" customFormat="1" ht="18" customHeight="1">
      <c r="A106" s="179"/>
      <c r="B106" s="141"/>
      <c r="C106" s="140"/>
      <c r="D106" s="141"/>
      <c r="E106" s="68"/>
      <c r="F106" s="68"/>
      <c r="G106" s="180"/>
      <c r="H106" s="181"/>
      <c r="I106" s="172"/>
      <c r="J106" s="181"/>
      <c r="K106" s="181"/>
      <c r="L106" s="173"/>
      <c r="N106" s="56"/>
    </row>
    <row r="107" spans="1:14" s="53" customFormat="1" ht="18" customHeight="1">
      <c r="A107" s="179"/>
      <c r="B107" s="141"/>
      <c r="C107" s="140"/>
      <c r="D107" s="141"/>
      <c r="E107" s="68"/>
      <c r="F107" s="68"/>
      <c r="G107" s="180"/>
      <c r="H107" s="181"/>
      <c r="I107" s="172"/>
      <c r="J107" s="181"/>
      <c r="K107" s="181"/>
      <c r="L107" s="173"/>
      <c r="N107" s="56"/>
    </row>
    <row r="108" spans="1:14" s="53" customFormat="1" ht="18" customHeight="1">
      <c r="A108" s="179"/>
      <c r="B108" s="141"/>
      <c r="C108" s="140"/>
      <c r="D108" s="141"/>
      <c r="E108" s="68"/>
      <c r="F108" s="68"/>
      <c r="G108" s="180"/>
      <c r="H108" s="181"/>
      <c r="I108" s="172"/>
      <c r="J108" s="181"/>
      <c r="K108" s="181"/>
      <c r="L108" s="173"/>
      <c r="N108" s="56"/>
    </row>
    <row r="109" spans="1:14" s="53" customFormat="1" ht="18" customHeight="1">
      <c r="A109" s="179">
        <f>'산출(기계)'!A106</f>
        <v>0</v>
      </c>
      <c r="B109" s="141">
        <f>'산출(기계)'!B106</f>
        <v>0</v>
      </c>
      <c r="C109" s="140">
        <f>'산출(기계)'!C106</f>
        <v>0</v>
      </c>
      <c r="D109" s="141" t="str">
        <f>B109&amp;C109</f>
        <v>00</v>
      </c>
      <c r="E109" s="68">
        <f>'산출(기계)'!D106</f>
        <v>0</v>
      </c>
      <c r="F109" s="68">
        <f>'산출(기계)'!H106</f>
        <v>0</v>
      </c>
      <c r="G109" s="180"/>
      <c r="H109" s="172"/>
      <c r="I109" s="172"/>
      <c r="J109" s="172"/>
      <c r="K109" s="172"/>
      <c r="L109" s="173"/>
      <c r="N109" s="56"/>
    </row>
    <row r="110" spans="1:14" s="53" customFormat="1" ht="18" customHeight="1">
      <c r="A110" s="179"/>
      <c r="B110" s="141"/>
      <c r="C110" s="140"/>
      <c r="D110" s="141"/>
      <c r="E110" s="68"/>
      <c r="F110" s="68"/>
      <c r="G110" s="180"/>
      <c r="H110" s="172"/>
      <c r="I110" s="172"/>
      <c r="J110" s="172"/>
      <c r="K110" s="172"/>
      <c r="L110" s="173"/>
      <c r="N110" s="56"/>
    </row>
    <row r="111" spans="1:14" s="53" customFormat="1" ht="18" customHeight="1">
      <c r="A111" s="179">
        <f>'산출(기계)'!A111</f>
        <v>0</v>
      </c>
      <c r="B111" s="141">
        <f>'산출(기계)'!B111</f>
        <v>0</v>
      </c>
      <c r="C111" s="140">
        <f>'산출(기계)'!C111</f>
        <v>0</v>
      </c>
      <c r="D111" s="141" t="str">
        <f t="shared" ref="D111:D113" si="34">B111&amp;C111</f>
        <v>00</v>
      </c>
      <c r="E111" s="68">
        <f>'산출(기계)'!D111</f>
        <v>0</v>
      </c>
      <c r="F111" s="68">
        <f>'산출(기계)'!H111</f>
        <v>0</v>
      </c>
      <c r="G111" s="180"/>
      <c r="H111" s="172"/>
      <c r="I111" s="172"/>
      <c r="J111" s="172"/>
      <c r="K111" s="172"/>
      <c r="L111" s="173"/>
      <c r="N111" s="56"/>
    </row>
    <row r="112" spans="1:14" s="53" customFormat="1" ht="18" customHeight="1">
      <c r="A112" s="179">
        <f>'산출(기계)'!A112</f>
        <v>0</v>
      </c>
      <c r="B112" s="141">
        <f>'산출(기계)'!B112</f>
        <v>0</v>
      </c>
      <c r="C112" s="140">
        <f>'산출(기계)'!C112</f>
        <v>0</v>
      </c>
      <c r="D112" s="141" t="str">
        <f t="shared" si="34"/>
        <v>00</v>
      </c>
      <c r="E112" s="68">
        <f>'산출(기계)'!D112</f>
        <v>0</v>
      </c>
      <c r="F112" s="68">
        <f>'산출(기계)'!H112</f>
        <v>0</v>
      </c>
      <c r="G112" s="180"/>
      <c r="H112" s="172"/>
      <c r="I112" s="172"/>
      <c r="J112" s="172"/>
      <c r="K112" s="172"/>
      <c r="L112" s="173"/>
      <c r="N112" s="56"/>
    </row>
    <row r="113" spans="1:15" s="53" customFormat="1" ht="18" customHeight="1">
      <c r="A113" s="179">
        <f>'산출(기계)'!A113</f>
        <v>0</v>
      </c>
      <c r="B113" s="141">
        <f>'산출(기계)'!B113</f>
        <v>0</v>
      </c>
      <c r="C113" s="140">
        <f>'산출(기계)'!C113</f>
        <v>0</v>
      </c>
      <c r="D113" s="141" t="str">
        <f t="shared" si="34"/>
        <v>00</v>
      </c>
      <c r="E113" s="68">
        <f>'산출(기계)'!D113</f>
        <v>0</v>
      </c>
      <c r="F113" s="68">
        <f>'산출(기계)'!H113</f>
        <v>0</v>
      </c>
      <c r="G113" s="180"/>
      <c r="H113" s="172"/>
      <c r="I113" s="172"/>
      <c r="J113" s="172"/>
      <c r="K113" s="172"/>
      <c r="L113" s="173"/>
      <c r="N113" s="56"/>
    </row>
    <row r="114" spans="1:15" s="53" customFormat="1" ht="18" customHeight="1">
      <c r="A114" s="78"/>
      <c r="B114" s="148"/>
      <c r="C114" s="78"/>
      <c r="D114" s="78"/>
      <c r="E114" s="80"/>
      <c r="F114" s="80"/>
      <c r="G114" s="180"/>
      <c r="H114" s="172"/>
      <c r="I114" s="172"/>
      <c r="J114" s="172"/>
      <c r="K114" s="172"/>
      <c r="L114" s="173"/>
      <c r="N114" s="56"/>
    </row>
    <row r="115" spans="1:15" s="53" customFormat="1" ht="18" customHeight="1">
      <c r="A115" s="78"/>
      <c r="B115" s="148"/>
      <c r="C115" s="78"/>
      <c r="D115" s="78"/>
      <c r="E115" s="80"/>
      <c r="F115" s="80"/>
      <c r="G115" s="180"/>
      <c r="H115" s="172"/>
      <c r="I115" s="172"/>
      <c r="J115" s="172"/>
      <c r="K115" s="172"/>
      <c r="L115" s="173"/>
      <c r="N115" s="56"/>
    </row>
    <row r="116" spans="1:15" ht="18" customHeight="1">
      <c r="A116" s="179"/>
      <c r="B116" s="184" t="s">
        <v>92</v>
      </c>
      <c r="C116" s="185"/>
      <c r="D116" s="186"/>
      <c r="E116" s="141"/>
      <c r="F116" s="68"/>
      <c r="G116" s="178"/>
      <c r="H116" s="178">
        <f>SUM(H91:H115)</f>
        <v>3506530</v>
      </c>
      <c r="I116" s="178"/>
      <c r="J116" s="178">
        <f>SUM(J91:J115)</f>
        <v>3242133</v>
      </c>
      <c r="K116" s="178">
        <f>H116+J116</f>
        <v>6748663</v>
      </c>
      <c r="L116" s="72"/>
    </row>
    <row r="117" spans="1:15" s="142" customFormat="1" ht="18" customHeight="1">
      <c r="A117" s="142" t="str">
        <f>'산출(기계)'!A117</f>
        <v>NO.5) NO.2 SUSPENSION LIGHT BATTEN</v>
      </c>
      <c r="F117" s="175"/>
      <c r="G117" s="176"/>
      <c r="H117" s="176"/>
      <c r="I117" s="176"/>
      <c r="J117" s="176"/>
      <c r="K117" s="177"/>
    </row>
    <row r="118" spans="1:15" ht="18" customHeight="1">
      <c r="A118" s="395" t="s">
        <v>33</v>
      </c>
      <c r="B118" s="395" t="s">
        <v>88</v>
      </c>
      <c r="C118" s="395" t="s">
        <v>87</v>
      </c>
      <c r="D118" s="343"/>
      <c r="E118" s="395" t="s">
        <v>36</v>
      </c>
      <c r="F118" s="395" t="s">
        <v>7</v>
      </c>
      <c r="G118" s="393" t="s">
        <v>90</v>
      </c>
      <c r="H118" s="394"/>
      <c r="I118" s="393" t="s">
        <v>85</v>
      </c>
      <c r="J118" s="394"/>
      <c r="K118" s="395" t="s">
        <v>84</v>
      </c>
      <c r="L118" s="395" t="s">
        <v>39</v>
      </c>
    </row>
    <row r="119" spans="1:15" ht="18" customHeight="1">
      <c r="A119" s="396"/>
      <c r="B119" s="396"/>
      <c r="C119" s="396"/>
      <c r="D119" s="344"/>
      <c r="E119" s="396"/>
      <c r="F119" s="396"/>
      <c r="G119" s="174" t="s">
        <v>82</v>
      </c>
      <c r="H119" s="174" t="s">
        <v>80</v>
      </c>
      <c r="I119" s="174" t="s">
        <v>81</v>
      </c>
      <c r="J119" s="174" t="s">
        <v>80</v>
      </c>
      <c r="K119" s="396"/>
      <c r="L119" s="396"/>
    </row>
    <row r="120" spans="1:15" ht="18" customHeight="1">
      <c r="A120" s="158"/>
      <c r="B120" s="158" t="str">
        <f>'산출(기계)'!B120</f>
        <v>교체설치</v>
      </c>
      <c r="C120" s="68"/>
      <c r="D120" s="68"/>
      <c r="E120" s="68"/>
      <c r="F120" s="68"/>
      <c r="G120" s="178"/>
      <c r="H120" s="178"/>
      <c r="I120" s="178"/>
      <c r="J120" s="178"/>
      <c r="K120" s="208"/>
      <c r="L120" s="68"/>
    </row>
    <row r="121" spans="1:15" ht="18" customHeight="1">
      <c r="A121" s="179">
        <f>'산출(기계)'!A121</f>
        <v>1</v>
      </c>
      <c r="B121" s="141" t="str">
        <f>'산출(기계)'!B121</f>
        <v>DRIVE M/C ASS'Y</v>
      </c>
      <c r="C121" s="140" t="str">
        <f>'산출(기계)'!C121</f>
        <v>2.2KWx4P</v>
      </c>
      <c r="D121" s="141" t="str">
        <f>B121&amp;C121</f>
        <v>DRIVE M/C ASS'Y2.2KWx4P</v>
      </c>
      <c r="E121" s="68" t="str">
        <f>'산출(기계)'!D121</f>
        <v>SET</v>
      </c>
      <c r="F121" s="68">
        <f>'산출(기계)'!H121</f>
        <v>1</v>
      </c>
      <c r="G121" s="180">
        <f>VLOOKUP(D:D,적용!A:B,2,FALSE)</f>
        <v>3000000</v>
      </c>
      <c r="H121" s="181">
        <f>INT(G121*F121)</f>
        <v>3000000</v>
      </c>
      <c r="I121" s="181"/>
      <c r="J121" s="181">
        <f>INT(I121*F121)</f>
        <v>0</v>
      </c>
      <c r="K121" s="181">
        <f t="shared" ref="K121:K126" si="35">H121+J121</f>
        <v>3000000</v>
      </c>
      <c r="L121" s="182"/>
      <c r="O121" s="183"/>
    </row>
    <row r="122" spans="1:15" ht="18" customHeight="1">
      <c r="A122" s="179">
        <f>'산출(기계)'!A122</f>
        <v>2</v>
      </c>
      <c r="B122" s="141" t="str">
        <f>'산출(기계)'!B122</f>
        <v>V-SHEAVE</v>
      </c>
      <c r="C122" s="140" t="str">
        <f>'산출(기계)'!C122</f>
        <v>Ø200x3P</v>
      </c>
      <c r="D122" s="141" t="str">
        <f t="shared" ref="D122:D131" si="36">B122&amp;C122</f>
        <v>V-SHEAVEØ200x3P</v>
      </c>
      <c r="E122" s="68" t="str">
        <f>'산출(기계)'!D122</f>
        <v>SET</v>
      </c>
      <c r="F122" s="68">
        <f>'산출(기계)'!H122</f>
        <v>1</v>
      </c>
      <c r="G122" s="180">
        <f>VLOOKUP(D:D,적용!A:B,2,FALSE)</f>
        <v>100000</v>
      </c>
      <c r="H122" s="181">
        <f t="shared" ref="H122:H129" si="37">INT(G122*F122)</f>
        <v>100000</v>
      </c>
      <c r="I122" s="181"/>
      <c r="J122" s="181">
        <f t="shared" ref="J122:J126" si="38">INT(I122*F122)</f>
        <v>0</v>
      </c>
      <c r="K122" s="181">
        <f t="shared" si="35"/>
        <v>100000</v>
      </c>
      <c r="L122" s="182"/>
      <c r="O122" s="183"/>
    </row>
    <row r="123" spans="1:15" ht="18" customHeight="1">
      <c r="A123" s="179">
        <f>'산출(기계)'!A123</f>
        <v>3</v>
      </c>
      <c r="B123" s="141" t="str">
        <f>'산출(기계)'!B123</f>
        <v>V-SHEAVE</v>
      </c>
      <c r="C123" s="140" t="str">
        <f>'산출(기계)'!C123</f>
        <v>Ø200x1P</v>
      </c>
      <c r="D123" s="141" t="str">
        <f t="shared" si="36"/>
        <v>V-SHEAVEØ200x1P</v>
      </c>
      <c r="E123" s="68" t="str">
        <f>'산출(기계)'!D123</f>
        <v>SET</v>
      </c>
      <c r="F123" s="68">
        <f>'산출(기계)'!H123</f>
        <v>3</v>
      </c>
      <c r="G123" s="180">
        <f>VLOOKUP(D:D,적용!A:B,2,FALSE)</f>
        <v>70000</v>
      </c>
      <c r="H123" s="181">
        <f t="shared" si="37"/>
        <v>210000</v>
      </c>
      <c r="I123" s="181"/>
      <c r="J123" s="181">
        <f t="shared" si="38"/>
        <v>0</v>
      </c>
      <c r="K123" s="181">
        <f t="shared" si="35"/>
        <v>210000</v>
      </c>
      <c r="L123" s="209"/>
      <c r="O123" s="183"/>
    </row>
    <row r="124" spans="1:15" ht="18" customHeight="1">
      <c r="A124" s="179">
        <f>'산출(기계)'!A124</f>
        <v>4</v>
      </c>
      <c r="B124" s="141" t="str">
        <f>'산출(기계)'!B124</f>
        <v>WIRE ROPE</v>
      </c>
      <c r="C124" s="140" t="str">
        <f>'산출(기계)'!C124</f>
        <v>Ø6</v>
      </c>
      <c r="D124" s="141" t="str">
        <f t="shared" si="36"/>
        <v>WIRE ROPEØ6</v>
      </c>
      <c r="E124" s="68" t="str">
        <f>'산출(기계)'!D124</f>
        <v>M</v>
      </c>
      <c r="F124" s="68">
        <f>'산출(기계)'!H124</f>
        <v>58</v>
      </c>
      <c r="G124" s="180">
        <f>VLOOKUP(D:D,적용!A:B,2,FALSE)</f>
        <v>1260</v>
      </c>
      <c r="H124" s="181">
        <f t="shared" si="37"/>
        <v>73080</v>
      </c>
      <c r="I124" s="181"/>
      <c r="J124" s="181">
        <f t="shared" si="38"/>
        <v>0</v>
      </c>
      <c r="K124" s="181">
        <f t="shared" si="35"/>
        <v>73080</v>
      </c>
      <c r="L124" s="209"/>
      <c r="O124" s="183"/>
    </row>
    <row r="125" spans="1:15" s="53" customFormat="1" ht="18" customHeight="1">
      <c r="A125" s="179">
        <f>'산출(기계)'!A125</f>
        <v>5</v>
      </c>
      <c r="B125" s="141" t="str">
        <f>'산출(기계)'!B125</f>
        <v>HANGER ASS'Y</v>
      </c>
      <c r="C125" s="140"/>
      <c r="D125" s="141" t="str">
        <f t="shared" si="36"/>
        <v>HANGER ASS'Y</v>
      </c>
      <c r="E125" s="68" t="str">
        <f>'산출(기계)'!D125</f>
        <v>SET</v>
      </c>
      <c r="F125" s="68">
        <f>'산출(기계)'!H125</f>
        <v>4</v>
      </c>
      <c r="G125" s="180">
        <f>VLOOKUP(D:D,적용!A:B,2,FALSE)</f>
        <v>32000</v>
      </c>
      <c r="H125" s="181">
        <f t="shared" si="37"/>
        <v>128000</v>
      </c>
      <c r="I125" s="172"/>
      <c r="J125" s="181">
        <f t="shared" si="38"/>
        <v>0</v>
      </c>
      <c r="K125" s="181">
        <f t="shared" si="35"/>
        <v>128000</v>
      </c>
      <c r="L125" s="173"/>
      <c r="N125" s="56"/>
    </row>
    <row r="126" spans="1:15" s="53" customFormat="1" ht="18" customHeight="1">
      <c r="A126" s="179">
        <f>'산출(기계)'!A126</f>
        <v>6</v>
      </c>
      <c r="B126" s="141" t="str">
        <f>'산출(기계)'!B126</f>
        <v>설치인건비</v>
      </c>
      <c r="C126" s="140" t="str">
        <f>'산출(기계)'!C126</f>
        <v>일반기기설치</v>
      </c>
      <c r="D126" s="141" t="str">
        <f t="shared" si="36"/>
        <v>설치인건비일반기기설치</v>
      </c>
      <c r="E126" s="68" t="str">
        <f>'산출(기계)'!D126</f>
        <v>TON</v>
      </c>
      <c r="F126" s="68">
        <f>'산출(기계)'!H126</f>
        <v>0.34286</v>
      </c>
      <c r="G126" s="180"/>
      <c r="H126" s="181">
        <f t="shared" si="37"/>
        <v>0</v>
      </c>
      <c r="I126" s="172">
        <f>일위대가!$K$16</f>
        <v>3150334</v>
      </c>
      <c r="J126" s="181">
        <f t="shared" si="38"/>
        <v>1080123</v>
      </c>
      <c r="K126" s="181">
        <f t="shared" si="35"/>
        <v>1080123</v>
      </c>
      <c r="L126" s="173" t="s">
        <v>192</v>
      </c>
      <c r="N126" s="56"/>
    </row>
    <row r="127" spans="1:15" s="53" customFormat="1" ht="18" customHeight="1">
      <c r="A127" s="179">
        <f>'산출(기계)'!A127</f>
        <v>0</v>
      </c>
      <c r="B127" s="158" t="str">
        <f>'산출(기계)'!B127</f>
        <v>철거</v>
      </c>
      <c r="C127" s="140">
        <f>'산출(기계)'!C127</f>
        <v>0</v>
      </c>
      <c r="D127" s="141" t="str">
        <f t="shared" si="36"/>
        <v>철거0</v>
      </c>
      <c r="E127" s="68">
        <f>'산출(기계)'!D127</f>
        <v>0</v>
      </c>
      <c r="F127" s="68">
        <f>'산출(기계)'!H127</f>
        <v>0</v>
      </c>
      <c r="G127" s="180"/>
      <c r="H127" s="181">
        <f t="shared" si="37"/>
        <v>0</v>
      </c>
      <c r="I127" s="172"/>
      <c r="J127" s="181"/>
      <c r="K127" s="181"/>
      <c r="L127" s="173"/>
      <c r="N127" s="56"/>
    </row>
    <row r="128" spans="1:15" s="53" customFormat="1" ht="18" customHeight="1">
      <c r="A128" s="179">
        <f>'산출(기계)'!A128</f>
        <v>1</v>
      </c>
      <c r="B128" s="141" t="str">
        <f>'산출(기계)'!B128</f>
        <v>철거인건비</v>
      </c>
      <c r="C128" s="140" t="str">
        <f>'산출(기계)'!C128</f>
        <v>재사용을 고려안할경우</v>
      </c>
      <c r="D128" s="141" t="str">
        <f t="shared" si="36"/>
        <v>철거인건비재사용을 고려안할경우</v>
      </c>
      <c r="E128" s="68" t="str">
        <f>'산출(기계)'!D128</f>
        <v>TON</v>
      </c>
      <c r="F128" s="68">
        <f>'산출(기계)'!H128</f>
        <v>0.17100000000000001</v>
      </c>
      <c r="G128" s="180"/>
      <c r="H128" s="181">
        <f t="shared" si="37"/>
        <v>0</v>
      </c>
      <c r="I128" s="172">
        <f>일위대가!$K$18</f>
        <v>1890200</v>
      </c>
      <c r="J128" s="181">
        <f t="shared" ref="J128:J129" si="39">INT(I128*F128)</f>
        <v>323224</v>
      </c>
      <c r="K128" s="181">
        <f t="shared" ref="K128:K129" si="40">H128+J128</f>
        <v>323224</v>
      </c>
      <c r="L128" s="173" t="s">
        <v>192</v>
      </c>
      <c r="N128" s="56"/>
    </row>
    <row r="129" spans="1:14" s="53" customFormat="1" ht="18" customHeight="1">
      <c r="A129" s="179">
        <f>'산출(기계)'!A129</f>
        <v>2</v>
      </c>
      <c r="B129" s="141" t="str">
        <f>'산출(기계)'!B129</f>
        <v>고철</v>
      </c>
      <c r="C129" s="140"/>
      <c r="D129" s="141" t="str">
        <f t="shared" si="36"/>
        <v>고철</v>
      </c>
      <c r="E129" s="68" t="str">
        <f>'산출(기계)'!D129</f>
        <v>KG</v>
      </c>
      <c r="F129" s="68">
        <f>'산출(기계)'!H129</f>
        <v>35</v>
      </c>
      <c r="G129" s="180">
        <f>VLOOKUP(D:D,적용!A:B,2,FALSE)</f>
        <v>-130</v>
      </c>
      <c r="H129" s="181">
        <f t="shared" si="37"/>
        <v>-4550</v>
      </c>
      <c r="I129" s="172"/>
      <c r="J129" s="181">
        <f t="shared" si="39"/>
        <v>0</v>
      </c>
      <c r="K129" s="181">
        <f t="shared" si="40"/>
        <v>-4550</v>
      </c>
      <c r="L129" s="173"/>
      <c r="N129" s="56"/>
    </row>
    <row r="130" spans="1:14" s="53" customFormat="1" ht="18" customHeight="1">
      <c r="A130" s="179">
        <f>'산출(기계)'!A130</f>
        <v>0</v>
      </c>
      <c r="B130" s="158" t="str">
        <f>'산출(기계)'!B130</f>
        <v>동일구내이설</v>
      </c>
      <c r="C130" s="140"/>
      <c r="D130" s="141" t="str">
        <f t="shared" si="36"/>
        <v>동일구내이설</v>
      </c>
      <c r="E130" s="68">
        <f>'산출(기계)'!D130</f>
        <v>0</v>
      </c>
      <c r="F130" s="68">
        <f>'산출(기계)'!H130</f>
        <v>0</v>
      </c>
      <c r="G130" s="180"/>
      <c r="H130" s="181"/>
      <c r="I130" s="172"/>
      <c r="J130" s="181"/>
      <c r="K130" s="181"/>
      <c r="L130" s="173"/>
      <c r="N130" s="56"/>
    </row>
    <row r="131" spans="1:14" s="53" customFormat="1" ht="18" customHeight="1">
      <c r="A131" s="179">
        <f>'산출(기계)'!A133</f>
        <v>1</v>
      </c>
      <c r="B131" s="141" t="str">
        <f>'산출(기계)'!B133</f>
        <v>일반기기설치</v>
      </c>
      <c r="C131" s="140" t="str">
        <f>'산출(기계)'!C133</f>
        <v>동일구내이설</v>
      </c>
      <c r="D131" s="141" t="str">
        <f t="shared" si="36"/>
        <v>일반기기설치동일구내이설</v>
      </c>
      <c r="E131" s="68" t="str">
        <f>'산출(기계)'!D133</f>
        <v>TON</v>
      </c>
      <c r="F131" s="68">
        <f>'산출(기계)'!H133</f>
        <v>0.30399999999999999</v>
      </c>
      <c r="G131" s="180"/>
      <c r="H131" s="181"/>
      <c r="I131" s="172">
        <f>일위대가!$K$25</f>
        <v>6048640</v>
      </c>
      <c r="J131" s="181">
        <f t="shared" ref="J131" si="41">INT(I131*F131)</f>
        <v>1838786</v>
      </c>
      <c r="K131" s="181">
        <f t="shared" ref="K131" si="42">H131+J131</f>
        <v>1838786</v>
      </c>
      <c r="L131" s="173" t="s">
        <v>192</v>
      </c>
      <c r="N131" s="56"/>
    </row>
    <row r="132" spans="1:14" s="53" customFormat="1" ht="18" customHeight="1">
      <c r="A132" s="179"/>
      <c r="B132" s="141"/>
      <c r="C132" s="140"/>
      <c r="D132" s="141"/>
      <c r="E132" s="68"/>
      <c r="F132" s="68"/>
      <c r="G132" s="180"/>
      <c r="H132" s="181"/>
      <c r="I132" s="172"/>
      <c r="J132" s="181"/>
      <c r="K132" s="181"/>
      <c r="L132" s="173"/>
      <c r="N132" s="56"/>
    </row>
    <row r="133" spans="1:14" s="53" customFormat="1" ht="18" customHeight="1">
      <c r="A133" s="179"/>
      <c r="B133" s="141"/>
      <c r="C133" s="140"/>
      <c r="D133" s="141"/>
      <c r="E133" s="68"/>
      <c r="F133" s="68"/>
      <c r="G133" s="180"/>
      <c r="H133" s="181"/>
      <c r="I133" s="172"/>
      <c r="J133" s="181"/>
      <c r="K133" s="181"/>
      <c r="L133" s="173"/>
      <c r="N133" s="56"/>
    </row>
    <row r="134" spans="1:14" s="53" customFormat="1" ht="18" customHeight="1">
      <c r="A134" s="179"/>
      <c r="B134" s="141"/>
      <c r="C134" s="140"/>
      <c r="D134" s="141"/>
      <c r="E134" s="68"/>
      <c r="F134" s="68"/>
      <c r="G134" s="180"/>
      <c r="H134" s="181"/>
      <c r="I134" s="172"/>
      <c r="J134" s="181"/>
      <c r="K134" s="181"/>
      <c r="L134" s="173"/>
      <c r="N134" s="56"/>
    </row>
    <row r="135" spans="1:14" s="53" customFormat="1" ht="18" customHeight="1">
      <c r="A135" s="179"/>
      <c r="B135" s="141"/>
      <c r="C135" s="140"/>
      <c r="D135" s="141"/>
      <c r="E135" s="68"/>
      <c r="F135" s="68"/>
      <c r="G135" s="180"/>
      <c r="H135" s="181"/>
      <c r="I135" s="172"/>
      <c r="J135" s="181"/>
      <c r="K135" s="181"/>
      <c r="L135" s="173"/>
      <c r="N135" s="56"/>
    </row>
    <row r="136" spans="1:14" s="53" customFormat="1" ht="18" customHeight="1">
      <c r="A136" s="179"/>
      <c r="B136" s="141"/>
      <c r="C136" s="140"/>
      <c r="D136" s="141"/>
      <c r="E136" s="68"/>
      <c r="F136" s="68"/>
      <c r="G136" s="180"/>
      <c r="H136" s="181"/>
      <c r="I136" s="172"/>
      <c r="J136" s="181"/>
      <c r="K136" s="181"/>
      <c r="L136" s="173"/>
      <c r="N136" s="56"/>
    </row>
    <row r="137" spans="1:14" s="53" customFormat="1" ht="18" customHeight="1">
      <c r="A137" s="179"/>
      <c r="B137" s="141"/>
      <c r="C137" s="140"/>
      <c r="D137" s="141"/>
      <c r="E137" s="68"/>
      <c r="F137" s="68"/>
      <c r="G137" s="180"/>
      <c r="H137" s="181"/>
      <c r="I137" s="172"/>
      <c r="J137" s="181"/>
      <c r="K137" s="181"/>
      <c r="L137" s="173"/>
      <c r="N137" s="56"/>
    </row>
    <row r="138" spans="1:14" s="53" customFormat="1" ht="18" customHeight="1">
      <c r="A138" s="179">
        <f>'산출(기계)'!A135</f>
        <v>0</v>
      </c>
      <c r="B138" s="141">
        <f>'산출(기계)'!B135</f>
        <v>0</v>
      </c>
      <c r="C138" s="140">
        <f>'산출(기계)'!C135</f>
        <v>0</v>
      </c>
      <c r="D138" s="141" t="str">
        <f>B138&amp;C138</f>
        <v>00</v>
      </c>
      <c r="E138" s="68">
        <f>'산출(기계)'!D135</f>
        <v>0</v>
      </c>
      <c r="F138" s="68">
        <f>'산출(기계)'!H135</f>
        <v>0</v>
      </c>
      <c r="G138" s="180"/>
      <c r="H138" s="172"/>
      <c r="I138" s="172"/>
      <c r="J138" s="172"/>
      <c r="K138" s="172"/>
      <c r="L138" s="173"/>
      <c r="N138" s="56"/>
    </row>
    <row r="139" spans="1:14" s="53" customFormat="1" ht="18" customHeight="1">
      <c r="A139" s="179"/>
      <c r="B139" s="141"/>
      <c r="C139" s="140"/>
      <c r="D139" s="141"/>
      <c r="E139" s="68"/>
      <c r="F139" s="68"/>
      <c r="G139" s="180"/>
      <c r="H139" s="172"/>
      <c r="I139" s="172"/>
      <c r="J139" s="172"/>
      <c r="K139" s="172"/>
      <c r="L139" s="173"/>
      <c r="N139" s="56"/>
    </row>
    <row r="140" spans="1:14" s="53" customFormat="1" ht="18" customHeight="1">
      <c r="A140" s="179">
        <f>'산출(기계)'!A140</f>
        <v>0</v>
      </c>
      <c r="B140" s="141">
        <f>'산출(기계)'!B140</f>
        <v>0</v>
      </c>
      <c r="C140" s="140">
        <f>'산출(기계)'!C140</f>
        <v>0</v>
      </c>
      <c r="D140" s="141" t="str">
        <f t="shared" ref="D140:D142" si="43">B140&amp;C140</f>
        <v>00</v>
      </c>
      <c r="E140" s="68">
        <f>'산출(기계)'!D140</f>
        <v>0</v>
      </c>
      <c r="F140" s="68">
        <f>'산출(기계)'!H140</f>
        <v>0</v>
      </c>
      <c r="G140" s="180"/>
      <c r="H140" s="172"/>
      <c r="I140" s="172"/>
      <c r="J140" s="172"/>
      <c r="K140" s="172"/>
      <c r="L140" s="173"/>
      <c r="N140" s="56"/>
    </row>
    <row r="141" spans="1:14" s="53" customFormat="1" ht="18" customHeight="1">
      <c r="A141" s="179">
        <f>'산출(기계)'!A141</f>
        <v>0</v>
      </c>
      <c r="B141" s="141">
        <f>'산출(기계)'!B141</f>
        <v>0</v>
      </c>
      <c r="C141" s="140">
        <f>'산출(기계)'!C141</f>
        <v>0</v>
      </c>
      <c r="D141" s="141" t="str">
        <f t="shared" si="43"/>
        <v>00</v>
      </c>
      <c r="E141" s="68">
        <f>'산출(기계)'!D141</f>
        <v>0</v>
      </c>
      <c r="F141" s="68">
        <f>'산출(기계)'!H141</f>
        <v>0</v>
      </c>
      <c r="G141" s="180"/>
      <c r="H141" s="172"/>
      <c r="I141" s="172"/>
      <c r="J141" s="172"/>
      <c r="K141" s="172"/>
      <c r="L141" s="173"/>
      <c r="N141" s="56"/>
    </row>
    <row r="142" spans="1:14" s="53" customFormat="1" ht="18" customHeight="1">
      <c r="A142" s="179">
        <f>'산출(기계)'!A142</f>
        <v>0</v>
      </c>
      <c r="B142" s="141">
        <f>'산출(기계)'!B142</f>
        <v>0</v>
      </c>
      <c r="C142" s="140">
        <f>'산출(기계)'!C142</f>
        <v>0</v>
      </c>
      <c r="D142" s="141" t="str">
        <f t="shared" si="43"/>
        <v>00</v>
      </c>
      <c r="E142" s="68">
        <f>'산출(기계)'!D142</f>
        <v>0</v>
      </c>
      <c r="F142" s="68">
        <f>'산출(기계)'!H142</f>
        <v>0</v>
      </c>
      <c r="G142" s="180"/>
      <c r="H142" s="172"/>
      <c r="I142" s="172"/>
      <c r="J142" s="172"/>
      <c r="K142" s="172"/>
      <c r="L142" s="173"/>
      <c r="N142" s="56"/>
    </row>
    <row r="143" spans="1:14" s="53" customFormat="1" ht="18" customHeight="1">
      <c r="A143" s="78"/>
      <c r="B143" s="148"/>
      <c r="C143" s="78"/>
      <c r="D143" s="78"/>
      <c r="E143" s="80"/>
      <c r="F143" s="80"/>
      <c r="G143" s="180"/>
      <c r="H143" s="172"/>
      <c r="I143" s="172"/>
      <c r="J143" s="172"/>
      <c r="K143" s="172"/>
      <c r="L143" s="173"/>
      <c r="N143" s="56"/>
    </row>
    <row r="144" spans="1:14" s="53" customFormat="1" ht="18" customHeight="1">
      <c r="A144" s="78"/>
      <c r="B144" s="148"/>
      <c r="C144" s="78"/>
      <c r="D144" s="78"/>
      <c r="E144" s="80"/>
      <c r="F144" s="80"/>
      <c r="G144" s="180"/>
      <c r="H144" s="172"/>
      <c r="I144" s="172"/>
      <c r="J144" s="172"/>
      <c r="K144" s="172"/>
      <c r="L144" s="173"/>
      <c r="N144" s="56"/>
    </row>
    <row r="145" spans="1:15" ht="18" customHeight="1">
      <c r="A145" s="179"/>
      <c r="B145" s="184" t="s">
        <v>92</v>
      </c>
      <c r="C145" s="185"/>
      <c r="D145" s="186"/>
      <c r="E145" s="141"/>
      <c r="F145" s="68"/>
      <c r="G145" s="178"/>
      <c r="H145" s="178">
        <f>SUM(H120:H144)</f>
        <v>3506530</v>
      </c>
      <c r="I145" s="178"/>
      <c r="J145" s="178">
        <f>SUM(J120:J144)</f>
        <v>3242133</v>
      </c>
      <c r="K145" s="178">
        <f>H145+J145</f>
        <v>6748663</v>
      </c>
      <c r="L145" s="72"/>
    </row>
    <row r="146" spans="1:15" s="142" customFormat="1" ht="18" customHeight="1">
      <c r="A146" s="142" t="str">
        <f>'산출(기계)'!A146</f>
        <v>NO.6) FLAG BATTEN</v>
      </c>
      <c r="F146" s="175"/>
      <c r="G146" s="176"/>
      <c r="H146" s="176"/>
      <c r="I146" s="176"/>
      <c r="J146" s="176"/>
      <c r="K146" s="177"/>
    </row>
    <row r="147" spans="1:15" ht="18" customHeight="1">
      <c r="A147" s="395" t="s">
        <v>33</v>
      </c>
      <c r="B147" s="395" t="s">
        <v>88</v>
      </c>
      <c r="C147" s="395" t="s">
        <v>87</v>
      </c>
      <c r="D147" s="343"/>
      <c r="E147" s="395" t="s">
        <v>36</v>
      </c>
      <c r="F147" s="395" t="s">
        <v>7</v>
      </c>
      <c r="G147" s="393" t="s">
        <v>90</v>
      </c>
      <c r="H147" s="394"/>
      <c r="I147" s="393" t="s">
        <v>85</v>
      </c>
      <c r="J147" s="394"/>
      <c r="K147" s="395" t="s">
        <v>84</v>
      </c>
      <c r="L147" s="395" t="s">
        <v>39</v>
      </c>
    </row>
    <row r="148" spans="1:15" ht="18" customHeight="1">
      <c r="A148" s="396"/>
      <c r="B148" s="396"/>
      <c r="C148" s="396"/>
      <c r="D148" s="344"/>
      <c r="E148" s="396"/>
      <c r="F148" s="396"/>
      <c r="G148" s="174" t="s">
        <v>82</v>
      </c>
      <c r="H148" s="174" t="s">
        <v>80</v>
      </c>
      <c r="I148" s="174" t="s">
        <v>81</v>
      </c>
      <c r="J148" s="174" t="s">
        <v>80</v>
      </c>
      <c r="K148" s="396"/>
      <c r="L148" s="396"/>
    </row>
    <row r="149" spans="1:15" ht="18" customHeight="1">
      <c r="A149" s="158"/>
      <c r="B149" s="158" t="str">
        <f>'산출(기계)'!B149</f>
        <v>교체설치</v>
      </c>
      <c r="C149" s="68"/>
      <c r="D149" s="68"/>
      <c r="E149" s="68"/>
      <c r="F149" s="68"/>
      <c r="G149" s="178"/>
      <c r="H149" s="178"/>
      <c r="I149" s="178"/>
      <c r="J149" s="178"/>
      <c r="K149" s="208"/>
      <c r="L149" s="68"/>
    </row>
    <row r="150" spans="1:15" ht="18" customHeight="1">
      <c r="A150" s="179">
        <f>'산출(기계)'!A150</f>
        <v>1</v>
      </c>
      <c r="B150" s="141" t="str">
        <f>'산출(기계)'!B150</f>
        <v>DRIVE M/C ASS'Y</v>
      </c>
      <c r="C150" s="140" t="str">
        <f>'산출(기계)'!C150</f>
        <v>1.5KWx4P</v>
      </c>
      <c r="D150" s="141" t="str">
        <f>B150&amp;C150</f>
        <v>DRIVE M/C ASS'Y1.5KWx4P</v>
      </c>
      <c r="E150" s="68" t="str">
        <f>'산출(기계)'!D150</f>
        <v>SET</v>
      </c>
      <c r="F150" s="68">
        <f>'산출(기계)'!H150</f>
        <v>1</v>
      </c>
      <c r="G150" s="180">
        <f>VLOOKUP(D:D,적용!A:B,2,FALSE)</f>
        <v>2800000</v>
      </c>
      <c r="H150" s="181">
        <f>INT(G150*F150)</f>
        <v>2800000</v>
      </c>
      <c r="I150" s="181"/>
      <c r="J150" s="181">
        <f>INT(I150*F150)</f>
        <v>0</v>
      </c>
      <c r="K150" s="181">
        <f t="shared" ref="K150:K155" si="44">H150+J150</f>
        <v>2800000</v>
      </c>
      <c r="L150" s="182"/>
      <c r="O150" s="183"/>
    </row>
    <row r="151" spans="1:15" ht="18" customHeight="1">
      <c r="A151" s="179">
        <f>'산출(기계)'!A151</f>
        <v>2</v>
      </c>
      <c r="B151" s="141" t="str">
        <f>'산출(기계)'!B151</f>
        <v>V-SHEAVE</v>
      </c>
      <c r="C151" s="140" t="str">
        <f>'산출(기계)'!C151</f>
        <v>Ø200x3P</v>
      </c>
      <c r="D151" s="141" t="str">
        <f t="shared" ref="D151:D160" si="45">B151&amp;C151</f>
        <v>V-SHEAVEØ200x3P</v>
      </c>
      <c r="E151" s="68" t="str">
        <f>'산출(기계)'!D151</f>
        <v>SET</v>
      </c>
      <c r="F151" s="68">
        <f>'산출(기계)'!H151</f>
        <v>1</v>
      </c>
      <c r="G151" s="180">
        <f>VLOOKUP(D:D,적용!A:B,2,FALSE)</f>
        <v>100000</v>
      </c>
      <c r="H151" s="181">
        <f t="shared" ref="H151:H158" si="46">INT(G151*F151)</f>
        <v>100000</v>
      </c>
      <c r="I151" s="181"/>
      <c r="J151" s="181">
        <f t="shared" ref="J151:J155" si="47">INT(I151*F151)</f>
        <v>0</v>
      </c>
      <c r="K151" s="181">
        <f t="shared" si="44"/>
        <v>100000</v>
      </c>
      <c r="L151" s="182"/>
      <c r="O151" s="183"/>
    </row>
    <row r="152" spans="1:15" ht="18" customHeight="1">
      <c r="A152" s="179">
        <f>'산출(기계)'!A152</f>
        <v>3</v>
      </c>
      <c r="B152" s="141" t="str">
        <f>'산출(기계)'!B152</f>
        <v>V-SHEAVE</v>
      </c>
      <c r="C152" s="140" t="str">
        <f>'산출(기계)'!C152</f>
        <v>Ø200x1P</v>
      </c>
      <c r="D152" s="141" t="str">
        <f t="shared" si="45"/>
        <v>V-SHEAVEØ200x1P</v>
      </c>
      <c r="E152" s="68" t="str">
        <f>'산출(기계)'!D152</f>
        <v>SET</v>
      </c>
      <c r="F152" s="68">
        <f>'산출(기계)'!H152</f>
        <v>3</v>
      </c>
      <c r="G152" s="180">
        <f>VLOOKUP(D:D,적용!A:B,2,FALSE)</f>
        <v>70000</v>
      </c>
      <c r="H152" s="181">
        <f t="shared" si="46"/>
        <v>210000</v>
      </c>
      <c r="I152" s="181"/>
      <c r="J152" s="181">
        <f t="shared" si="47"/>
        <v>0</v>
      </c>
      <c r="K152" s="181">
        <f t="shared" si="44"/>
        <v>210000</v>
      </c>
      <c r="L152" s="209"/>
      <c r="O152" s="183"/>
    </row>
    <row r="153" spans="1:15" ht="18" customHeight="1">
      <c r="A153" s="179">
        <f>'산출(기계)'!A153</f>
        <v>4</v>
      </c>
      <c r="B153" s="141" t="str">
        <f>'산출(기계)'!B153</f>
        <v>WIRE ROPE</v>
      </c>
      <c r="C153" s="140" t="str">
        <f>'산출(기계)'!C153</f>
        <v>Ø6</v>
      </c>
      <c r="D153" s="141" t="str">
        <f t="shared" si="45"/>
        <v>WIRE ROPEØ6</v>
      </c>
      <c r="E153" s="68" t="str">
        <f>'산출(기계)'!D153</f>
        <v>M</v>
      </c>
      <c r="F153" s="68">
        <f>'산출(기계)'!H153</f>
        <v>58</v>
      </c>
      <c r="G153" s="180">
        <f>VLOOKUP(D:D,적용!A:B,2,FALSE)</f>
        <v>1260</v>
      </c>
      <c r="H153" s="181">
        <f t="shared" si="46"/>
        <v>73080</v>
      </c>
      <c r="I153" s="181"/>
      <c r="J153" s="181">
        <f t="shared" si="47"/>
        <v>0</v>
      </c>
      <c r="K153" s="181">
        <f t="shared" si="44"/>
        <v>73080</v>
      </c>
      <c r="L153" s="209"/>
      <c r="O153" s="183"/>
    </row>
    <row r="154" spans="1:15" s="53" customFormat="1" ht="18" customHeight="1">
      <c r="A154" s="179">
        <f>'산출(기계)'!A154</f>
        <v>5</v>
      </c>
      <c r="B154" s="141" t="str">
        <f>'산출(기계)'!B154</f>
        <v>HANGER ASS'Y</v>
      </c>
      <c r="C154" s="140"/>
      <c r="D154" s="141" t="str">
        <f t="shared" si="45"/>
        <v>HANGER ASS'Y</v>
      </c>
      <c r="E154" s="68" t="str">
        <f>'산출(기계)'!D154</f>
        <v>SET</v>
      </c>
      <c r="F154" s="68">
        <f>'산출(기계)'!H154</f>
        <v>4</v>
      </c>
      <c r="G154" s="180">
        <f>VLOOKUP(D:D,적용!A:B,2,FALSE)</f>
        <v>32000</v>
      </c>
      <c r="H154" s="181">
        <f t="shared" si="46"/>
        <v>128000</v>
      </c>
      <c r="I154" s="172"/>
      <c r="J154" s="181">
        <f t="shared" si="47"/>
        <v>0</v>
      </c>
      <c r="K154" s="181">
        <f t="shared" si="44"/>
        <v>128000</v>
      </c>
      <c r="L154" s="173"/>
      <c r="N154" s="56"/>
    </row>
    <row r="155" spans="1:15" s="53" customFormat="1" ht="18" customHeight="1">
      <c r="A155" s="179">
        <f>'산출(기계)'!A155</f>
        <v>6</v>
      </c>
      <c r="B155" s="141" t="str">
        <f>'산출(기계)'!B155</f>
        <v>설치인건비</v>
      </c>
      <c r="C155" s="140" t="str">
        <f>'산출(기계)'!C155</f>
        <v>일반기기설치</v>
      </c>
      <c r="D155" s="141" t="str">
        <f t="shared" si="45"/>
        <v>설치인건비일반기기설치</v>
      </c>
      <c r="E155" s="68" t="str">
        <f>'산출(기계)'!D155</f>
        <v>TON</v>
      </c>
      <c r="F155" s="68">
        <f>'산출(기계)'!H155</f>
        <v>0.29286000000000001</v>
      </c>
      <c r="G155" s="180"/>
      <c r="H155" s="181">
        <f t="shared" si="46"/>
        <v>0</v>
      </c>
      <c r="I155" s="172">
        <f>일위대가!$K$16</f>
        <v>3150334</v>
      </c>
      <c r="J155" s="181">
        <f t="shared" si="47"/>
        <v>922606</v>
      </c>
      <c r="K155" s="181">
        <f t="shared" si="44"/>
        <v>922606</v>
      </c>
      <c r="L155" s="173" t="s">
        <v>192</v>
      </c>
      <c r="N155" s="56"/>
    </row>
    <row r="156" spans="1:15" s="53" customFormat="1" ht="18" customHeight="1">
      <c r="A156" s="179">
        <f>'산출(기계)'!A156</f>
        <v>0</v>
      </c>
      <c r="B156" s="158" t="str">
        <f>'산출(기계)'!B156</f>
        <v>철거</v>
      </c>
      <c r="C156" s="140">
        <f>'산출(기계)'!C156</f>
        <v>0</v>
      </c>
      <c r="D156" s="141" t="str">
        <f t="shared" si="45"/>
        <v>철거0</v>
      </c>
      <c r="E156" s="68">
        <f>'산출(기계)'!D156</f>
        <v>0</v>
      </c>
      <c r="F156" s="68">
        <f>'산출(기계)'!H156</f>
        <v>0</v>
      </c>
      <c r="G156" s="180"/>
      <c r="H156" s="181">
        <f t="shared" si="46"/>
        <v>0</v>
      </c>
      <c r="I156" s="172"/>
      <c r="J156" s="181"/>
      <c r="K156" s="181"/>
      <c r="L156" s="173"/>
      <c r="N156" s="56"/>
    </row>
    <row r="157" spans="1:15" s="53" customFormat="1" ht="18" customHeight="1">
      <c r="A157" s="179">
        <f>'산출(기계)'!A157</f>
        <v>1</v>
      </c>
      <c r="B157" s="141" t="str">
        <f>'산출(기계)'!B157</f>
        <v>철거인건비</v>
      </c>
      <c r="C157" s="140" t="str">
        <f>'산출(기계)'!C157</f>
        <v>재사용을 고려안할경우</v>
      </c>
      <c r="D157" s="141" t="str">
        <f t="shared" si="45"/>
        <v>철거인건비재사용을 고려안할경우</v>
      </c>
      <c r="E157" s="68" t="str">
        <f>'산출(기계)'!D157</f>
        <v>TON</v>
      </c>
      <c r="F157" s="68">
        <f>'산출(기계)'!H157</f>
        <v>0.14599999999999999</v>
      </c>
      <c r="G157" s="180"/>
      <c r="H157" s="181">
        <f t="shared" si="46"/>
        <v>0</v>
      </c>
      <c r="I157" s="172">
        <f>일위대가!$K$18</f>
        <v>1890200</v>
      </c>
      <c r="J157" s="181">
        <f t="shared" ref="J157:J158" si="48">INT(I157*F157)</f>
        <v>275969</v>
      </c>
      <c r="K157" s="181">
        <f t="shared" ref="K157:K158" si="49">H157+J157</f>
        <v>275969</v>
      </c>
      <c r="L157" s="173" t="s">
        <v>192</v>
      </c>
      <c r="N157" s="56"/>
    </row>
    <row r="158" spans="1:15" s="53" customFormat="1" ht="18" customHeight="1">
      <c r="A158" s="179">
        <f>'산출(기계)'!A158</f>
        <v>2</v>
      </c>
      <c r="B158" s="141" t="str">
        <f>'산출(기계)'!B158</f>
        <v>고철</v>
      </c>
      <c r="C158" s="140"/>
      <c r="D158" s="141" t="str">
        <f t="shared" si="45"/>
        <v>고철</v>
      </c>
      <c r="E158" s="68" t="str">
        <f>'산출(기계)'!D158</f>
        <v>KG</v>
      </c>
      <c r="F158" s="68">
        <f>'산출(기계)'!H158</f>
        <v>35</v>
      </c>
      <c r="G158" s="180">
        <f>VLOOKUP(D:D,적용!A:B,2,FALSE)</f>
        <v>-130</v>
      </c>
      <c r="H158" s="181">
        <f t="shared" si="46"/>
        <v>-4550</v>
      </c>
      <c r="I158" s="172"/>
      <c r="J158" s="181">
        <f t="shared" si="48"/>
        <v>0</v>
      </c>
      <c r="K158" s="181">
        <f t="shared" si="49"/>
        <v>-4550</v>
      </c>
      <c r="L158" s="173"/>
      <c r="N158" s="56"/>
    </row>
    <row r="159" spans="1:15" s="53" customFormat="1" ht="18" customHeight="1">
      <c r="A159" s="179">
        <f>'산출(기계)'!A159</f>
        <v>0</v>
      </c>
      <c r="B159" s="158" t="str">
        <f>'산출(기계)'!B159</f>
        <v>동일구내이설</v>
      </c>
      <c r="C159" s="140"/>
      <c r="D159" s="141" t="str">
        <f t="shared" si="45"/>
        <v>동일구내이설</v>
      </c>
      <c r="E159" s="68">
        <f>'산출(기계)'!D159</f>
        <v>0</v>
      </c>
      <c r="F159" s="68">
        <f>'산출(기계)'!H159</f>
        <v>0</v>
      </c>
      <c r="G159" s="180"/>
      <c r="H159" s="181"/>
      <c r="I159" s="172"/>
      <c r="J159" s="181"/>
      <c r="K159" s="181"/>
      <c r="L159" s="173"/>
      <c r="N159" s="56"/>
    </row>
    <row r="160" spans="1:15" s="53" customFormat="1" ht="18" customHeight="1">
      <c r="A160" s="179">
        <f>'산출(기계)'!A161</f>
        <v>1</v>
      </c>
      <c r="B160" s="141" t="str">
        <f>'산출(기계)'!B161</f>
        <v>일반기기설치</v>
      </c>
      <c r="C160" s="140" t="str">
        <f>'산출(기계)'!C161</f>
        <v>동일구내이설</v>
      </c>
      <c r="D160" s="141" t="str">
        <f t="shared" si="45"/>
        <v>일반기기설치동일구내이설</v>
      </c>
      <c r="E160" s="68" t="str">
        <f>'산출(기계)'!D161</f>
        <v>TON</v>
      </c>
      <c r="F160" s="68">
        <f>'산출(기계)'!H161</f>
        <v>0.1</v>
      </c>
      <c r="G160" s="180"/>
      <c r="H160" s="181">
        <f t="shared" ref="H160" si="50">INT(G160*F160)</f>
        <v>0</v>
      </c>
      <c r="I160" s="172">
        <f>일위대가!$K$25</f>
        <v>6048640</v>
      </c>
      <c r="J160" s="181">
        <f t="shared" ref="J160" si="51">INT(I160*F160)</f>
        <v>604864</v>
      </c>
      <c r="K160" s="181">
        <f t="shared" ref="K160" si="52">H160+J160</f>
        <v>604864</v>
      </c>
      <c r="L160" s="173" t="s">
        <v>192</v>
      </c>
      <c r="N160" s="56"/>
    </row>
    <row r="161" spans="1:14" s="53" customFormat="1" ht="18" customHeight="1">
      <c r="A161" s="179"/>
      <c r="B161" s="141"/>
      <c r="C161" s="140"/>
      <c r="D161" s="141"/>
      <c r="E161" s="68"/>
      <c r="F161" s="68"/>
      <c r="G161" s="180"/>
      <c r="H161" s="181"/>
      <c r="I161" s="172"/>
      <c r="J161" s="181"/>
      <c r="K161" s="181"/>
      <c r="L161" s="173"/>
      <c r="N161" s="56"/>
    </row>
    <row r="162" spans="1:14" s="53" customFormat="1" ht="18" customHeight="1">
      <c r="A162" s="179"/>
      <c r="B162" s="141"/>
      <c r="C162" s="140"/>
      <c r="D162" s="141"/>
      <c r="E162" s="68"/>
      <c r="F162" s="68"/>
      <c r="G162" s="180"/>
      <c r="H162" s="181"/>
      <c r="I162" s="172"/>
      <c r="J162" s="181"/>
      <c r="K162" s="181"/>
      <c r="L162" s="173"/>
      <c r="N162" s="56"/>
    </row>
    <row r="163" spans="1:14" s="53" customFormat="1" ht="18" customHeight="1">
      <c r="A163" s="179"/>
      <c r="B163" s="141"/>
      <c r="C163" s="140"/>
      <c r="D163" s="141"/>
      <c r="E163" s="68"/>
      <c r="F163" s="68"/>
      <c r="G163" s="180"/>
      <c r="H163" s="181"/>
      <c r="I163" s="172"/>
      <c r="J163" s="181"/>
      <c r="K163" s="181"/>
      <c r="L163" s="173"/>
      <c r="N163" s="56"/>
    </row>
    <row r="164" spans="1:14" s="53" customFormat="1" ht="18" customHeight="1">
      <c r="A164" s="179"/>
      <c r="B164" s="141"/>
      <c r="C164" s="140"/>
      <c r="D164" s="141"/>
      <c r="E164" s="68"/>
      <c r="F164" s="68"/>
      <c r="G164" s="180"/>
      <c r="H164" s="181"/>
      <c r="I164" s="172"/>
      <c r="J164" s="181"/>
      <c r="K164" s="181"/>
      <c r="L164" s="173"/>
      <c r="N164" s="56"/>
    </row>
    <row r="165" spans="1:14" s="53" customFormat="1" ht="18" customHeight="1">
      <c r="A165" s="179"/>
      <c r="B165" s="141"/>
      <c r="C165" s="140"/>
      <c r="D165" s="141"/>
      <c r="E165" s="68"/>
      <c r="F165" s="68"/>
      <c r="G165" s="180"/>
      <c r="H165" s="181"/>
      <c r="I165" s="172"/>
      <c r="J165" s="181"/>
      <c r="K165" s="181"/>
      <c r="L165" s="173"/>
      <c r="N165" s="56"/>
    </row>
    <row r="166" spans="1:14" s="53" customFormat="1" ht="18" customHeight="1">
      <c r="A166" s="179"/>
      <c r="B166" s="141"/>
      <c r="C166" s="140"/>
      <c r="D166" s="141"/>
      <c r="E166" s="68"/>
      <c r="F166" s="68"/>
      <c r="G166" s="180"/>
      <c r="H166" s="181"/>
      <c r="I166" s="172"/>
      <c r="J166" s="181"/>
      <c r="K166" s="181"/>
      <c r="L166" s="173"/>
      <c r="N166" s="56"/>
    </row>
    <row r="167" spans="1:14" s="53" customFormat="1" ht="18" customHeight="1">
      <c r="A167" s="179">
        <f>'산출(기계)'!A164</f>
        <v>0</v>
      </c>
      <c r="B167" s="141">
        <f>'산출(기계)'!B164</f>
        <v>0</v>
      </c>
      <c r="C167" s="140">
        <f>'산출(기계)'!C164</f>
        <v>0</v>
      </c>
      <c r="D167" s="141" t="str">
        <f>B167&amp;C167</f>
        <v>00</v>
      </c>
      <c r="E167" s="68">
        <f>'산출(기계)'!D164</f>
        <v>0</v>
      </c>
      <c r="F167" s="68">
        <f>'산출(기계)'!H164</f>
        <v>0</v>
      </c>
      <c r="G167" s="180"/>
      <c r="H167" s="172"/>
      <c r="I167" s="172"/>
      <c r="J167" s="172"/>
      <c r="K167" s="172"/>
      <c r="L167" s="173"/>
      <c r="N167" s="56"/>
    </row>
    <row r="168" spans="1:14" s="53" customFormat="1" ht="18" customHeight="1">
      <c r="A168" s="179"/>
      <c r="B168" s="141"/>
      <c r="C168" s="140"/>
      <c r="D168" s="141"/>
      <c r="E168" s="68"/>
      <c r="F168" s="68"/>
      <c r="G168" s="180"/>
      <c r="H168" s="172"/>
      <c r="I168" s="172"/>
      <c r="J168" s="172"/>
      <c r="K168" s="172"/>
      <c r="L168" s="173"/>
      <c r="N168" s="56"/>
    </row>
    <row r="169" spans="1:14" s="53" customFormat="1" ht="18" customHeight="1">
      <c r="A169" s="179">
        <f>'산출(기계)'!A169</f>
        <v>0</v>
      </c>
      <c r="B169" s="141">
        <f>'산출(기계)'!B169</f>
        <v>0</v>
      </c>
      <c r="C169" s="140">
        <f>'산출(기계)'!C169</f>
        <v>0</v>
      </c>
      <c r="D169" s="141" t="str">
        <f t="shared" ref="D169:D171" si="53">B169&amp;C169</f>
        <v>00</v>
      </c>
      <c r="E169" s="68">
        <f>'산출(기계)'!D169</f>
        <v>0</v>
      </c>
      <c r="F169" s="68">
        <f>'산출(기계)'!H169</f>
        <v>0</v>
      </c>
      <c r="G169" s="180"/>
      <c r="H169" s="172"/>
      <c r="I169" s="172"/>
      <c r="J169" s="172"/>
      <c r="K169" s="172"/>
      <c r="L169" s="173"/>
      <c r="N169" s="56"/>
    </row>
    <row r="170" spans="1:14" s="53" customFormat="1" ht="18" customHeight="1">
      <c r="A170" s="179">
        <f>'산출(기계)'!A170</f>
        <v>0</v>
      </c>
      <c r="B170" s="141">
        <f>'산출(기계)'!B170</f>
        <v>0</v>
      </c>
      <c r="C170" s="140">
        <f>'산출(기계)'!C170</f>
        <v>0</v>
      </c>
      <c r="D170" s="141" t="str">
        <f t="shared" si="53"/>
        <v>00</v>
      </c>
      <c r="E170" s="68">
        <f>'산출(기계)'!D170</f>
        <v>0</v>
      </c>
      <c r="F170" s="68">
        <f>'산출(기계)'!H170</f>
        <v>0</v>
      </c>
      <c r="G170" s="180"/>
      <c r="H170" s="172"/>
      <c r="I170" s="172"/>
      <c r="J170" s="172"/>
      <c r="K170" s="172"/>
      <c r="L170" s="173"/>
      <c r="N170" s="56"/>
    </row>
    <row r="171" spans="1:14" s="53" customFormat="1" ht="18" customHeight="1">
      <c r="A171" s="179">
        <f>'산출(기계)'!A171</f>
        <v>0</v>
      </c>
      <c r="B171" s="141">
        <f>'산출(기계)'!B171</f>
        <v>0</v>
      </c>
      <c r="C171" s="140">
        <f>'산출(기계)'!C171</f>
        <v>0</v>
      </c>
      <c r="D171" s="141" t="str">
        <f t="shared" si="53"/>
        <v>00</v>
      </c>
      <c r="E171" s="68">
        <f>'산출(기계)'!D171</f>
        <v>0</v>
      </c>
      <c r="F171" s="68">
        <f>'산출(기계)'!H171</f>
        <v>0</v>
      </c>
      <c r="G171" s="180"/>
      <c r="H171" s="172"/>
      <c r="I171" s="172"/>
      <c r="J171" s="172"/>
      <c r="K171" s="172"/>
      <c r="L171" s="173"/>
      <c r="N171" s="56"/>
    </row>
    <row r="172" spans="1:14" s="53" customFormat="1" ht="18" customHeight="1">
      <c r="A172" s="78"/>
      <c r="B172" s="148"/>
      <c r="C172" s="78"/>
      <c r="D172" s="78"/>
      <c r="E172" s="80"/>
      <c r="F172" s="80"/>
      <c r="G172" s="180"/>
      <c r="H172" s="172"/>
      <c r="I172" s="172"/>
      <c r="J172" s="172"/>
      <c r="K172" s="172"/>
      <c r="L172" s="173"/>
      <c r="N172" s="56"/>
    </row>
    <row r="173" spans="1:14" s="53" customFormat="1" ht="18" customHeight="1">
      <c r="A173" s="78"/>
      <c r="B173" s="148"/>
      <c r="C173" s="78"/>
      <c r="D173" s="78"/>
      <c r="E173" s="80"/>
      <c r="F173" s="80"/>
      <c r="G173" s="180"/>
      <c r="H173" s="172"/>
      <c r="I173" s="172"/>
      <c r="J173" s="172"/>
      <c r="K173" s="172"/>
      <c r="L173" s="173"/>
      <c r="N173" s="56"/>
    </row>
    <row r="174" spans="1:14" ht="18" customHeight="1">
      <c r="A174" s="179"/>
      <c r="B174" s="184" t="s">
        <v>92</v>
      </c>
      <c r="C174" s="185"/>
      <c r="D174" s="186"/>
      <c r="E174" s="141"/>
      <c r="F174" s="68"/>
      <c r="G174" s="178"/>
      <c r="H174" s="178">
        <f>SUM(H149:H173)</f>
        <v>3306530</v>
      </c>
      <c r="I174" s="178"/>
      <c r="J174" s="178">
        <f>SUM(J149:J173)</f>
        <v>1803439</v>
      </c>
      <c r="K174" s="178">
        <f>H174+J174</f>
        <v>5109969</v>
      </c>
      <c r="L174" s="72"/>
    </row>
    <row r="175" spans="1:14" s="142" customFormat="1" ht="18" customHeight="1">
      <c r="A175" s="142" t="str">
        <f>'산출(기계)'!A175</f>
        <v>NO.7) CEILING LIGHT BATTEN</v>
      </c>
      <c r="F175" s="175"/>
      <c r="G175" s="176"/>
      <c r="H175" s="176"/>
      <c r="I175" s="176"/>
      <c r="J175" s="176"/>
      <c r="K175" s="177"/>
    </row>
    <row r="176" spans="1:14" ht="18" customHeight="1">
      <c r="A176" s="395" t="s">
        <v>33</v>
      </c>
      <c r="B176" s="395" t="s">
        <v>88</v>
      </c>
      <c r="C176" s="395" t="s">
        <v>87</v>
      </c>
      <c r="D176" s="343"/>
      <c r="E176" s="395" t="s">
        <v>36</v>
      </c>
      <c r="F176" s="395" t="s">
        <v>7</v>
      </c>
      <c r="G176" s="393" t="s">
        <v>90</v>
      </c>
      <c r="H176" s="394"/>
      <c r="I176" s="393" t="s">
        <v>85</v>
      </c>
      <c r="J176" s="394"/>
      <c r="K176" s="395" t="s">
        <v>84</v>
      </c>
      <c r="L176" s="395" t="s">
        <v>39</v>
      </c>
    </row>
    <row r="177" spans="1:15" ht="18" customHeight="1">
      <c r="A177" s="396"/>
      <c r="B177" s="396"/>
      <c r="C177" s="396"/>
      <c r="D177" s="344"/>
      <c r="E177" s="396"/>
      <c r="F177" s="396"/>
      <c r="G177" s="174" t="s">
        <v>82</v>
      </c>
      <c r="H177" s="174" t="s">
        <v>80</v>
      </c>
      <c r="I177" s="174" t="s">
        <v>81</v>
      </c>
      <c r="J177" s="174" t="s">
        <v>80</v>
      </c>
      <c r="K177" s="396"/>
      <c r="L177" s="396"/>
    </row>
    <row r="178" spans="1:15" ht="18" customHeight="1">
      <c r="A178" s="158"/>
      <c r="B178" s="158" t="str">
        <f>'산출(기계)'!B178</f>
        <v>교체설치</v>
      </c>
      <c r="C178" s="68"/>
      <c r="D178" s="68"/>
      <c r="E178" s="68"/>
      <c r="F178" s="68"/>
      <c r="G178" s="178"/>
      <c r="H178" s="178"/>
      <c r="I178" s="178"/>
      <c r="J178" s="178"/>
      <c r="K178" s="208"/>
      <c r="L178" s="68"/>
    </row>
    <row r="179" spans="1:15" ht="18" customHeight="1">
      <c r="A179" s="179">
        <f>'산출(기계)'!A179</f>
        <v>1</v>
      </c>
      <c r="B179" s="141" t="str">
        <f>'산출(기계)'!B179</f>
        <v>DRIVE M/C ASS'Y</v>
      </c>
      <c r="C179" s="140" t="str">
        <f>'산출(기계)'!C179</f>
        <v>2.2KWx4P</v>
      </c>
      <c r="D179" s="141" t="str">
        <f>B179&amp;C179</f>
        <v>DRIVE M/C ASS'Y2.2KWx4P</v>
      </c>
      <c r="E179" s="68" t="str">
        <f>'산출(기계)'!D179</f>
        <v>SET</v>
      </c>
      <c r="F179" s="68">
        <f>'산출(기계)'!H179</f>
        <v>1</v>
      </c>
      <c r="G179" s="180">
        <f>VLOOKUP(D:D,적용!A:B,2,FALSE)</f>
        <v>3000000</v>
      </c>
      <c r="H179" s="181">
        <f>INT(G179*F179)</f>
        <v>3000000</v>
      </c>
      <c r="I179" s="181"/>
      <c r="J179" s="181">
        <f>INT(I179*F179)</f>
        <v>0</v>
      </c>
      <c r="K179" s="181">
        <f t="shared" ref="K179:K184" si="54">H179+J179</f>
        <v>3000000</v>
      </c>
      <c r="L179" s="182"/>
      <c r="O179" s="183"/>
    </row>
    <row r="180" spans="1:15" ht="18" customHeight="1">
      <c r="A180" s="179">
        <f>'산출(기계)'!A180</f>
        <v>2</v>
      </c>
      <c r="B180" s="141" t="str">
        <f>'산출(기계)'!B180</f>
        <v>V-SHEAVE</v>
      </c>
      <c r="C180" s="140" t="str">
        <f>'산출(기계)'!C180</f>
        <v>Ø200x3P</v>
      </c>
      <c r="D180" s="141" t="str">
        <f t="shared" ref="D180:D189" si="55">B180&amp;C180</f>
        <v>V-SHEAVEØ200x3P</v>
      </c>
      <c r="E180" s="68" t="str">
        <f>'산출(기계)'!D180</f>
        <v>SET</v>
      </c>
      <c r="F180" s="68">
        <f>'산출(기계)'!H180</f>
        <v>1</v>
      </c>
      <c r="G180" s="180">
        <f>VLOOKUP(D:D,적용!A:B,2,FALSE)</f>
        <v>100000</v>
      </c>
      <c r="H180" s="181">
        <f t="shared" ref="H180:H187" si="56">INT(G180*F180)</f>
        <v>100000</v>
      </c>
      <c r="I180" s="181"/>
      <c r="J180" s="181">
        <f t="shared" ref="J180:J184" si="57">INT(I180*F180)</f>
        <v>0</v>
      </c>
      <c r="K180" s="181">
        <f t="shared" si="54"/>
        <v>100000</v>
      </c>
      <c r="L180" s="182"/>
      <c r="O180" s="183"/>
    </row>
    <row r="181" spans="1:15" ht="18" customHeight="1">
      <c r="A181" s="179">
        <f>'산출(기계)'!A181</f>
        <v>3</v>
      </c>
      <c r="B181" s="141" t="str">
        <f>'산출(기계)'!B181</f>
        <v>V-SHEAVE</v>
      </c>
      <c r="C181" s="140" t="str">
        <f>'산출(기계)'!C181</f>
        <v>Ø200x1P</v>
      </c>
      <c r="D181" s="141" t="str">
        <f t="shared" si="55"/>
        <v>V-SHEAVEØ200x1P</v>
      </c>
      <c r="E181" s="68" t="str">
        <f>'산출(기계)'!D181</f>
        <v>SET</v>
      </c>
      <c r="F181" s="68">
        <f>'산출(기계)'!H181</f>
        <v>3</v>
      </c>
      <c r="G181" s="180">
        <f>VLOOKUP(D:D,적용!A:B,2,FALSE)</f>
        <v>70000</v>
      </c>
      <c r="H181" s="181">
        <f t="shared" si="56"/>
        <v>210000</v>
      </c>
      <c r="I181" s="181"/>
      <c r="J181" s="181">
        <f t="shared" si="57"/>
        <v>0</v>
      </c>
      <c r="K181" s="181">
        <f t="shared" si="54"/>
        <v>210000</v>
      </c>
      <c r="L181" s="209"/>
      <c r="O181" s="183"/>
    </row>
    <row r="182" spans="1:15" ht="18" customHeight="1">
      <c r="A182" s="179">
        <f>'산출(기계)'!A182</f>
        <v>4</v>
      </c>
      <c r="B182" s="141" t="str">
        <f>'산출(기계)'!B182</f>
        <v>WIRE ROPE</v>
      </c>
      <c r="C182" s="140" t="str">
        <f>'산출(기계)'!C182</f>
        <v>Ø6</v>
      </c>
      <c r="D182" s="141" t="str">
        <f t="shared" si="55"/>
        <v>WIRE ROPEØ6</v>
      </c>
      <c r="E182" s="68" t="str">
        <f>'산출(기계)'!D182</f>
        <v>M</v>
      </c>
      <c r="F182" s="68">
        <f>'산출(기계)'!H182</f>
        <v>64</v>
      </c>
      <c r="G182" s="180">
        <f>VLOOKUP(D:D,적용!A:B,2,FALSE)</f>
        <v>1260</v>
      </c>
      <c r="H182" s="181">
        <f t="shared" si="56"/>
        <v>80640</v>
      </c>
      <c r="I182" s="181"/>
      <c r="J182" s="181">
        <f t="shared" si="57"/>
        <v>0</v>
      </c>
      <c r="K182" s="181">
        <f t="shared" si="54"/>
        <v>80640</v>
      </c>
      <c r="L182" s="209"/>
      <c r="O182" s="183"/>
    </row>
    <row r="183" spans="1:15" s="53" customFormat="1" ht="18" customHeight="1">
      <c r="A183" s="179">
        <f>'산출(기계)'!A183</f>
        <v>5</v>
      </c>
      <c r="B183" s="141" t="str">
        <f>'산출(기계)'!B183</f>
        <v>HANGER ASS'Y</v>
      </c>
      <c r="C183" s="140"/>
      <c r="D183" s="141" t="str">
        <f t="shared" si="55"/>
        <v>HANGER ASS'Y</v>
      </c>
      <c r="E183" s="68" t="str">
        <f>'산출(기계)'!D183</f>
        <v>SET</v>
      </c>
      <c r="F183" s="68">
        <f>'산출(기계)'!H183</f>
        <v>4</v>
      </c>
      <c r="G183" s="180">
        <f>VLOOKUP(D:D,적용!A:B,2,FALSE)</f>
        <v>32000</v>
      </c>
      <c r="H183" s="181">
        <f t="shared" si="56"/>
        <v>128000</v>
      </c>
      <c r="I183" s="172"/>
      <c r="J183" s="181">
        <f t="shared" si="57"/>
        <v>0</v>
      </c>
      <c r="K183" s="181">
        <f t="shared" si="54"/>
        <v>128000</v>
      </c>
      <c r="L183" s="173"/>
      <c r="N183" s="56"/>
    </row>
    <row r="184" spans="1:15" s="53" customFormat="1" ht="18" customHeight="1">
      <c r="A184" s="179">
        <f>'산출(기계)'!A184</f>
        <v>6</v>
      </c>
      <c r="B184" s="141" t="str">
        <f>'산출(기계)'!B184</f>
        <v>설치인건비</v>
      </c>
      <c r="C184" s="140" t="str">
        <f>'산출(기계)'!C184</f>
        <v>일반기기설치</v>
      </c>
      <c r="D184" s="141" t="str">
        <f t="shared" si="55"/>
        <v>설치인건비일반기기설치</v>
      </c>
      <c r="E184" s="68" t="str">
        <f>'산출(기계)'!D184</f>
        <v>TON</v>
      </c>
      <c r="F184" s="68">
        <f>'산출(기계)'!H184</f>
        <v>0.34388000000000002</v>
      </c>
      <c r="G184" s="180"/>
      <c r="H184" s="181">
        <f t="shared" si="56"/>
        <v>0</v>
      </c>
      <c r="I184" s="172">
        <f>일위대가!$K$16</f>
        <v>3150334</v>
      </c>
      <c r="J184" s="181">
        <f t="shared" si="57"/>
        <v>1083336</v>
      </c>
      <c r="K184" s="181">
        <f t="shared" si="54"/>
        <v>1083336</v>
      </c>
      <c r="L184" s="173" t="s">
        <v>192</v>
      </c>
      <c r="N184" s="56"/>
    </row>
    <row r="185" spans="1:15" s="53" customFormat="1" ht="18" customHeight="1">
      <c r="A185" s="179">
        <f>'산출(기계)'!A185</f>
        <v>0</v>
      </c>
      <c r="B185" s="158" t="str">
        <f>'산출(기계)'!B185</f>
        <v>철거</v>
      </c>
      <c r="C185" s="140">
        <f>'산출(기계)'!C185</f>
        <v>0</v>
      </c>
      <c r="D185" s="141" t="str">
        <f t="shared" si="55"/>
        <v>철거0</v>
      </c>
      <c r="E185" s="68">
        <f>'산출(기계)'!D185</f>
        <v>0</v>
      </c>
      <c r="F185" s="68">
        <f>'산출(기계)'!H185</f>
        <v>0</v>
      </c>
      <c r="G185" s="180"/>
      <c r="H185" s="181">
        <f t="shared" si="56"/>
        <v>0</v>
      </c>
      <c r="I185" s="172"/>
      <c r="J185" s="181"/>
      <c r="K185" s="181"/>
      <c r="L185" s="173"/>
      <c r="N185" s="56"/>
    </row>
    <row r="186" spans="1:15" s="53" customFormat="1" ht="18" customHeight="1">
      <c r="A186" s="179">
        <f>'산출(기계)'!A186</f>
        <v>1</v>
      </c>
      <c r="B186" s="141" t="str">
        <f>'산출(기계)'!B186</f>
        <v>철거인건비</v>
      </c>
      <c r="C186" s="140" t="str">
        <f>'산출(기계)'!C186</f>
        <v>재사용을 고려안할경우</v>
      </c>
      <c r="D186" s="141" t="str">
        <f t="shared" si="55"/>
        <v>철거인건비재사용을 고려안할경우</v>
      </c>
      <c r="E186" s="68" t="str">
        <f>'산출(기계)'!D186</f>
        <v>TON</v>
      </c>
      <c r="F186" s="68">
        <f>'산출(기계)'!H186</f>
        <v>0.17100000000000001</v>
      </c>
      <c r="G186" s="180"/>
      <c r="H186" s="181">
        <f t="shared" si="56"/>
        <v>0</v>
      </c>
      <c r="I186" s="172">
        <f>일위대가!$K$18</f>
        <v>1890200</v>
      </c>
      <c r="J186" s="181">
        <f t="shared" ref="J186:J187" si="58">INT(I186*F186)</f>
        <v>323224</v>
      </c>
      <c r="K186" s="181">
        <f t="shared" ref="K186:K187" si="59">H186+J186</f>
        <v>323224</v>
      </c>
      <c r="L186" s="173" t="s">
        <v>192</v>
      </c>
      <c r="N186" s="56"/>
    </row>
    <row r="187" spans="1:15" s="53" customFormat="1" ht="18" customHeight="1">
      <c r="A187" s="179">
        <f>'산출(기계)'!A187</f>
        <v>2</v>
      </c>
      <c r="B187" s="141" t="str">
        <f>'산출(기계)'!B187</f>
        <v>고철</v>
      </c>
      <c r="C187" s="140"/>
      <c r="D187" s="141" t="str">
        <f t="shared" si="55"/>
        <v>고철</v>
      </c>
      <c r="E187" s="68" t="str">
        <f>'산출(기계)'!D187</f>
        <v>KG</v>
      </c>
      <c r="F187" s="68">
        <f>'산출(기계)'!H187</f>
        <v>35</v>
      </c>
      <c r="G187" s="180">
        <f>VLOOKUP(D:D,적용!A:B,2,FALSE)</f>
        <v>-130</v>
      </c>
      <c r="H187" s="181">
        <f t="shared" si="56"/>
        <v>-4550</v>
      </c>
      <c r="I187" s="172"/>
      <c r="J187" s="181">
        <f t="shared" si="58"/>
        <v>0</v>
      </c>
      <c r="K187" s="181">
        <f t="shared" si="59"/>
        <v>-4550</v>
      </c>
      <c r="L187" s="173"/>
      <c r="N187" s="56"/>
    </row>
    <row r="188" spans="1:15" s="53" customFormat="1" ht="18" customHeight="1">
      <c r="A188" s="179">
        <f>'산출(기계)'!A188</f>
        <v>0</v>
      </c>
      <c r="B188" s="158" t="str">
        <f>'산출(기계)'!B188</f>
        <v>동일구내이설</v>
      </c>
      <c r="C188" s="140"/>
      <c r="D188" s="141" t="str">
        <f t="shared" si="55"/>
        <v>동일구내이설</v>
      </c>
      <c r="E188" s="68">
        <f>'산출(기계)'!D188</f>
        <v>0</v>
      </c>
      <c r="F188" s="68">
        <f>'산출(기계)'!H188</f>
        <v>0</v>
      </c>
      <c r="G188" s="180"/>
      <c r="H188" s="181"/>
      <c r="I188" s="172"/>
      <c r="J188" s="181"/>
      <c r="K188" s="181"/>
      <c r="L188" s="173"/>
      <c r="N188" s="56"/>
    </row>
    <row r="189" spans="1:15" s="53" customFormat="1" ht="18" customHeight="1">
      <c r="A189" s="179">
        <f>'산출(기계)'!A191</f>
        <v>1</v>
      </c>
      <c r="B189" s="141" t="str">
        <f>'산출(기계)'!B191</f>
        <v>일반기기설치</v>
      </c>
      <c r="C189" s="140" t="str">
        <f>'산출(기계)'!C191</f>
        <v>동일구내이설</v>
      </c>
      <c r="D189" s="141" t="str">
        <f t="shared" si="55"/>
        <v>일반기기설치동일구내이설</v>
      </c>
      <c r="E189" s="68" t="str">
        <f>'산출(기계)'!D191</f>
        <v>TON</v>
      </c>
      <c r="F189" s="68">
        <f>'산출(기계)'!H191</f>
        <v>0.315</v>
      </c>
      <c r="G189" s="180"/>
      <c r="H189" s="181"/>
      <c r="I189" s="172">
        <f>일위대가!$K$25</f>
        <v>6048640</v>
      </c>
      <c r="J189" s="181">
        <f t="shared" ref="J189" si="60">INT(I189*F189)</f>
        <v>1905321</v>
      </c>
      <c r="K189" s="181">
        <f t="shared" ref="K189" si="61">H189+J189</f>
        <v>1905321</v>
      </c>
      <c r="L189" s="173" t="s">
        <v>192</v>
      </c>
      <c r="N189" s="56"/>
    </row>
    <row r="190" spans="1:15" s="53" customFormat="1" ht="18" customHeight="1">
      <c r="A190" s="179"/>
      <c r="B190" s="141"/>
      <c r="C190" s="140"/>
      <c r="D190" s="141"/>
      <c r="E190" s="68"/>
      <c r="F190" s="68"/>
      <c r="G190" s="180"/>
      <c r="H190" s="181"/>
      <c r="I190" s="172"/>
      <c r="J190" s="181"/>
      <c r="K190" s="181"/>
      <c r="L190" s="173"/>
      <c r="N190" s="56"/>
    </row>
    <row r="191" spans="1:15" s="53" customFormat="1" ht="18" customHeight="1">
      <c r="A191" s="179"/>
      <c r="B191" s="141"/>
      <c r="C191" s="140"/>
      <c r="D191" s="141"/>
      <c r="E191" s="68"/>
      <c r="F191" s="68"/>
      <c r="G191" s="180"/>
      <c r="H191" s="181"/>
      <c r="I191" s="172"/>
      <c r="J191" s="181"/>
      <c r="K191" s="181"/>
      <c r="L191" s="173"/>
      <c r="N191" s="56"/>
    </row>
    <row r="192" spans="1:15" s="53" customFormat="1" ht="18" customHeight="1">
      <c r="A192" s="179"/>
      <c r="B192" s="141"/>
      <c r="C192" s="140"/>
      <c r="D192" s="141"/>
      <c r="E192" s="68"/>
      <c r="F192" s="68"/>
      <c r="G192" s="180"/>
      <c r="H192" s="181"/>
      <c r="I192" s="172"/>
      <c r="J192" s="181"/>
      <c r="K192" s="181"/>
      <c r="L192" s="173"/>
      <c r="N192" s="56"/>
    </row>
    <row r="193" spans="1:15" s="53" customFormat="1" ht="18" customHeight="1">
      <c r="A193" s="179"/>
      <c r="B193" s="141"/>
      <c r="C193" s="140"/>
      <c r="D193" s="141"/>
      <c r="E193" s="68"/>
      <c r="F193" s="68"/>
      <c r="G193" s="180"/>
      <c r="H193" s="181"/>
      <c r="I193" s="172"/>
      <c r="J193" s="181"/>
      <c r="K193" s="181"/>
      <c r="L193" s="173"/>
      <c r="N193" s="56"/>
    </row>
    <row r="194" spans="1:15" s="53" customFormat="1" ht="18" customHeight="1">
      <c r="A194" s="179"/>
      <c r="B194" s="141"/>
      <c r="C194" s="140"/>
      <c r="D194" s="141"/>
      <c r="E194" s="68"/>
      <c r="F194" s="68"/>
      <c r="G194" s="180"/>
      <c r="H194" s="181"/>
      <c r="I194" s="172"/>
      <c r="J194" s="181"/>
      <c r="K194" s="181"/>
      <c r="L194" s="173"/>
      <c r="N194" s="56"/>
    </row>
    <row r="195" spans="1:15" s="53" customFormat="1" ht="18" customHeight="1">
      <c r="A195" s="179"/>
      <c r="B195" s="141"/>
      <c r="C195" s="140"/>
      <c r="D195" s="141"/>
      <c r="E195" s="68"/>
      <c r="F195" s="68"/>
      <c r="G195" s="180"/>
      <c r="H195" s="181"/>
      <c r="I195" s="172"/>
      <c r="J195" s="181"/>
      <c r="K195" s="181"/>
      <c r="L195" s="173"/>
      <c r="N195" s="56"/>
    </row>
    <row r="196" spans="1:15" s="53" customFormat="1" ht="18" customHeight="1">
      <c r="A196" s="179">
        <f>'산출(기계)'!A193</f>
        <v>0</v>
      </c>
      <c r="B196" s="141">
        <f>'산출(기계)'!B193</f>
        <v>0</v>
      </c>
      <c r="C196" s="140">
        <f>'산출(기계)'!C193</f>
        <v>0</v>
      </c>
      <c r="D196" s="141" t="str">
        <f>B196&amp;C196</f>
        <v>00</v>
      </c>
      <c r="E196" s="68">
        <f>'산출(기계)'!D193</f>
        <v>0</v>
      </c>
      <c r="F196" s="68">
        <f>'산출(기계)'!H193</f>
        <v>0</v>
      </c>
      <c r="G196" s="180"/>
      <c r="H196" s="172"/>
      <c r="I196" s="172"/>
      <c r="J196" s="172"/>
      <c r="K196" s="172"/>
      <c r="L196" s="173"/>
      <c r="N196" s="56"/>
    </row>
    <row r="197" spans="1:15" s="53" customFormat="1" ht="18" customHeight="1">
      <c r="A197" s="179"/>
      <c r="B197" s="141"/>
      <c r="C197" s="140"/>
      <c r="D197" s="141"/>
      <c r="E197" s="68"/>
      <c r="F197" s="68"/>
      <c r="G197" s="180"/>
      <c r="H197" s="172"/>
      <c r="I197" s="172"/>
      <c r="J197" s="172"/>
      <c r="K197" s="172"/>
      <c r="L197" s="173"/>
      <c r="N197" s="56"/>
    </row>
    <row r="198" spans="1:15" s="53" customFormat="1" ht="18" customHeight="1">
      <c r="A198" s="179">
        <f>'산출(기계)'!A198</f>
        <v>0</v>
      </c>
      <c r="B198" s="141">
        <f>'산출(기계)'!B198</f>
        <v>0</v>
      </c>
      <c r="C198" s="140">
        <f>'산출(기계)'!C198</f>
        <v>0</v>
      </c>
      <c r="D198" s="141" t="str">
        <f t="shared" ref="D198:D200" si="62">B198&amp;C198</f>
        <v>00</v>
      </c>
      <c r="E198" s="68">
        <f>'산출(기계)'!D198</f>
        <v>0</v>
      </c>
      <c r="F198" s="68">
        <f>'산출(기계)'!H198</f>
        <v>0</v>
      </c>
      <c r="G198" s="180"/>
      <c r="H198" s="172"/>
      <c r="I198" s="172"/>
      <c r="J198" s="172"/>
      <c r="K198" s="172"/>
      <c r="L198" s="173"/>
      <c r="N198" s="56"/>
    </row>
    <row r="199" spans="1:15" s="53" customFormat="1" ht="18" customHeight="1">
      <c r="A199" s="179">
        <f>'산출(기계)'!A199</f>
        <v>0</v>
      </c>
      <c r="B199" s="141">
        <f>'산출(기계)'!B199</f>
        <v>0</v>
      </c>
      <c r="C199" s="140">
        <f>'산출(기계)'!C199</f>
        <v>0</v>
      </c>
      <c r="D199" s="141" t="str">
        <f t="shared" si="62"/>
        <v>00</v>
      </c>
      <c r="E199" s="68">
        <f>'산출(기계)'!D199</f>
        <v>0</v>
      </c>
      <c r="F199" s="68">
        <f>'산출(기계)'!H199</f>
        <v>0</v>
      </c>
      <c r="G199" s="180"/>
      <c r="H199" s="172"/>
      <c r="I199" s="172"/>
      <c r="J199" s="172"/>
      <c r="K199" s="172"/>
      <c r="L199" s="173"/>
      <c r="N199" s="56"/>
    </row>
    <row r="200" spans="1:15" s="53" customFormat="1" ht="18" customHeight="1">
      <c r="A200" s="179">
        <f>'산출(기계)'!A200</f>
        <v>0</v>
      </c>
      <c r="B200" s="141">
        <f>'산출(기계)'!B200</f>
        <v>0</v>
      </c>
      <c r="C200" s="140">
        <f>'산출(기계)'!C200</f>
        <v>0</v>
      </c>
      <c r="D200" s="141" t="str">
        <f t="shared" si="62"/>
        <v>00</v>
      </c>
      <c r="E200" s="68">
        <f>'산출(기계)'!D200</f>
        <v>0</v>
      </c>
      <c r="F200" s="68">
        <f>'산출(기계)'!H200</f>
        <v>0</v>
      </c>
      <c r="G200" s="180"/>
      <c r="H200" s="172"/>
      <c r="I200" s="172"/>
      <c r="J200" s="172"/>
      <c r="K200" s="172"/>
      <c r="L200" s="173"/>
      <c r="N200" s="56"/>
    </row>
    <row r="201" spans="1:15" s="53" customFormat="1" ht="18" customHeight="1">
      <c r="A201" s="78"/>
      <c r="B201" s="148"/>
      <c r="C201" s="78"/>
      <c r="D201" s="78"/>
      <c r="E201" s="80"/>
      <c r="F201" s="80"/>
      <c r="G201" s="180"/>
      <c r="H201" s="172"/>
      <c r="I201" s="172"/>
      <c r="J201" s="172"/>
      <c r="K201" s="172"/>
      <c r="L201" s="173"/>
      <c r="N201" s="56"/>
    </row>
    <row r="202" spans="1:15" s="53" customFormat="1" ht="18" customHeight="1">
      <c r="A202" s="78"/>
      <c r="B202" s="148"/>
      <c r="C202" s="78"/>
      <c r="D202" s="78"/>
      <c r="E202" s="80"/>
      <c r="F202" s="80"/>
      <c r="G202" s="180"/>
      <c r="H202" s="172"/>
      <c r="I202" s="172"/>
      <c r="J202" s="172"/>
      <c r="K202" s="172"/>
      <c r="L202" s="173"/>
      <c r="N202" s="56"/>
    </row>
    <row r="203" spans="1:15" ht="18" customHeight="1">
      <c r="A203" s="179"/>
      <c r="B203" s="184" t="s">
        <v>92</v>
      </c>
      <c r="C203" s="185"/>
      <c r="D203" s="186"/>
      <c r="E203" s="141"/>
      <c r="F203" s="68"/>
      <c r="G203" s="178"/>
      <c r="H203" s="178">
        <f>SUM(H178:H202)</f>
        <v>3514090</v>
      </c>
      <c r="I203" s="178"/>
      <c r="J203" s="178">
        <f>SUM(J178:J202)</f>
        <v>3311881</v>
      </c>
      <c r="K203" s="178">
        <f>H203+J203</f>
        <v>6825971</v>
      </c>
      <c r="L203" s="72"/>
    </row>
    <row r="204" spans="1:15" s="142" customFormat="1" ht="18" customHeight="1">
      <c r="A204" s="142" t="str">
        <f>'산출(기계)'!A204</f>
        <v>NO.8) GRID IRON 보수</v>
      </c>
      <c r="F204" s="175"/>
      <c r="G204" s="176"/>
      <c r="H204" s="176"/>
      <c r="I204" s="176"/>
      <c r="J204" s="176"/>
      <c r="K204" s="177"/>
    </row>
    <row r="205" spans="1:15" ht="18" customHeight="1">
      <c r="A205" s="395" t="s">
        <v>33</v>
      </c>
      <c r="B205" s="395" t="s">
        <v>88</v>
      </c>
      <c r="C205" s="395" t="s">
        <v>87</v>
      </c>
      <c r="D205" s="343"/>
      <c r="E205" s="395" t="s">
        <v>36</v>
      </c>
      <c r="F205" s="395" t="s">
        <v>7</v>
      </c>
      <c r="G205" s="393" t="s">
        <v>90</v>
      </c>
      <c r="H205" s="394"/>
      <c r="I205" s="393" t="s">
        <v>85</v>
      </c>
      <c r="J205" s="394"/>
      <c r="K205" s="395" t="s">
        <v>84</v>
      </c>
      <c r="L205" s="395" t="s">
        <v>39</v>
      </c>
    </row>
    <row r="206" spans="1:15" ht="18" customHeight="1">
      <c r="A206" s="396"/>
      <c r="B206" s="396"/>
      <c r="C206" s="396"/>
      <c r="D206" s="344"/>
      <c r="E206" s="396"/>
      <c r="F206" s="396"/>
      <c r="G206" s="174" t="s">
        <v>82</v>
      </c>
      <c r="H206" s="174" t="s">
        <v>80</v>
      </c>
      <c r="I206" s="174" t="s">
        <v>81</v>
      </c>
      <c r="J206" s="174" t="s">
        <v>80</v>
      </c>
      <c r="K206" s="396"/>
      <c r="L206" s="396"/>
    </row>
    <row r="207" spans="1:15" ht="18" customHeight="1">
      <c r="A207" s="158"/>
      <c r="B207" s="158" t="str">
        <f>'산출(기계)'!B207</f>
        <v>안전난간대 설치</v>
      </c>
      <c r="C207" s="68"/>
      <c r="D207" s="68"/>
      <c r="E207" s="68"/>
      <c r="F207" s="68"/>
      <c r="G207" s="178"/>
      <c r="H207" s="178"/>
      <c r="I207" s="178"/>
      <c r="J207" s="178"/>
      <c r="K207" s="208"/>
      <c r="L207" s="68"/>
    </row>
    <row r="208" spans="1:15" ht="18" customHeight="1">
      <c r="A208" s="179">
        <f>'산출(기계)'!A208</f>
        <v>1</v>
      </c>
      <c r="B208" s="141" t="str">
        <f>'산출(기계)'!B208</f>
        <v>SQUARE PIPE</v>
      </c>
      <c r="C208" s="140" t="str">
        <f>'산출(기계)'!C208</f>
        <v>50x50x1.6t</v>
      </c>
      <c r="D208" s="141" t="str">
        <f>B208&amp;C208</f>
        <v>SQUARE PIPE50x50x1.6t</v>
      </c>
      <c r="E208" s="68" t="str">
        <f>'산출(기계)'!D208</f>
        <v>M</v>
      </c>
      <c r="F208" s="68">
        <f>'산출(기계)'!H208</f>
        <v>144</v>
      </c>
      <c r="G208" s="180">
        <f>VLOOKUP(D:D,적용!A:B,2,FALSE)</f>
        <v>2394</v>
      </c>
      <c r="H208" s="181">
        <f>INT(G208*F208)</f>
        <v>344736</v>
      </c>
      <c r="I208" s="181"/>
      <c r="J208" s="181">
        <f>INT(I208*F208)</f>
        <v>0</v>
      </c>
      <c r="K208" s="181">
        <f t="shared" ref="K208:K215" si="63">H208+J208</f>
        <v>344736</v>
      </c>
      <c r="L208" s="182"/>
      <c r="O208" s="183"/>
    </row>
    <row r="209" spans="1:15" ht="18" customHeight="1">
      <c r="A209" s="179">
        <f>'산출(기계)'!A209</f>
        <v>2</v>
      </c>
      <c r="B209" s="141" t="str">
        <f>'산출(기계)'!B209</f>
        <v>SQUARE PIPE</v>
      </c>
      <c r="C209" s="140" t="str">
        <f>'산출(기계)'!C209</f>
        <v>30x30x1.6t</v>
      </c>
      <c r="D209" s="141" t="str">
        <f t="shared" ref="D209:D214" si="64">B209&amp;C209</f>
        <v>SQUARE PIPE30x30x1.6t</v>
      </c>
      <c r="E209" s="68" t="str">
        <f>'산출(기계)'!D209</f>
        <v>M</v>
      </c>
      <c r="F209" s="68">
        <f>'산출(기계)'!H209</f>
        <v>144</v>
      </c>
      <c r="G209" s="180">
        <f>VLOOKUP(D:D,적용!A:B,2,FALSE)</f>
        <v>1418</v>
      </c>
      <c r="H209" s="181">
        <f t="shared" ref="H209:H215" si="65">INT(G209*F209)</f>
        <v>204192</v>
      </c>
      <c r="I209" s="181"/>
      <c r="J209" s="181">
        <f t="shared" ref="J209:J214" si="66">INT(I209*F209)</f>
        <v>0</v>
      </c>
      <c r="K209" s="181">
        <f t="shared" si="63"/>
        <v>204192</v>
      </c>
      <c r="L209" s="182"/>
      <c r="O209" s="183"/>
    </row>
    <row r="210" spans="1:15" ht="18" customHeight="1">
      <c r="A210" s="179">
        <f>'산출(기계)'!A210</f>
        <v>3</v>
      </c>
      <c r="B210" s="141" t="str">
        <f>'산출(기계)'!B210</f>
        <v>EXPANDED METAL</v>
      </c>
      <c r="C210" s="140" t="str">
        <f>'산출(기계)'!C210</f>
        <v>SS #243</v>
      </c>
      <c r="D210" s="141" t="str">
        <f t="shared" ref="D210" si="67">B210&amp;C210</f>
        <v>EXPANDED METALSS #243</v>
      </c>
      <c r="E210" s="68" t="str">
        <f>'산출(기계)'!D210</f>
        <v>매</v>
      </c>
      <c r="F210" s="68">
        <f>'산출(기계)'!H210</f>
        <v>1.4</v>
      </c>
      <c r="G210" s="180">
        <f>VLOOKUP(D:D,적용!A:B,2,FALSE)</f>
        <v>33360</v>
      </c>
      <c r="H210" s="181">
        <f t="shared" ref="H210" si="68">INT(G210*F210)</f>
        <v>46704</v>
      </c>
      <c r="I210" s="181"/>
      <c r="J210" s="181">
        <f t="shared" ref="J210" si="69">INT(I210*F210)</f>
        <v>0</v>
      </c>
      <c r="K210" s="181">
        <f t="shared" ref="K210" si="70">H210+J210</f>
        <v>46704</v>
      </c>
      <c r="L210" s="209"/>
      <c r="O210" s="183"/>
    </row>
    <row r="211" spans="1:15" ht="18" customHeight="1">
      <c r="A211" s="179">
        <f>'산출(기계)'!A211</f>
        <v>4</v>
      </c>
      <c r="B211" s="141" t="str">
        <f>'산출(기계)'!B211</f>
        <v>PAINTING</v>
      </c>
      <c r="C211" s="140" t="str">
        <f>'산출(기계)'!C211</f>
        <v>녹막이 2회</v>
      </c>
      <c r="D211" s="141" t="str">
        <f t="shared" si="64"/>
        <v>PAINTING녹막이 2회</v>
      </c>
      <c r="E211" s="68" t="str">
        <f>'산출(기계)'!D211</f>
        <v>M²</v>
      </c>
      <c r="F211" s="68">
        <f>'산출(기계)'!H211</f>
        <v>37.299999999999997</v>
      </c>
      <c r="G211" s="180">
        <f>일위대가!$H$87</f>
        <v>2909</v>
      </c>
      <c r="H211" s="181">
        <f t="shared" si="65"/>
        <v>108505</v>
      </c>
      <c r="I211" s="180">
        <f>일위대가!$J$87</f>
        <v>2271</v>
      </c>
      <c r="J211" s="181">
        <f t="shared" si="66"/>
        <v>84708</v>
      </c>
      <c r="K211" s="181">
        <f t="shared" si="63"/>
        <v>193213</v>
      </c>
      <c r="L211" s="173" t="s">
        <v>276</v>
      </c>
      <c r="O211" s="183"/>
    </row>
    <row r="212" spans="1:15" ht="18" customHeight="1">
      <c r="A212" s="179">
        <f>'산출(기계)'!A212</f>
        <v>5</v>
      </c>
      <c r="B212" s="141" t="str">
        <f>'산출(기계)'!B212</f>
        <v>PAINTING</v>
      </c>
      <c r="C212" s="140" t="str">
        <f>'산출(기계)'!C212</f>
        <v>조합 2회</v>
      </c>
      <c r="D212" s="141" t="str">
        <f t="shared" si="64"/>
        <v>PAINTING조합 2회</v>
      </c>
      <c r="E212" s="68" t="str">
        <f>'산출(기계)'!D212</f>
        <v>M²</v>
      </c>
      <c r="F212" s="68">
        <f>'산출(기계)'!H212</f>
        <v>37.299999999999997</v>
      </c>
      <c r="G212" s="180">
        <f>일위대가!$H$116</f>
        <v>846</v>
      </c>
      <c r="H212" s="181">
        <f t="shared" si="65"/>
        <v>31555</v>
      </c>
      <c r="I212" s="180">
        <f>일위대가!$J$116</f>
        <v>3028</v>
      </c>
      <c r="J212" s="181">
        <f t="shared" si="66"/>
        <v>112944</v>
      </c>
      <c r="K212" s="181">
        <f t="shared" si="63"/>
        <v>144499</v>
      </c>
      <c r="L212" s="173" t="s">
        <v>277</v>
      </c>
      <c r="O212" s="183"/>
    </row>
    <row r="213" spans="1:15" s="53" customFormat="1" ht="18" customHeight="1">
      <c r="A213" s="179">
        <f>'산출(기계)'!A213</f>
        <v>6</v>
      </c>
      <c r="B213" s="141" t="str">
        <f>'산출(기계)'!B213</f>
        <v>설치인건비</v>
      </c>
      <c r="C213" s="140" t="str">
        <f>'산출(기계)'!C213</f>
        <v>잡철물 제작설치</v>
      </c>
      <c r="D213" s="141" t="str">
        <f t="shared" si="64"/>
        <v>설치인건비잡철물 제작설치</v>
      </c>
      <c r="E213" s="68" t="str">
        <f>'산출(기계)'!D213</f>
        <v>TON</v>
      </c>
      <c r="F213" s="68">
        <f>'산출(기계)'!H213</f>
        <v>0.57507000000000008</v>
      </c>
      <c r="G213" s="180">
        <f>일위대가!$H$51</f>
        <v>94830</v>
      </c>
      <c r="H213" s="181">
        <f t="shared" si="65"/>
        <v>54533</v>
      </c>
      <c r="I213" s="180">
        <f>일위대가!$J$51</f>
        <v>4571660</v>
      </c>
      <c r="J213" s="181">
        <f t="shared" ref="J213" si="71">INT(I213*F213)</f>
        <v>2629024</v>
      </c>
      <c r="K213" s="181">
        <f t="shared" ref="K213" si="72">H213+J213</f>
        <v>2683557</v>
      </c>
      <c r="L213" s="173" t="s">
        <v>278</v>
      </c>
      <c r="N213" s="56"/>
    </row>
    <row r="214" spans="1:15" s="53" customFormat="1" ht="18" customHeight="1">
      <c r="A214" s="179">
        <f>'산출(기계)'!A214</f>
        <v>0</v>
      </c>
      <c r="B214" s="158" t="str">
        <f>'산출(기계)'!B214</f>
        <v>점검사다리 설치</v>
      </c>
      <c r="C214" s="140">
        <f>'산출(기계)'!C214</f>
        <v>0</v>
      </c>
      <c r="D214" s="141" t="str">
        <f t="shared" si="64"/>
        <v>점검사다리 설치0</v>
      </c>
      <c r="E214" s="68">
        <f>'산출(기계)'!D214</f>
        <v>0</v>
      </c>
      <c r="F214" s="68">
        <f>'산출(기계)'!H214</f>
        <v>0</v>
      </c>
      <c r="G214" s="180"/>
      <c r="H214" s="181">
        <f t="shared" si="65"/>
        <v>0</v>
      </c>
      <c r="I214" s="172"/>
      <c r="J214" s="181">
        <f t="shared" si="66"/>
        <v>0</v>
      </c>
      <c r="K214" s="181">
        <f t="shared" si="63"/>
        <v>0</v>
      </c>
      <c r="L214" s="173"/>
      <c r="N214" s="56"/>
    </row>
    <row r="215" spans="1:15" ht="18" customHeight="1">
      <c r="A215" s="179">
        <f>'산출(기계)'!A215</f>
        <v>1</v>
      </c>
      <c r="B215" s="141" t="str">
        <f>'산출(기계)'!B215</f>
        <v>점검사다리</v>
      </c>
      <c r="C215" s="140"/>
      <c r="D215" s="141" t="str">
        <f t="shared" ref="D215" si="73">B215&amp;C215</f>
        <v>점검사다리</v>
      </c>
      <c r="E215" s="68" t="str">
        <f>'산출(기계)'!D215</f>
        <v>식</v>
      </c>
      <c r="F215" s="68">
        <f>'산출(기계)'!H215</f>
        <v>1</v>
      </c>
      <c r="G215" s="180">
        <f>VLOOKUP(D:D,적용!A:B,2,FALSE)</f>
        <v>1000000</v>
      </c>
      <c r="H215" s="181">
        <f t="shared" si="65"/>
        <v>1000000</v>
      </c>
      <c r="I215" s="181"/>
      <c r="J215" s="181"/>
      <c r="K215" s="181">
        <f t="shared" si="63"/>
        <v>1000000</v>
      </c>
      <c r="L215" s="182"/>
    </row>
    <row r="216" spans="1:15" ht="18" customHeight="1">
      <c r="A216" s="179">
        <f>'산출(기계)'!A216</f>
        <v>2</v>
      </c>
      <c r="B216" s="141" t="str">
        <f>'산출(기계)'!B216</f>
        <v>설치인건비</v>
      </c>
      <c r="C216" s="140" t="str">
        <f>'산출(기계)'!C216</f>
        <v>잡철물 제작설치</v>
      </c>
      <c r="D216" s="141" t="str">
        <f t="shared" ref="D216" si="74">B216&amp;C216</f>
        <v>설치인건비잡철물 제작설치</v>
      </c>
      <c r="E216" s="68" t="str">
        <f>'산출(기계)'!D216</f>
        <v>TON</v>
      </c>
      <c r="F216" s="68">
        <f>'산출(기계)'!H216</f>
        <v>0.08</v>
      </c>
      <c r="G216" s="180">
        <f>일위대가!$H$51</f>
        <v>94830</v>
      </c>
      <c r="H216" s="181">
        <f t="shared" ref="H216" si="75">INT(G216*F216)</f>
        <v>7586</v>
      </c>
      <c r="I216" s="180">
        <f>일위대가!$J$51</f>
        <v>4571660</v>
      </c>
      <c r="J216" s="181">
        <f t="shared" ref="J216" si="76">INT(I216*F216)</f>
        <v>365732</v>
      </c>
      <c r="K216" s="181">
        <f t="shared" ref="K216:K218" si="77">H216+J216</f>
        <v>373318</v>
      </c>
      <c r="L216" s="173" t="s">
        <v>278</v>
      </c>
      <c r="O216" s="183"/>
    </row>
    <row r="217" spans="1:15" ht="18" customHeight="1">
      <c r="A217" s="179"/>
      <c r="B217" s="141"/>
      <c r="C217" s="140"/>
      <c r="D217" s="141"/>
      <c r="E217" s="68"/>
      <c r="F217" s="68"/>
      <c r="G217" s="180"/>
      <c r="H217" s="181">
        <f t="shared" ref="H217" si="78">INT(G217*F217)</f>
        <v>0</v>
      </c>
      <c r="I217" s="181"/>
      <c r="J217" s="181"/>
      <c r="K217" s="181">
        <f t="shared" si="77"/>
        <v>0</v>
      </c>
      <c r="L217" s="182"/>
      <c r="O217" s="183"/>
    </row>
    <row r="218" spans="1:15" ht="18" customHeight="1">
      <c r="A218" s="179"/>
      <c r="B218" s="187"/>
      <c r="C218" s="140"/>
      <c r="D218" s="141"/>
      <c r="E218" s="68"/>
      <c r="F218" s="68"/>
      <c r="G218" s="180"/>
      <c r="H218" s="181"/>
      <c r="I218" s="172"/>
      <c r="J218" s="181">
        <f t="shared" ref="J218" si="79">INT(I218*F218)</f>
        <v>0</v>
      </c>
      <c r="K218" s="181">
        <f t="shared" si="77"/>
        <v>0</v>
      </c>
      <c r="L218" s="173"/>
      <c r="O218" s="183"/>
    </row>
    <row r="219" spans="1:15" ht="18" customHeight="1">
      <c r="A219" s="179"/>
      <c r="B219" s="141"/>
      <c r="C219" s="140"/>
      <c r="D219" s="141"/>
      <c r="E219" s="68"/>
      <c r="F219" s="68"/>
      <c r="G219" s="180"/>
      <c r="H219" s="181">
        <f t="shared" ref="H219" si="80">INT(G219*F219)</f>
        <v>0</v>
      </c>
      <c r="I219" s="172"/>
      <c r="J219" s="181"/>
      <c r="K219" s="181"/>
      <c r="L219" s="173"/>
    </row>
    <row r="220" spans="1:15" ht="18" customHeight="1">
      <c r="A220" s="179"/>
      <c r="B220" s="141"/>
      <c r="C220" s="140"/>
      <c r="D220" s="141"/>
      <c r="E220" s="68"/>
      <c r="F220" s="68"/>
      <c r="G220" s="180"/>
      <c r="H220" s="181"/>
      <c r="I220" s="172"/>
      <c r="J220" s="181"/>
      <c r="K220" s="181"/>
      <c r="L220" s="173"/>
    </row>
    <row r="221" spans="1:15" ht="18" customHeight="1">
      <c r="A221" s="179"/>
      <c r="B221" s="141"/>
      <c r="C221" s="140"/>
      <c r="D221" s="141"/>
      <c r="E221" s="68"/>
      <c r="F221" s="68"/>
      <c r="G221" s="180"/>
      <c r="H221" s="181"/>
      <c r="I221" s="172"/>
      <c r="J221" s="181"/>
      <c r="K221" s="181"/>
      <c r="L221" s="173"/>
    </row>
    <row r="222" spans="1:15" ht="18" customHeight="1">
      <c r="A222" s="179"/>
      <c r="B222" s="141"/>
      <c r="C222" s="140"/>
      <c r="D222" s="141"/>
      <c r="E222" s="68"/>
      <c r="F222" s="68"/>
      <c r="G222" s="180"/>
      <c r="H222" s="181"/>
      <c r="I222" s="172"/>
      <c r="J222" s="181"/>
      <c r="K222" s="181"/>
      <c r="L222" s="173"/>
    </row>
    <row r="223" spans="1:15" ht="18" customHeight="1">
      <c r="A223" s="179"/>
      <c r="B223" s="141"/>
      <c r="C223" s="140"/>
      <c r="D223" s="141"/>
      <c r="E223" s="68"/>
      <c r="F223" s="68"/>
      <c r="G223" s="180"/>
      <c r="H223" s="181"/>
      <c r="I223" s="178"/>
      <c r="J223" s="178"/>
      <c r="K223" s="181">
        <f t="shared" ref="K223" si="81">H223+J223</f>
        <v>0</v>
      </c>
      <c r="L223" s="72"/>
    </row>
    <row r="224" spans="1:15" ht="18" customHeight="1">
      <c r="A224" s="179"/>
      <c r="B224" s="141"/>
      <c r="C224" s="140"/>
      <c r="D224" s="141"/>
      <c r="E224" s="68"/>
      <c r="F224" s="68"/>
      <c r="G224" s="180"/>
      <c r="H224" s="181"/>
      <c r="I224" s="178"/>
      <c r="J224" s="178"/>
      <c r="K224" s="178"/>
      <c r="L224" s="72"/>
    </row>
    <row r="225" spans="1:15" ht="18" customHeight="1">
      <c r="A225" s="179"/>
      <c r="B225" s="141"/>
      <c r="C225" s="140"/>
      <c r="D225" s="141"/>
      <c r="E225" s="68"/>
      <c r="F225" s="68"/>
      <c r="G225" s="180"/>
      <c r="H225" s="181"/>
      <c r="I225" s="178"/>
      <c r="J225" s="178"/>
      <c r="K225" s="178"/>
      <c r="L225" s="72"/>
    </row>
    <row r="226" spans="1:15" ht="18" customHeight="1">
      <c r="A226" s="179"/>
      <c r="B226" s="141"/>
      <c r="C226" s="140"/>
      <c r="D226" s="141"/>
      <c r="E226" s="68"/>
      <c r="F226" s="68"/>
      <c r="G226" s="180"/>
      <c r="H226" s="181"/>
      <c r="I226" s="178"/>
      <c r="J226" s="178"/>
      <c r="K226" s="178"/>
      <c r="L226" s="72"/>
    </row>
    <row r="227" spans="1:15" ht="18" customHeight="1">
      <c r="A227" s="179"/>
      <c r="B227" s="184"/>
      <c r="C227" s="185"/>
      <c r="D227" s="141" t="str">
        <f t="shared" ref="D227:D232" si="82">B227&amp;C227</f>
        <v/>
      </c>
      <c r="E227" s="141"/>
      <c r="F227" s="68"/>
      <c r="G227" s="178"/>
      <c r="H227" s="178"/>
      <c r="I227" s="178"/>
      <c r="J227" s="178"/>
      <c r="K227" s="178"/>
      <c r="L227" s="72"/>
    </row>
    <row r="228" spans="1:15" ht="18" customHeight="1">
      <c r="A228" s="179"/>
      <c r="B228" s="184"/>
      <c r="C228" s="185"/>
      <c r="D228" s="141" t="str">
        <f t="shared" si="82"/>
        <v/>
      </c>
      <c r="E228" s="141"/>
      <c r="F228" s="68"/>
      <c r="G228" s="178"/>
      <c r="H228" s="178"/>
      <c r="I228" s="178"/>
      <c r="J228" s="178"/>
      <c r="K228" s="178"/>
      <c r="L228" s="72"/>
    </row>
    <row r="229" spans="1:15" ht="18" customHeight="1">
      <c r="A229" s="179"/>
      <c r="B229" s="184"/>
      <c r="C229" s="185"/>
      <c r="D229" s="141" t="str">
        <f t="shared" si="82"/>
        <v/>
      </c>
      <c r="E229" s="141"/>
      <c r="F229" s="68"/>
      <c r="G229" s="178"/>
      <c r="H229" s="178"/>
      <c r="I229" s="178"/>
      <c r="J229" s="178"/>
      <c r="K229" s="178"/>
      <c r="L229" s="72"/>
    </row>
    <row r="230" spans="1:15" ht="18" customHeight="1">
      <c r="A230" s="179"/>
      <c r="B230" s="184"/>
      <c r="C230" s="185"/>
      <c r="D230" s="141" t="str">
        <f t="shared" si="82"/>
        <v/>
      </c>
      <c r="E230" s="141"/>
      <c r="F230" s="68"/>
      <c r="G230" s="178"/>
      <c r="H230" s="178"/>
      <c r="I230" s="178"/>
      <c r="J230" s="178"/>
      <c r="K230" s="178"/>
      <c r="L230" s="72"/>
    </row>
    <row r="231" spans="1:15" ht="18" customHeight="1">
      <c r="A231" s="179"/>
      <c r="B231" s="184"/>
      <c r="C231" s="185"/>
      <c r="D231" s="141" t="str">
        <f t="shared" si="82"/>
        <v/>
      </c>
      <c r="E231" s="141"/>
      <c r="F231" s="68"/>
      <c r="G231" s="178"/>
      <c r="H231" s="178"/>
      <c r="I231" s="178"/>
      <c r="J231" s="178"/>
      <c r="K231" s="178"/>
      <c r="L231" s="72"/>
    </row>
    <row r="232" spans="1:15" ht="18" customHeight="1">
      <c r="A232" s="179"/>
      <c r="B232" s="184" t="s">
        <v>92</v>
      </c>
      <c r="C232" s="185"/>
      <c r="D232" s="141" t="str">
        <f t="shared" si="82"/>
        <v>합                 계</v>
      </c>
      <c r="E232" s="141"/>
      <c r="F232" s="68"/>
      <c r="G232" s="178"/>
      <c r="H232" s="178">
        <f>SUM(H207:H231)</f>
        <v>1797811</v>
      </c>
      <c r="I232" s="178"/>
      <c r="J232" s="178">
        <f>SUM(J207:J231)</f>
        <v>3192408</v>
      </c>
      <c r="K232" s="178">
        <f>H232+J232</f>
        <v>4990219</v>
      </c>
      <c r="L232" s="72"/>
    </row>
    <row r="233" spans="1:15" s="142" customFormat="1" ht="18" customHeight="1">
      <c r="A233" s="142" t="str">
        <f>'산출(전기)'!A1</f>
        <v>NO.9) 제어시스템</v>
      </c>
      <c r="D233" s="141" t="str">
        <f t="shared" ref="D233:D235" si="83">B233&amp;C233</f>
        <v/>
      </c>
      <c r="F233" s="175"/>
      <c r="G233" s="176"/>
      <c r="H233" s="176"/>
      <c r="I233" s="176"/>
      <c r="J233" s="176"/>
      <c r="K233" s="177"/>
    </row>
    <row r="234" spans="1:15" ht="18" customHeight="1">
      <c r="A234" s="395" t="s">
        <v>33</v>
      </c>
      <c r="B234" s="395" t="s">
        <v>88</v>
      </c>
      <c r="C234" s="395" t="s">
        <v>87</v>
      </c>
      <c r="D234" s="141" t="str">
        <f t="shared" si="83"/>
        <v>품           명규         격</v>
      </c>
      <c r="E234" s="395" t="s">
        <v>36</v>
      </c>
      <c r="F234" s="395" t="s">
        <v>7</v>
      </c>
      <c r="G234" s="393" t="s">
        <v>90</v>
      </c>
      <c r="H234" s="394"/>
      <c r="I234" s="393" t="s">
        <v>85</v>
      </c>
      <c r="J234" s="394"/>
      <c r="K234" s="395" t="s">
        <v>84</v>
      </c>
      <c r="L234" s="395" t="s">
        <v>39</v>
      </c>
    </row>
    <row r="235" spans="1:15" ht="18" customHeight="1">
      <c r="A235" s="396"/>
      <c r="B235" s="396"/>
      <c r="C235" s="396"/>
      <c r="D235" s="141" t="str">
        <f t="shared" si="83"/>
        <v/>
      </c>
      <c r="E235" s="396"/>
      <c r="F235" s="396"/>
      <c r="G235" s="174" t="s">
        <v>82</v>
      </c>
      <c r="H235" s="174" t="s">
        <v>80</v>
      </c>
      <c r="I235" s="174" t="s">
        <v>81</v>
      </c>
      <c r="J235" s="174" t="s">
        <v>80</v>
      </c>
      <c r="K235" s="396"/>
      <c r="L235" s="396"/>
    </row>
    <row r="236" spans="1:15" ht="18" customHeight="1">
      <c r="A236" s="179">
        <v>1</v>
      </c>
      <c r="B236" s="141" t="str">
        <f>'산출(전기)'!B4</f>
        <v>F-GV CABLE</v>
      </c>
      <c r="C236" s="140" t="str">
        <f>'산출(전기)'!C4</f>
        <v>6SQ</v>
      </c>
      <c r="D236" s="141" t="str">
        <f t="shared" ref="D236:D239" si="84">B236&amp;C236</f>
        <v>F-GV CABLE6SQ</v>
      </c>
      <c r="E236" s="68" t="str">
        <f>'산출(전기)'!D4</f>
        <v>M</v>
      </c>
      <c r="F236" s="228">
        <f>'산출(전기)'!K4</f>
        <v>10</v>
      </c>
      <c r="G236" s="180">
        <f>VLOOKUP(D:D,적용!A:B,2,FALSE)</f>
        <v>627</v>
      </c>
      <c r="H236" s="181">
        <f t="shared" ref="H236:H241" si="85">INT(G236*F236)</f>
        <v>6270</v>
      </c>
      <c r="I236" s="172"/>
      <c r="J236" s="181">
        <f>INT(I236*F236)</f>
        <v>0</v>
      </c>
      <c r="K236" s="181">
        <f t="shared" ref="K236:K241" si="86">H236+J236</f>
        <v>6270</v>
      </c>
      <c r="L236" s="173"/>
      <c r="O236" s="183"/>
    </row>
    <row r="237" spans="1:15" ht="18" customHeight="1">
      <c r="A237" s="179">
        <v>2</v>
      </c>
      <c r="B237" s="141" t="str">
        <f>'산출(전기)'!B6</f>
        <v>MCCB (배선용차단기)</v>
      </c>
      <c r="C237" s="140" t="str">
        <f>'산출(전기)'!C6</f>
        <v>ABS 33c</v>
      </c>
      <c r="D237" s="141" t="str">
        <f t="shared" si="84"/>
        <v>MCCB (배선용차단기)ABS 33c</v>
      </c>
      <c r="E237" s="68" t="str">
        <f>'산출(전기)'!D6</f>
        <v>EA</v>
      </c>
      <c r="F237" s="228">
        <f>'산출(전기)'!K6</f>
        <v>6</v>
      </c>
      <c r="G237" s="180">
        <f>VLOOKUP(D:D,적용!A:B,2,FALSE)</f>
        <v>44200</v>
      </c>
      <c r="H237" s="181">
        <f t="shared" si="85"/>
        <v>265200</v>
      </c>
      <c r="I237" s="178"/>
      <c r="J237" s="181"/>
      <c r="K237" s="181">
        <f t="shared" si="86"/>
        <v>265200</v>
      </c>
      <c r="L237" s="72"/>
    </row>
    <row r="238" spans="1:15" ht="18" customHeight="1">
      <c r="A238" s="179">
        <v>3</v>
      </c>
      <c r="B238" s="141" t="str">
        <f>'산출(전기)'!B7</f>
        <v>MC (전자접촉기)</v>
      </c>
      <c r="C238" s="140" t="str">
        <f>'산출(전기)'!C7</f>
        <v>MC 18a</v>
      </c>
      <c r="D238" s="141" t="str">
        <f t="shared" si="84"/>
        <v>MC (전자접촉기)MC 18a</v>
      </c>
      <c r="E238" s="68" t="str">
        <f>'산출(전기)'!D7</f>
        <v>EA</v>
      </c>
      <c r="F238" s="228">
        <f>'산출(전기)'!K7</f>
        <v>8</v>
      </c>
      <c r="G238" s="180">
        <f>VLOOKUP(D:D,적용!A:B,2,FALSE)</f>
        <v>17400</v>
      </c>
      <c r="H238" s="181">
        <f t="shared" si="85"/>
        <v>139200</v>
      </c>
      <c r="I238" s="178"/>
      <c r="J238" s="181"/>
      <c r="K238" s="181">
        <f t="shared" si="86"/>
        <v>139200</v>
      </c>
      <c r="L238" s="219"/>
    </row>
    <row r="239" spans="1:15" ht="18" customHeight="1">
      <c r="A239" s="179">
        <v>4</v>
      </c>
      <c r="B239" s="141" t="str">
        <f>'산출(전기)'!B8</f>
        <v>MC (전자접촉기)</v>
      </c>
      <c r="C239" s="140" t="str">
        <f>'산출(전기)'!C8</f>
        <v>MC 12a</v>
      </c>
      <c r="D239" s="141" t="str">
        <f t="shared" si="84"/>
        <v>MC (전자접촉기)MC 12a</v>
      </c>
      <c r="E239" s="68" t="str">
        <f>'산출(전기)'!D8</f>
        <v>EA</v>
      </c>
      <c r="F239" s="228">
        <f>'산출(전기)'!K8</f>
        <v>4</v>
      </c>
      <c r="G239" s="180">
        <f>VLOOKUP(D:D,적용!A:B,2,FALSE)</f>
        <v>12200</v>
      </c>
      <c r="H239" s="181">
        <f t="shared" si="85"/>
        <v>48800</v>
      </c>
      <c r="I239" s="178"/>
      <c r="J239" s="181"/>
      <c r="K239" s="181">
        <f t="shared" si="86"/>
        <v>48800</v>
      </c>
      <c r="L239" s="219"/>
    </row>
    <row r="240" spans="1:15" ht="18" customHeight="1">
      <c r="A240" s="179">
        <v>5</v>
      </c>
      <c r="B240" s="141" t="str">
        <f>'산출(전기)'!B9</f>
        <v>판낼내부배선 연장</v>
      </c>
      <c r="C240" s="140"/>
      <c r="D240" s="141" t="str">
        <f t="shared" ref="D240" si="87">B240&amp;C240</f>
        <v>판낼내부배선 연장</v>
      </c>
      <c r="E240" s="68" t="str">
        <f>'산출(전기)'!D9</f>
        <v>식</v>
      </c>
      <c r="F240" s="228">
        <f>'산출(전기)'!K9</f>
        <v>1</v>
      </c>
      <c r="G240" s="180">
        <f>VLOOKUP(D:D,적용!A:B,2,FALSE)</f>
        <v>500000</v>
      </c>
      <c r="H240" s="181">
        <f t="shared" ref="H240" si="88">INT(G240*F240)</f>
        <v>500000</v>
      </c>
      <c r="I240" s="178"/>
      <c r="J240" s="181"/>
      <c r="K240" s="181">
        <f t="shared" ref="K240" si="89">H240+J240</f>
        <v>500000</v>
      </c>
      <c r="L240" s="219"/>
    </row>
    <row r="241" spans="1:12" ht="18" customHeight="1">
      <c r="A241" s="179">
        <v>6</v>
      </c>
      <c r="B241" s="141" t="s">
        <v>375</v>
      </c>
      <c r="C241" s="140"/>
      <c r="D241" s="141"/>
      <c r="E241" s="68" t="s">
        <v>362</v>
      </c>
      <c r="F241" s="228">
        <v>1</v>
      </c>
      <c r="G241" s="180">
        <v>500000</v>
      </c>
      <c r="H241" s="181">
        <f t="shared" si="85"/>
        <v>500000</v>
      </c>
      <c r="I241" s="178"/>
      <c r="J241" s="181"/>
      <c r="K241" s="181">
        <f t="shared" si="86"/>
        <v>500000</v>
      </c>
      <c r="L241" s="219"/>
    </row>
    <row r="242" spans="1:12" ht="18" customHeight="1">
      <c r="A242" s="179">
        <v>7</v>
      </c>
      <c r="B242" s="141" t="str">
        <f>'산출(전기)'!B10</f>
        <v>설치인건비</v>
      </c>
      <c r="C242" s="140" t="str">
        <f>'산출(전기)'!C10</f>
        <v>내선전공</v>
      </c>
      <c r="D242" s="141" t="str">
        <f>C242</f>
        <v>내선전공</v>
      </c>
      <c r="E242" s="68" t="str">
        <f>'산출(전기)'!D10</f>
        <v>M/D</v>
      </c>
      <c r="F242" s="228">
        <f>'산출(전기)'!K10</f>
        <v>14.188000000000001</v>
      </c>
      <c r="G242" s="180"/>
      <c r="H242" s="181"/>
      <c r="I242" s="172">
        <f>VLOOKUP($D:$D,임율기준!$B:$F,5,FALSE)</f>
        <v>169202</v>
      </c>
      <c r="J242" s="181">
        <f>INT(I242*F242)</f>
        <v>2400637</v>
      </c>
      <c r="K242" s="181">
        <f t="shared" ref="K242" si="90">H242+J242</f>
        <v>2400637</v>
      </c>
      <c r="L242" s="219"/>
    </row>
    <row r="243" spans="1:12" ht="18" customHeight="1">
      <c r="A243" s="179"/>
      <c r="B243" s="141"/>
      <c r="C243" s="140"/>
      <c r="D243" s="141"/>
      <c r="E243" s="68"/>
      <c r="F243" s="228"/>
      <c r="G243" s="180"/>
      <c r="H243" s="181"/>
      <c r="I243" s="172"/>
      <c r="J243" s="181"/>
      <c r="K243" s="181"/>
      <c r="L243" s="173"/>
    </row>
    <row r="244" spans="1:12" ht="18" customHeight="1">
      <c r="A244" s="179"/>
      <c r="B244" s="141"/>
      <c r="C244" s="140"/>
      <c r="D244" s="141"/>
      <c r="E244" s="68"/>
      <c r="F244" s="228"/>
      <c r="G244" s="180"/>
      <c r="H244" s="181"/>
      <c r="I244" s="172"/>
      <c r="J244" s="181"/>
      <c r="K244" s="181"/>
      <c r="L244" s="173"/>
    </row>
    <row r="245" spans="1:12" ht="18" customHeight="1">
      <c r="A245" s="179"/>
      <c r="B245" s="141"/>
      <c r="C245" s="140"/>
      <c r="D245" s="141"/>
      <c r="E245" s="68"/>
      <c r="F245" s="228"/>
      <c r="G245" s="180"/>
      <c r="H245" s="181"/>
      <c r="I245" s="172"/>
      <c r="J245" s="181"/>
      <c r="K245" s="181"/>
      <c r="L245" s="173"/>
    </row>
    <row r="246" spans="1:12" ht="18" customHeight="1">
      <c r="A246" s="179"/>
      <c r="B246" s="141"/>
      <c r="C246" s="140"/>
      <c r="D246" s="141"/>
      <c r="E246" s="68"/>
      <c r="F246" s="228"/>
      <c r="G246" s="180"/>
      <c r="H246" s="181"/>
      <c r="I246" s="172"/>
      <c r="J246" s="181"/>
      <c r="K246" s="181"/>
      <c r="L246" s="173"/>
    </row>
    <row r="247" spans="1:12" ht="18" customHeight="1">
      <c r="A247" s="179"/>
      <c r="B247" s="141"/>
      <c r="C247" s="140"/>
      <c r="D247" s="141"/>
      <c r="E247" s="68"/>
      <c r="F247" s="228"/>
      <c r="G247" s="180"/>
      <c r="H247" s="181"/>
      <c r="I247" s="172"/>
      <c r="J247" s="181"/>
      <c r="K247" s="181"/>
      <c r="L247" s="173"/>
    </row>
    <row r="248" spans="1:12" ht="18" customHeight="1">
      <c r="A248" s="179"/>
      <c r="B248" s="141"/>
      <c r="C248" s="140"/>
      <c r="D248" s="141"/>
      <c r="E248" s="68"/>
      <c r="F248" s="228"/>
      <c r="G248" s="180"/>
      <c r="H248" s="181"/>
      <c r="I248" s="172"/>
      <c r="J248" s="181"/>
      <c r="K248" s="181"/>
      <c r="L248" s="173"/>
    </row>
    <row r="249" spans="1:12" ht="18" customHeight="1">
      <c r="A249" s="179"/>
      <c r="B249" s="141"/>
      <c r="C249" s="140"/>
      <c r="D249" s="141"/>
      <c r="E249" s="68"/>
      <c r="F249" s="228"/>
      <c r="G249" s="180"/>
      <c r="H249" s="181"/>
      <c r="I249" s="172"/>
      <c r="J249" s="181"/>
      <c r="K249" s="181"/>
      <c r="L249" s="173"/>
    </row>
    <row r="250" spans="1:12" ht="18" customHeight="1">
      <c r="A250" s="179"/>
      <c r="B250" s="141"/>
      <c r="C250" s="140"/>
      <c r="D250" s="141"/>
      <c r="E250" s="68"/>
      <c r="F250" s="68"/>
      <c r="G250" s="180"/>
      <c r="H250" s="181"/>
      <c r="I250" s="172"/>
      <c r="J250" s="181"/>
      <c r="K250" s="181"/>
      <c r="L250" s="173"/>
    </row>
    <row r="251" spans="1:12" ht="18" customHeight="1">
      <c r="A251" s="179"/>
      <c r="B251" s="141"/>
      <c r="C251" s="140"/>
      <c r="D251" s="141"/>
      <c r="E251" s="68"/>
      <c r="F251" s="228"/>
      <c r="G251" s="180"/>
      <c r="H251" s="181"/>
      <c r="I251" s="172"/>
      <c r="J251" s="181"/>
      <c r="K251" s="181"/>
      <c r="L251" s="173"/>
    </row>
    <row r="252" spans="1:12" ht="18" customHeight="1">
      <c r="A252" s="179"/>
      <c r="B252" s="141"/>
      <c r="C252" s="140"/>
      <c r="D252" s="141"/>
      <c r="E252" s="68"/>
      <c r="F252" s="228"/>
      <c r="G252" s="180"/>
      <c r="H252" s="181"/>
      <c r="I252" s="172"/>
      <c r="J252" s="181"/>
      <c r="K252" s="181"/>
      <c r="L252" s="173"/>
    </row>
    <row r="253" spans="1:12" ht="18" customHeight="1">
      <c r="A253" s="179"/>
      <c r="B253" s="141"/>
      <c r="C253" s="140"/>
      <c r="D253" s="141"/>
      <c r="E253" s="68"/>
      <c r="F253" s="68"/>
      <c r="G253" s="180"/>
      <c r="H253" s="181"/>
      <c r="I253" s="172"/>
      <c r="J253" s="181"/>
      <c r="K253" s="181"/>
      <c r="L253" s="173"/>
    </row>
    <row r="254" spans="1:12" ht="18" customHeight="1">
      <c r="A254" s="179"/>
      <c r="B254" s="141"/>
      <c r="C254" s="140"/>
      <c r="D254" s="141"/>
      <c r="E254" s="68"/>
      <c r="F254" s="68"/>
      <c r="G254" s="180"/>
      <c r="H254" s="181"/>
      <c r="I254" s="178"/>
      <c r="J254" s="178"/>
      <c r="K254" s="178"/>
      <c r="L254" s="72"/>
    </row>
    <row r="255" spans="1:12" ht="18" customHeight="1">
      <c r="A255" s="179"/>
      <c r="B255" s="141"/>
      <c r="C255" s="140"/>
      <c r="D255" s="141"/>
      <c r="E255" s="68"/>
      <c r="F255" s="68"/>
      <c r="G255" s="180"/>
      <c r="H255" s="181"/>
      <c r="I255" s="178"/>
      <c r="J255" s="178"/>
      <c r="K255" s="178"/>
      <c r="L255" s="72"/>
    </row>
    <row r="256" spans="1:12" ht="18" customHeight="1">
      <c r="A256" s="179"/>
      <c r="B256" s="184"/>
      <c r="C256" s="185"/>
      <c r="D256" s="186"/>
      <c r="E256" s="141"/>
      <c r="F256" s="68"/>
      <c r="G256" s="178"/>
      <c r="H256" s="178"/>
      <c r="I256" s="178"/>
      <c r="J256" s="178"/>
      <c r="K256" s="178"/>
      <c r="L256" s="72"/>
    </row>
    <row r="257" spans="1:15" ht="18" customHeight="1">
      <c r="A257" s="179"/>
      <c r="B257" s="184"/>
      <c r="C257" s="185"/>
      <c r="D257" s="186"/>
      <c r="E257" s="141"/>
      <c r="F257" s="68"/>
      <c r="G257" s="178"/>
      <c r="H257" s="178"/>
      <c r="I257" s="178"/>
      <c r="J257" s="178"/>
      <c r="K257" s="178"/>
      <c r="L257" s="72"/>
    </row>
    <row r="258" spans="1:15" ht="18" customHeight="1">
      <c r="A258" s="179"/>
      <c r="B258" s="184"/>
      <c r="C258" s="185"/>
      <c r="D258" s="186"/>
      <c r="E258" s="141"/>
      <c r="F258" s="68"/>
      <c r="G258" s="178"/>
      <c r="H258" s="178"/>
      <c r="I258" s="178"/>
      <c r="J258" s="178"/>
      <c r="K258" s="178"/>
      <c r="L258" s="72"/>
    </row>
    <row r="259" spans="1:15" ht="18" customHeight="1">
      <c r="A259" s="179"/>
      <c r="B259" s="184"/>
      <c r="C259" s="185"/>
      <c r="D259" s="186"/>
      <c r="E259" s="141"/>
      <c r="F259" s="68"/>
      <c r="G259" s="178"/>
      <c r="H259" s="178"/>
      <c r="I259" s="178"/>
      <c r="J259" s="178"/>
      <c r="K259" s="178"/>
      <c r="L259" s="72"/>
    </row>
    <row r="260" spans="1:15" ht="18" customHeight="1">
      <c r="A260" s="179"/>
      <c r="B260" s="184"/>
      <c r="C260" s="185"/>
      <c r="D260" s="186"/>
      <c r="E260" s="141"/>
      <c r="F260" s="68"/>
      <c r="G260" s="178"/>
      <c r="H260" s="178"/>
      <c r="I260" s="178"/>
      <c r="J260" s="178"/>
      <c r="K260" s="178"/>
      <c r="L260" s="72"/>
    </row>
    <row r="261" spans="1:15" ht="18" customHeight="1">
      <c r="A261" s="179"/>
      <c r="B261" s="184" t="s">
        <v>92</v>
      </c>
      <c r="C261" s="185"/>
      <c r="D261" s="186"/>
      <c r="E261" s="141"/>
      <c r="F261" s="68"/>
      <c r="G261" s="178"/>
      <c r="H261" s="178">
        <f>SUM(H236:H260)</f>
        <v>1459470</v>
      </c>
      <c r="I261" s="178"/>
      <c r="J261" s="178">
        <f>SUM(J236:J260)</f>
        <v>2400637</v>
      </c>
      <c r="K261" s="178">
        <f>H261+J261</f>
        <v>3860107</v>
      </c>
      <c r="L261" s="72"/>
    </row>
    <row r="262" spans="1:15" s="142" customFormat="1" ht="18" customHeight="1">
      <c r="A262" s="142" t="str">
        <f>'산출(기타)'!A1</f>
        <v>NO.10) 음향매입박스</v>
      </c>
      <c r="F262" s="175"/>
      <c r="G262" s="176"/>
      <c r="H262" s="176"/>
      <c r="I262" s="176"/>
      <c r="J262" s="176"/>
      <c r="K262" s="177"/>
    </row>
    <row r="263" spans="1:15" ht="18" customHeight="1">
      <c r="A263" s="395" t="s">
        <v>33</v>
      </c>
      <c r="B263" s="395" t="s">
        <v>88</v>
      </c>
      <c r="C263" s="395" t="s">
        <v>87</v>
      </c>
      <c r="D263" s="343"/>
      <c r="E263" s="395" t="s">
        <v>36</v>
      </c>
      <c r="F263" s="395" t="s">
        <v>7</v>
      </c>
      <c r="G263" s="393" t="s">
        <v>90</v>
      </c>
      <c r="H263" s="394"/>
      <c r="I263" s="393" t="s">
        <v>85</v>
      </c>
      <c r="J263" s="394"/>
      <c r="K263" s="395" t="s">
        <v>84</v>
      </c>
      <c r="L263" s="395" t="s">
        <v>39</v>
      </c>
    </row>
    <row r="264" spans="1:15" ht="18" customHeight="1">
      <c r="A264" s="396"/>
      <c r="B264" s="396"/>
      <c r="C264" s="396"/>
      <c r="D264" s="344"/>
      <c r="E264" s="396"/>
      <c r="F264" s="396"/>
      <c r="G264" s="174" t="s">
        <v>82</v>
      </c>
      <c r="H264" s="174" t="s">
        <v>80</v>
      </c>
      <c r="I264" s="174" t="s">
        <v>81</v>
      </c>
      <c r="J264" s="174" t="s">
        <v>80</v>
      </c>
      <c r="K264" s="396"/>
      <c r="L264" s="396"/>
    </row>
    <row r="265" spans="1:15" ht="18" customHeight="1">
      <c r="A265" s="158"/>
      <c r="B265" s="158" t="str">
        <f>'산출(기타)'!B4</f>
        <v>건축 내부 목공사</v>
      </c>
      <c r="C265" s="68"/>
      <c r="D265" s="68"/>
      <c r="E265" s="68"/>
      <c r="F265" s="68"/>
      <c r="G265" s="178"/>
      <c r="H265" s="178"/>
      <c r="I265" s="178"/>
      <c r="J265" s="178"/>
      <c r="K265" s="208"/>
      <c r="L265" s="68"/>
    </row>
    <row r="266" spans="1:15" ht="18" customHeight="1">
      <c r="A266" s="179">
        <f>'산출(기타)'!A5</f>
        <v>1</v>
      </c>
      <c r="B266" s="141" t="str">
        <f>'산출(기타)'!B5</f>
        <v>합    판</v>
      </c>
      <c r="C266" s="140" t="str">
        <f>'산출(기타)'!C5</f>
        <v>4'X8'X12T</v>
      </c>
      <c r="D266" s="141" t="str">
        <f>B266&amp;C266</f>
        <v>합    판4'X8'X12T</v>
      </c>
      <c r="E266" s="68" t="str">
        <f>'산출(기타)'!D5</f>
        <v>M²</v>
      </c>
      <c r="F266" s="68">
        <f>'산출(기타)'!H5</f>
        <v>23</v>
      </c>
      <c r="G266" s="180">
        <f>VLOOKUP(D:D,적용!A:B,2,FALSE)</f>
        <v>25200</v>
      </c>
      <c r="H266" s="181">
        <f t="shared" ref="H266:H270" si="91">INT(G266*F266)</f>
        <v>579600</v>
      </c>
      <c r="I266" s="181"/>
      <c r="J266" s="181">
        <f>INT(I266*F266)</f>
        <v>0</v>
      </c>
      <c r="K266" s="181">
        <f t="shared" ref="K266:K270" si="92">H266+J266</f>
        <v>579600</v>
      </c>
      <c r="L266" s="182"/>
      <c r="O266" s="183"/>
    </row>
    <row r="267" spans="1:15" ht="18" customHeight="1">
      <c r="A267" s="179">
        <f>'산출(기타)'!A6</f>
        <v>2</v>
      </c>
      <c r="B267" s="141" t="str">
        <f>'산출(기타)'!B6</f>
        <v>각     재</v>
      </c>
      <c r="C267" s="140" t="str">
        <f>'산출(기타)'!C6</f>
        <v>4.5 X 4.5</v>
      </c>
      <c r="D267" s="141" t="str">
        <f t="shared" ref="D267:D270" si="93">B267&amp;C267</f>
        <v>각     재4.5 X 4.5</v>
      </c>
      <c r="E267" s="68" t="str">
        <f>'산출(기타)'!D6</f>
        <v>재</v>
      </c>
      <c r="F267" s="68">
        <f>'산출(기타)'!H6</f>
        <v>7.9</v>
      </c>
      <c r="G267" s="180">
        <f>VLOOKUP(D:D,적용!A:B,2,FALSE)</f>
        <v>1800</v>
      </c>
      <c r="H267" s="181">
        <f t="shared" si="91"/>
        <v>14220</v>
      </c>
      <c r="I267" s="181"/>
      <c r="J267" s="181">
        <f t="shared" ref="J267:J270" si="94">INT(I267*F267)</f>
        <v>0</v>
      </c>
      <c r="K267" s="181">
        <f t="shared" si="92"/>
        <v>14220</v>
      </c>
      <c r="L267" s="182"/>
      <c r="O267" s="183"/>
    </row>
    <row r="268" spans="1:15" ht="18" customHeight="1">
      <c r="A268" s="179">
        <f>'산출(기타)'!A7</f>
        <v>3</v>
      </c>
      <c r="B268" s="141" t="str">
        <f>'산출(기타)'!B7</f>
        <v>설치인건비</v>
      </c>
      <c r="C268" s="140" t="str">
        <f>'산출(기타)'!C7</f>
        <v>목공사(건축물 내부 목공사)</v>
      </c>
      <c r="D268" s="141" t="str">
        <f t="shared" si="93"/>
        <v>설치인건비목공사(건축물 내부 목공사)</v>
      </c>
      <c r="E268" s="68" t="str">
        <f>'산출(기타)'!D7</f>
        <v>M²</v>
      </c>
      <c r="F268" s="68">
        <f>'산출(기타)'!H7</f>
        <v>23</v>
      </c>
      <c r="G268" s="180"/>
      <c r="H268" s="181">
        <f t="shared" si="91"/>
        <v>0</v>
      </c>
      <c r="I268" s="180">
        <f>일위대가!K124</f>
        <v>9497</v>
      </c>
      <c r="J268" s="181">
        <f t="shared" si="94"/>
        <v>218431</v>
      </c>
      <c r="K268" s="181">
        <f t="shared" si="92"/>
        <v>218431</v>
      </c>
      <c r="L268" s="173" t="s">
        <v>338</v>
      </c>
      <c r="O268" s="183"/>
    </row>
    <row r="269" spans="1:15" ht="18" customHeight="1">
      <c r="A269" s="179">
        <f>'산출(기타)'!A8</f>
        <v>0</v>
      </c>
      <c r="B269" s="158" t="str">
        <f>'산출(기타)'!B8</f>
        <v>철거</v>
      </c>
      <c r="C269" s="140">
        <f>'산출(기타)'!C8</f>
        <v>0</v>
      </c>
      <c r="D269" s="141" t="str">
        <f t="shared" si="93"/>
        <v>철거0</v>
      </c>
      <c r="E269" s="68">
        <f>'산출(기타)'!D8</f>
        <v>0</v>
      </c>
      <c r="F269" s="68">
        <f>'산출(기타)'!H8</f>
        <v>0</v>
      </c>
      <c r="G269" s="180"/>
      <c r="H269" s="181"/>
      <c r="I269" s="180"/>
      <c r="J269" s="181"/>
      <c r="K269" s="181"/>
      <c r="L269" s="173"/>
      <c r="O269" s="183"/>
    </row>
    <row r="270" spans="1:15" s="53" customFormat="1" ht="18" customHeight="1">
      <c r="A270" s="179">
        <f>'산출(기타)'!A10</f>
        <v>1</v>
      </c>
      <c r="B270" s="141" t="str">
        <f>'산출(기타)'!B10</f>
        <v>철거인건비</v>
      </c>
      <c r="C270" s="140" t="str">
        <f>'산출(기타)'!C10</f>
        <v>재사용을 고려안할경우</v>
      </c>
      <c r="D270" s="141" t="str">
        <f t="shared" si="93"/>
        <v>철거인건비재사용을 고려안할경우</v>
      </c>
      <c r="E270" s="68" t="str">
        <f>'산출(기타)'!D10</f>
        <v>TON</v>
      </c>
      <c r="F270" s="68">
        <f>'산출(기타)'!H10</f>
        <v>0.2</v>
      </c>
      <c r="G270" s="180"/>
      <c r="H270" s="181">
        <f t="shared" si="91"/>
        <v>0</v>
      </c>
      <c r="I270" s="172">
        <f>일위대가!$K$18</f>
        <v>1890200</v>
      </c>
      <c r="J270" s="181">
        <f t="shared" si="94"/>
        <v>378040</v>
      </c>
      <c r="K270" s="181">
        <f t="shared" si="92"/>
        <v>378040</v>
      </c>
      <c r="L270" s="173" t="s">
        <v>192</v>
      </c>
      <c r="N270" s="56"/>
    </row>
    <row r="271" spans="1:15" ht="18" customHeight="1">
      <c r="A271" s="179">
        <f>'산출(기타)'!A11</f>
        <v>0</v>
      </c>
      <c r="B271" s="158" t="str">
        <f>'산출(기타)'!B11</f>
        <v>동일구내이설</v>
      </c>
      <c r="C271" s="140">
        <f>'산출(기타)'!C11</f>
        <v>0</v>
      </c>
      <c r="D271" s="141" t="str">
        <f t="shared" ref="D271:D272" si="95">B271&amp;C271</f>
        <v>동일구내이설0</v>
      </c>
      <c r="E271" s="68">
        <f>'산출(기타)'!D11</f>
        <v>0</v>
      </c>
      <c r="F271" s="68">
        <f>'산출(기타)'!H11</f>
        <v>0</v>
      </c>
      <c r="G271" s="180"/>
      <c r="H271" s="181">
        <f t="shared" ref="H271:H274" si="96">INT(G271*F271)</f>
        <v>0</v>
      </c>
      <c r="I271" s="172"/>
      <c r="J271" s="181"/>
      <c r="K271" s="181"/>
      <c r="L271" s="173"/>
    </row>
    <row r="272" spans="1:15" ht="18" customHeight="1">
      <c r="A272" s="179">
        <f>'산출(기타)'!A13</f>
        <v>1</v>
      </c>
      <c r="B272" s="141" t="str">
        <f>'산출(기타)'!B13</f>
        <v>일반기기설치</v>
      </c>
      <c r="C272" s="140" t="str">
        <f>'산출(기타)'!C13</f>
        <v>동일구내이설</v>
      </c>
      <c r="D272" s="141" t="str">
        <f t="shared" si="95"/>
        <v>일반기기설치동일구내이설</v>
      </c>
      <c r="E272" s="68" t="str">
        <f>'산출(기타)'!D13</f>
        <v>TON</v>
      </c>
      <c r="F272" s="68">
        <f>'산출(기타)'!H13</f>
        <v>1</v>
      </c>
      <c r="G272" s="180"/>
      <c r="H272" s="181">
        <f t="shared" si="96"/>
        <v>0</v>
      </c>
      <c r="I272" s="172">
        <f>일위대가!K16</f>
        <v>3150334</v>
      </c>
      <c r="J272" s="181">
        <f t="shared" ref="J272" si="97">INT(I272*F272)</f>
        <v>3150334</v>
      </c>
      <c r="K272" s="181">
        <f t="shared" ref="K272:K274" si="98">H272+J272</f>
        <v>3150334</v>
      </c>
      <c r="L272" s="173" t="s">
        <v>192</v>
      </c>
      <c r="O272" s="183"/>
    </row>
    <row r="273" spans="1:15" ht="18" customHeight="1">
      <c r="A273" s="179">
        <f>'산출(기타)'!A14</f>
        <v>0</v>
      </c>
      <c r="B273" s="158" t="str">
        <f>'산출(기타)'!B14</f>
        <v>좌측 스피커 받침대</v>
      </c>
      <c r="C273" s="140">
        <f>'산출(기타)'!C14</f>
        <v>0</v>
      </c>
      <c r="D273" s="141" t="str">
        <f t="shared" ref="D273:D274" si="99">B273&amp;C273</f>
        <v>좌측 스피커 받침대0</v>
      </c>
      <c r="E273" s="68">
        <f>'산출(기타)'!D14</f>
        <v>0</v>
      </c>
      <c r="F273" s="68">
        <f>'산출(기타)'!H14</f>
        <v>0</v>
      </c>
      <c r="G273" s="180"/>
      <c r="H273" s="181">
        <f t="shared" si="96"/>
        <v>0</v>
      </c>
      <c r="I273" s="172"/>
      <c r="J273" s="181"/>
      <c r="K273" s="181"/>
      <c r="L273" s="173"/>
      <c r="O273" s="183"/>
    </row>
    <row r="274" spans="1:15" ht="18" customHeight="1">
      <c r="A274" s="179">
        <f>'산출(기타)'!A15</f>
        <v>1</v>
      </c>
      <c r="B274" s="141" t="str">
        <f>'산출(기타)'!B15</f>
        <v>스피커 받침대</v>
      </c>
      <c r="C274" s="140"/>
      <c r="D274" s="141" t="str">
        <f t="shared" si="99"/>
        <v>스피커 받침대</v>
      </c>
      <c r="E274" s="68" t="str">
        <f>'산출(기타)'!D15</f>
        <v>식</v>
      </c>
      <c r="F274" s="68">
        <f>'산출(기타)'!H15</f>
        <v>1</v>
      </c>
      <c r="G274" s="180">
        <f>VLOOKUP(D:D,적용!A:B,2,FALSE)</f>
        <v>200000</v>
      </c>
      <c r="H274" s="181">
        <f t="shared" si="96"/>
        <v>200000</v>
      </c>
      <c r="I274" s="172"/>
      <c r="J274" s="181"/>
      <c r="K274" s="181">
        <f t="shared" si="98"/>
        <v>200000</v>
      </c>
      <c r="L274" s="173"/>
      <c r="O274" s="183"/>
    </row>
    <row r="275" spans="1:15" ht="18" customHeight="1">
      <c r="A275" s="179">
        <f>'산출(기타)'!A16</f>
        <v>0</v>
      </c>
      <c r="B275" s="158" t="str">
        <f>'산출(기타)'!B16</f>
        <v>전면 매쉬망 마감</v>
      </c>
      <c r="C275" s="140">
        <f>'산출(기타)'!C16</f>
        <v>0</v>
      </c>
      <c r="D275" s="141" t="str">
        <f t="shared" ref="D275:D276" si="100">B275&amp;C275</f>
        <v>전면 매쉬망 마감0</v>
      </c>
      <c r="E275" s="68">
        <f>'산출(기타)'!D16</f>
        <v>0</v>
      </c>
      <c r="F275" s="68">
        <f>'산출(기타)'!H16</f>
        <v>0</v>
      </c>
      <c r="G275" s="180"/>
      <c r="H275" s="181">
        <f t="shared" ref="H275:H276" si="101">INT(G275*F275)</f>
        <v>0</v>
      </c>
      <c r="I275" s="172"/>
      <c r="J275" s="181"/>
      <c r="K275" s="181"/>
      <c r="L275" s="173"/>
      <c r="O275" s="183"/>
    </row>
    <row r="276" spans="1:15" ht="18" customHeight="1">
      <c r="A276" s="179">
        <f>'산출(기타)'!A17</f>
        <v>1</v>
      </c>
      <c r="B276" s="141" t="str">
        <f>'산출(기타)'!B17</f>
        <v>매쉬망 마감설치</v>
      </c>
      <c r="C276" s="140"/>
      <c r="D276" s="141" t="str">
        <f t="shared" si="100"/>
        <v>매쉬망 마감설치</v>
      </c>
      <c r="E276" s="68" t="str">
        <f>'산출(기타)'!D17</f>
        <v>SET</v>
      </c>
      <c r="F276" s="68">
        <f>'산출(기타)'!H17</f>
        <v>2</v>
      </c>
      <c r="G276" s="180">
        <f>VLOOKUP(D:D,적용!A:B,2,FALSE)</f>
        <v>100000</v>
      </c>
      <c r="H276" s="181">
        <f t="shared" si="101"/>
        <v>200000</v>
      </c>
      <c r="I276" s="172"/>
      <c r="J276" s="181"/>
      <c r="K276" s="181">
        <f t="shared" ref="K276" si="102">H276+J276</f>
        <v>200000</v>
      </c>
      <c r="L276" s="173"/>
    </row>
    <row r="277" spans="1:15" ht="18" customHeight="1">
      <c r="A277" s="179"/>
      <c r="B277" s="141"/>
      <c r="C277" s="140"/>
      <c r="D277" s="141"/>
      <c r="E277" s="68"/>
      <c r="F277" s="68"/>
      <c r="G277" s="180"/>
      <c r="H277" s="181"/>
      <c r="I277" s="172"/>
      <c r="J277" s="181"/>
      <c r="K277" s="181"/>
      <c r="L277" s="173"/>
    </row>
    <row r="278" spans="1:15" ht="18" customHeight="1">
      <c r="A278" s="179"/>
      <c r="B278" s="141"/>
      <c r="C278" s="140"/>
      <c r="D278" s="141"/>
      <c r="E278" s="68"/>
      <c r="F278" s="68"/>
      <c r="G278" s="180"/>
      <c r="H278" s="181">
        <f t="shared" ref="H278" si="103">INT(G278*F278)</f>
        <v>0</v>
      </c>
      <c r="I278" s="172"/>
      <c r="J278" s="181"/>
      <c r="K278" s="181"/>
      <c r="L278" s="173"/>
    </row>
    <row r="279" spans="1:15" ht="18" customHeight="1">
      <c r="A279" s="179"/>
      <c r="B279" s="141"/>
      <c r="C279" s="140"/>
      <c r="D279" s="141"/>
      <c r="E279" s="68"/>
      <c r="F279" s="68"/>
      <c r="G279" s="180"/>
      <c r="H279" s="181"/>
      <c r="I279" s="172"/>
      <c r="J279" s="181"/>
      <c r="K279" s="181"/>
      <c r="L279" s="173"/>
    </row>
    <row r="280" spans="1:15" ht="18" customHeight="1">
      <c r="A280" s="179"/>
      <c r="B280" s="141"/>
      <c r="C280" s="140"/>
      <c r="D280" s="141"/>
      <c r="E280" s="68"/>
      <c r="F280" s="68"/>
      <c r="G280" s="180"/>
      <c r="H280" s="181"/>
      <c r="I280" s="172"/>
      <c r="J280" s="181"/>
      <c r="K280" s="181"/>
      <c r="L280" s="173"/>
    </row>
    <row r="281" spans="1:15" ht="18" customHeight="1">
      <c r="A281" s="179"/>
      <c r="B281" s="141"/>
      <c r="C281" s="140"/>
      <c r="D281" s="141"/>
      <c r="E281" s="68"/>
      <c r="F281" s="68"/>
      <c r="G281" s="180"/>
      <c r="H281" s="181"/>
      <c r="I281" s="178"/>
      <c r="J281" s="178"/>
      <c r="K281" s="181">
        <f t="shared" ref="K281" si="104">H281+J281</f>
        <v>0</v>
      </c>
      <c r="L281" s="72"/>
    </row>
    <row r="282" spans="1:15" ht="18" customHeight="1">
      <c r="A282" s="179"/>
      <c r="B282" s="141"/>
      <c r="C282" s="140"/>
      <c r="D282" s="141"/>
      <c r="E282" s="68"/>
      <c r="F282" s="68"/>
      <c r="G282" s="180"/>
      <c r="H282" s="181"/>
      <c r="I282" s="178"/>
      <c r="J282" s="178"/>
      <c r="K282" s="178"/>
      <c r="L282" s="72"/>
    </row>
    <row r="283" spans="1:15" ht="18" customHeight="1">
      <c r="A283" s="179"/>
      <c r="B283" s="141"/>
      <c r="C283" s="140"/>
      <c r="D283" s="141"/>
      <c r="E283" s="68"/>
      <c r="F283" s="68"/>
      <c r="G283" s="180"/>
      <c r="H283" s="181"/>
      <c r="I283" s="178"/>
      <c r="J283" s="178"/>
      <c r="K283" s="178"/>
      <c r="L283" s="72"/>
    </row>
    <row r="284" spans="1:15" ht="18" customHeight="1">
      <c r="A284" s="179"/>
      <c r="B284" s="141"/>
      <c r="C284" s="140"/>
      <c r="D284" s="141"/>
      <c r="E284" s="68"/>
      <c r="F284" s="68"/>
      <c r="G284" s="180"/>
      <c r="H284" s="181"/>
      <c r="I284" s="178"/>
      <c r="J284" s="178"/>
      <c r="K284" s="178"/>
      <c r="L284" s="72"/>
    </row>
    <row r="285" spans="1:15" ht="18" customHeight="1">
      <c r="A285" s="179"/>
      <c r="B285" s="184"/>
      <c r="C285" s="185"/>
      <c r="D285" s="141" t="str">
        <f t="shared" ref="D285:D290" si="105">B285&amp;C285</f>
        <v/>
      </c>
      <c r="E285" s="141"/>
      <c r="F285" s="68"/>
      <c r="G285" s="178"/>
      <c r="H285" s="178"/>
      <c r="I285" s="178"/>
      <c r="J285" s="178"/>
      <c r="K285" s="178"/>
      <c r="L285" s="72"/>
    </row>
    <row r="286" spans="1:15" ht="18" customHeight="1">
      <c r="A286" s="179"/>
      <c r="B286" s="184"/>
      <c r="C286" s="185"/>
      <c r="D286" s="141" t="str">
        <f t="shared" si="105"/>
        <v/>
      </c>
      <c r="E286" s="141"/>
      <c r="F286" s="68"/>
      <c r="G286" s="178"/>
      <c r="H286" s="178"/>
      <c r="I286" s="178"/>
      <c r="J286" s="178"/>
      <c r="K286" s="178"/>
      <c r="L286" s="72"/>
    </row>
    <row r="287" spans="1:15" ht="18" customHeight="1">
      <c r="A287" s="179"/>
      <c r="B287" s="184"/>
      <c r="C287" s="185"/>
      <c r="D287" s="141" t="str">
        <f t="shared" si="105"/>
        <v/>
      </c>
      <c r="E287" s="141"/>
      <c r="F287" s="68"/>
      <c r="G287" s="178"/>
      <c r="H287" s="178"/>
      <c r="I287" s="178"/>
      <c r="J287" s="178"/>
      <c r="K287" s="178"/>
      <c r="L287" s="72"/>
    </row>
    <row r="288" spans="1:15" ht="18" customHeight="1">
      <c r="A288" s="179"/>
      <c r="B288" s="184"/>
      <c r="C288" s="185"/>
      <c r="D288" s="141" t="str">
        <f t="shared" si="105"/>
        <v/>
      </c>
      <c r="E288" s="141"/>
      <c r="F288" s="68"/>
      <c r="G288" s="178"/>
      <c r="H288" s="178"/>
      <c r="I288" s="178"/>
      <c r="J288" s="178"/>
      <c r="K288" s="178"/>
      <c r="L288" s="72"/>
    </row>
    <row r="289" spans="1:15" ht="18" customHeight="1">
      <c r="A289" s="179"/>
      <c r="B289" s="184"/>
      <c r="C289" s="185"/>
      <c r="D289" s="141" t="str">
        <f t="shared" si="105"/>
        <v/>
      </c>
      <c r="E289" s="141"/>
      <c r="F289" s="68"/>
      <c r="G289" s="178"/>
      <c r="H289" s="178"/>
      <c r="I289" s="178"/>
      <c r="J289" s="178"/>
      <c r="K289" s="178"/>
      <c r="L289" s="72"/>
    </row>
    <row r="290" spans="1:15" ht="18" customHeight="1">
      <c r="A290" s="179"/>
      <c r="B290" s="184" t="s">
        <v>92</v>
      </c>
      <c r="C290" s="185"/>
      <c r="D290" s="141" t="str">
        <f t="shared" si="105"/>
        <v>합                 계</v>
      </c>
      <c r="E290" s="141"/>
      <c r="F290" s="68"/>
      <c r="G290" s="178"/>
      <c r="H290" s="178">
        <f>SUM(H265:H289)</f>
        <v>993820</v>
      </c>
      <c r="I290" s="178"/>
      <c r="J290" s="178">
        <f>SUM(J265:J289)</f>
        <v>3746805</v>
      </c>
      <c r="K290" s="178">
        <f>H290+J290</f>
        <v>4740625</v>
      </c>
      <c r="L290" s="72"/>
    </row>
    <row r="291" spans="1:15" s="142" customFormat="1" ht="18" customHeight="1">
      <c r="A291" s="142" t="str">
        <f>'산출(기타)'!A30</f>
        <v>NO.11) 천정 점검구설치</v>
      </c>
      <c r="F291" s="175"/>
      <c r="G291" s="176"/>
      <c r="H291" s="176"/>
      <c r="I291" s="176"/>
      <c r="J291" s="176"/>
      <c r="K291" s="177"/>
    </row>
    <row r="292" spans="1:15" ht="18" customHeight="1">
      <c r="A292" s="395" t="s">
        <v>33</v>
      </c>
      <c r="B292" s="395" t="s">
        <v>88</v>
      </c>
      <c r="C292" s="395" t="s">
        <v>87</v>
      </c>
      <c r="D292" s="343"/>
      <c r="E292" s="395" t="s">
        <v>36</v>
      </c>
      <c r="F292" s="395" t="s">
        <v>7</v>
      </c>
      <c r="G292" s="393" t="s">
        <v>90</v>
      </c>
      <c r="H292" s="394"/>
      <c r="I292" s="393" t="s">
        <v>85</v>
      </c>
      <c r="J292" s="394"/>
      <c r="K292" s="395" t="s">
        <v>84</v>
      </c>
      <c r="L292" s="395" t="s">
        <v>39</v>
      </c>
    </row>
    <row r="293" spans="1:15" ht="18" customHeight="1">
      <c r="A293" s="396"/>
      <c r="B293" s="396"/>
      <c r="C293" s="396"/>
      <c r="D293" s="344"/>
      <c r="E293" s="396"/>
      <c r="F293" s="396"/>
      <c r="G293" s="174" t="s">
        <v>82</v>
      </c>
      <c r="H293" s="174" t="s">
        <v>80</v>
      </c>
      <c r="I293" s="174" t="s">
        <v>81</v>
      </c>
      <c r="J293" s="174" t="s">
        <v>80</v>
      </c>
      <c r="K293" s="396"/>
      <c r="L293" s="396"/>
    </row>
    <row r="294" spans="1:15" ht="18" customHeight="1">
      <c r="A294" s="158"/>
      <c r="B294" s="158" t="str">
        <f>'산출(기타)'!B33</f>
        <v>천정 점검구 설치</v>
      </c>
      <c r="C294" s="68"/>
      <c r="D294" s="68"/>
      <c r="E294" s="68"/>
      <c r="F294" s="68"/>
      <c r="G294" s="178"/>
      <c r="H294" s="178"/>
      <c r="I294" s="178"/>
      <c r="J294" s="178"/>
      <c r="K294" s="208"/>
      <c r="L294" s="68"/>
    </row>
    <row r="295" spans="1:15" ht="18" customHeight="1">
      <c r="A295" s="179">
        <f>'산출(기타)'!A34</f>
        <v>1</v>
      </c>
      <c r="B295" s="141" t="str">
        <f>'산출(기타)'!B34</f>
        <v>천정 점검구</v>
      </c>
      <c r="C295" s="140" t="str">
        <f>'산출(기타)'!C34</f>
        <v>STS 600 x 600</v>
      </c>
      <c r="D295" s="141" t="str">
        <f>B295&amp;C295</f>
        <v>천정 점검구STS 600 x 600</v>
      </c>
      <c r="E295" s="68" t="str">
        <f>'산출(기타)'!D34</f>
        <v>EA</v>
      </c>
      <c r="F295" s="68">
        <f>'산출(기타)'!H34</f>
        <v>1</v>
      </c>
      <c r="G295" s="180">
        <f>VLOOKUP(D:D,적용!A:B,2,FALSE)</f>
        <v>55000</v>
      </c>
      <c r="H295" s="181">
        <f t="shared" ref="H295:H298" si="106">INT(G295*F295)</f>
        <v>55000</v>
      </c>
      <c r="I295" s="181"/>
      <c r="J295" s="181">
        <f>INT(I295*F295)</f>
        <v>0</v>
      </c>
      <c r="K295" s="181">
        <f t="shared" ref="K295:K298" si="107">H295+J295</f>
        <v>55000</v>
      </c>
      <c r="L295" s="182"/>
      <c r="O295" s="183"/>
    </row>
    <row r="296" spans="1:15" ht="18" customHeight="1">
      <c r="A296" s="179">
        <f>'산출(기타)'!A35</f>
        <v>2</v>
      </c>
      <c r="B296" s="141" t="str">
        <f>'산출(기타)'!B35</f>
        <v>설치인건비</v>
      </c>
      <c r="C296" s="140" t="str">
        <f>'산출(기타)'!C35</f>
        <v>금속공사</v>
      </c>
      <c r="D296" s="141" t="str">
        <f t="shared" ref="D296:D299" si="108">B296&amp;C296</f>
        <v>설치인건비금속공사</v>
      </c>
      <c r="E296" s="68" t="str">
        <f>'산출(기타)'!D35</f>
        <v>EA</v>
      </c>
      <c r="F296" s="68">
        <f>'산출(기타)'!H35</f>
        <v>1</v>
      </c>
      <c r="G296" s="180"/>
      <c r="H296" s="181">
        <f t="shared" si="106"/>
        <v>0</v>
      </c>
      <c r="I296" s="180">
        <f>일위대가!K134</f>
        <v>65324</v>
      </c>
      <c r="J296" s="181">
        <f t="shared" ref="J296" si="109">INT(I296*F296)</f>
        <v>65324</v>
      </c>
      <c r="K296" s="181">
        <f t="shared" si="107"/>
        <v>65324</v>
      </c>
      <c r="L296" s="173" t="s">
        <v>351</v>
      </c>
      <c r="O296" s="183"/>
    </row>
    <row r="297" spans="1:15" ht="18" customHeight="1">
      <c r="A297" s="179">
        <f>'산출(기타)'!A36</f>
        <v>3</v>
      </c>
      <c r="B297" s="141" t="str">
        <f>'산출(기타)'!B36</f>
        <v>천정텍스 철거 및 재단</v>
      </c>
      <c r="C297" s="140"/>
      <c r="D297" s="141" t="str">
        <f t="shared" si="108"/>
        <v>천정텍스 철거 및 재단</v>
      </c>
      <c r="E297" s="68" t="str">
        <f>'산출(기타)'!D36</f>
        <v>식</v>
      </c>
      <c r="F297" s="68">
        <f>'산출(기타)'!H36</f>
        <v>1</v>
      </c>
      <c r="G297" s="180"/>
      <c r="H297" s="181">
        <f t="shared" si="106"/>
        <v>0</v>
      </c>
      <c r="I297" s="180">
        <f>VLOOKUP(D:D,적용!A:B,2,FALSE)</f>
        <v>700000</v>
      </c>
      <c r="J297" s="181">
        <f t="shared" ref="J297:J298" si="110">INT(I297*F297)</f>
        <v>700000</v>
      </c>
      <c r="K297" s="181">
        <f t="shared" si="107"/>
        <v>700000</v>
      </c>
      <c r="L297" s="173"/>
      <c r="O297" s="183"/>
    </row>
    <row r="298" spans="1:15" ht="18" customHeight="1">
      <c r="A298" s="179">
        <f>'산출(기타)'!A37</f>
        <v>4</v>
      </c>
      <c r="B298" s="141" t="str">
        <f>'산출(기타)'!B37</f>
        <v>천정텍스 재설치</v>
      </c>
      <c r="C298" s="140"/>
      <c r="D298" s="141" t="str">
        <f t="shared" si="108"/>
        <v>천정텍스 재설치</v>
      </c>
      <c r="E298" s="68" t="str">
        <f>'산출(기타)'!D37</f>
        <v>식</v>
      </c>
      <c r="F298" s="68">
        <f>'산출(기타)'!H37</f>
        <v>1</v>
      </c>
      <c r="G298" s="180"/>
      <c r="H298" s="181">
        <f t="shared" si="106"/>
        <v>0</v>
      </c>
      <c r="I298" s="180">
        <f>VLOOKUP(D:D,적용!A:B,2,FALSE)</f>
        <v>300000</v>
      </c>
      <c r="J298" s="181">
        <f t="shared" si="110"/>
        <v>300000</v>
      </c>
      <c r="K298" s="181">
        <f t="shared" si="107"/>
        <v>300000</v>
      </c>
      <c r="L298" s="173"/>
      <c r="O298" s="183"/>
    </row>
    <row r="299" spans="1:15" s="53" customFormat="1" ht="18" customHeight="1">
      <c r="A299" s="179">
        <f>'산출(기타)'!A39</f>
        <v>0</v>
      </c>
      <c r="B299" s="141">
        <f>'산출(기타)'!B39</f>
        <v>0</v>
      </c>
      <c r="C299" s="140">
        <f>'산출(기타)'!C39</f>
        <v>0</v>
      </c>
      <c r="D299" s="141" t="str">
        <f t="shared" si="108"/>
        <v>00</v>
      </c>
      <c r="E299" s="68">
        <f>'산출(기타)'!D39</f>
        <v>0</v>
      </c>
      <c r="F299" s="68">
        <f>'산출(기타)'!H39</f>
        <v>0</v>
      </c>
      <c r="G299" s="180"/>
      <c r="H299" s="181">
        <f t="shared" ref="H299" si="111">INT(G299*F299)</f>
        <v>0</v>
      </c>
      <c r="I299" s="172"/>
      <c r="J299" s="181"/>
      <c r="K299" s="181"/>
      <c r="L299" s="173"/>
      <c r="N299" s="56"/>
    </row>
    <row r="300" spans="1:15" ht="18" customHeight="1">
      <c r="A300" s="179"/>
      <c r="B300" s="141"/>
      <c r="C300" s="140"/>
      <c r="D300" s="141"/>
      <c r="E300" s="68"/>
      <c r="F300" s="68"/>
      <c r="G300" s="180"/>
      <c r="H300" s="181"/>
      <c r="I300" s="181"/>
      <c r="J300" s="181"/>
      <c r="K300" s="181"/>
      <c r="L300" s="182"/>
    </row>
    <row r="301" spans="1:15" ht="18" customHeight="1">
      <c r="A301" s="179"/>
      <c r="B301" s="141"/>
      <c r="C301" s="140"/>
      <c r="D301" s="141"/>
      <c r="E301" s="68"/>
      <c r="F301" s="68"/>
      <c r="G301" s="180"/>
      <c r="H301" s="181"/>
      <c r="I301" s="180"/>
      <c r="J301" s="181"/>
      <c r="K301" s="181"/>
      <c r="L301" s="173"/>
      <c r="O301" s="183"/>
    </row>
    <row r="302" spans="1:15" ht="18" customHeight="1">
      <c r="A302" s="179"/>
      <c r="B302" s="141"/>
      <c r="C302" s="140"/>
      <c r="D302" s="141"/>
      <c r="E302" s="68"/>
      <c r="F302" s="68"/>
      <c r="G302" s="180"/>
      <c r="H302" s="181"/>
      <c r="I302" s="180"/>
      <c r="J302" s="181"/>
      <c r="K302" s="181"/>
      <c r="L302" s="173"/>
      <c r="O302" s="183"/>
    </row>
    <row r="303" spans="1:15" ht="18" customHeight="1">
      <c r="A303" s="179"/>
      <c r="B303" s="141"/>
      <c r="C303" s="140"/>
      <c r="D303" s="141"/>
      <c r="E303" s="68"/>
      <c r="F303" s="68"/>
      <c r="G303" s="180"/>
      <c r="H303" s="181"/>
      <c r="I303" s="181"/>
      <c r="J303" s="181"/>
      <c r="K303" s="181"/>
      <c r="L303" s="182"/>
      <c r="O303" s="183"/>
    </row>
    <row r="304" spans="1:15" ht="18" customHeight="1">
      <c r="A304" s="179"/>
      <c r="B304" s="141"/>
      <c r="C304" s="140"/>
      <c r="D304" s="141"/>
      <c r="E304" s="68"/>
      <c r="F304" s="68"/>
      <c r="G304" s="180"/>
      <c r="H304" s="181"/>
      <c r="I304" s="172"/>
      <c r="J304" s="181"/>
      <c r="K304" s="181"/>
      <c r="L304" s="173"/>
      <c r="O304" s="183"/>
    </row>
    <row r="305" spans="1:12" ht="18" customHeight="1">
      <c r="A305" s="179"/>
      <c r="B305" s="141"/>
      <c r="C305" s="140"/>
      <c r="D305" s="141"/>
      <c r="E305" s="68"/>
      <c r="F305" s="68"/>
      <c r="G305" s="180"/>
      <c r="H305" s="181"/>
      <c r="I305" s="172"/>
      <c r="J305" s="181"/>
      <c r="K305" s="181"/>
      <c r="L305" s="173"/>
    </row>
    <row r="306" spans="1:12" ht="18" customHeight="1">
      <c r="A306" s="179"/>
      <c r="B306" s="141"/>
      <c r="C306" s="140"/>
      <c r="D306" s="141"/>
      <c r="E306" s="68"/>
      <c r="F306" s="68"/>
      <c r="G306" s="180"/>
      <c r="H306" s="181"/>
      <c r="I306" s="172"/>
      <c r="J306" s="181"/>
      <c r="K306" s="181"/>
      <c r="L306" s="173"/>
    </row>
    <row r="307" spans="1:12" ht="18" customHeight="1">
      <c r="A307" s="179"/>
      <c r="B307" s="141"/>
      <c r="C307" s="140"/>
      <c r="D307" s="141"/>
      <c r="E307" s="68"/>
      <c r="F307" s="68"/>
      <c r="G307" s="180"/>
      <c r="H307" s="181">
        <f t="shared" ref="H307" si="112">INT(G307*F307)</f>
        <v>0</v>
      </c>
      <c r="I307" s="172"/>
      <c r="J307" s="181"/>
      <c r="K307" s="181"/>
      <c r="L307" s="173"/>
    </row>
    <row r="308" spans="1:12" ht="18" customHeight="1">
      <c r="A308" s="179"/>
      <c r="B308" s="141"/>
      <c r="C308" s="140"/>
      <c r="D308" s="141"/>
      <c r="E308" s="68"/>
      <c r="F308" s="68"/>
      <c r="G308" s="180"/>
      <c r="H308" s="181"/>
      <c r="I308" s="172"/>
      <c r="J308" s="181"/>
      <c r="K308" s="181"/>
      <c r="L308" s="173"/>
    </row>
    <row r="309" spans="1:12" ht="18" customHeight="1">
      <c r="A309" s="179"/>
      <c r="B309" s="141"/>
      <c r="C309" s="140"/>
      <c r="D309" s="141"/>
      <c r="E309" s="68"/>
      <c r="F309" s="68"/>
      <c r="G309" s="180"/>
      <c r="H309" s="181"/>
      <c r="I309" s="172"/>
      <c r="J309" s="181"/>
      <c r="K309" s="181"/>
      <c r="L309" s="173"/>
    </row>
    <row r="310" spans="1:12" ht="18" customHeight="1">
      <c r="A310" s="179"/>
      <c r="B310" s="141"/>
      <c r="C310" s="140"/>
      <c r="D310" s="141"/>
      <c r="E310" s="68"/>
      <c r="F310" s="68"/>
      <c r="G310" s="180"/>
      <c r="H310" s="181"/>
      <c r="I310" s="178"/>
      <c r="J310" s="178"/>
      <c r="K310" s="181">
        <f t="shared" ref="K310" si="113">H310+J310</f>
        <v>0</v>
      </c>
      <c r="L310" s="72"/>
    </row>
    <row r="311" spans="1:12" ht="18" customHeight="1">
      <c r="A311" s="179"/>
      <c r="B311" s="141"/>
      <c r="C311" s="140"/>
      <c r="D311" s="141"/>
      <c r="E311" s="68"/>
      <c r="F311" s="68"/>
      <c r="G311" s="180"/>
      <c r="H311" s="181"/>
      <c r="I311" s="178"/>
      <c r="J311" s="178"/>
      <c r="K311" s="178"/>
      <c r="L311" s="72"/>
    </row>
    <row r="312" spans="1:12" ht="18" customHeight="1">
      <c r="A312" s="179"/>
      <c r="B312" s="141"/>
      <c r="C312" s="140"/>
      <c r="D312" s="141"/>
      <c r="E312" s="68"/>
      <c r="F312" s="68"/>
      <c r="G312" s="180"/>
      <c r="H312" s="181"/>
      <c r="I312" s="178"/>
      <c r="J312" s="178"/>
      <c r="K312" s="178"/>
      <c r="L312" s="72"/>
    </row>
    <row r="313" spans="1:12" ht="18" customHeight="1">
      <c r="A313" s="179"/>
      <c r="B313" s="141"/>
      <c r="C313" s="140"/>
      <c r="D313" s="141"/>
      <c r="E313" s="68"/>
      <c r="F313" s="68"/>
      <c r="G313" s="180"/>
      <c r="H313" s="181"/>
      <c r="I313" s="178"/>
      <c r="J313" s="178"/>
      <c r="K313" s="178"/>
      <c r="L313" s="72"/>
    </row>
    <row r="314" spans="1:12" ht="18" customHeight="1">
      <c r="A314" s="179"/>
      <c r="B314" s="184"/>
      <c r="C314" s="185"/>
      <c r="D314" s="141" t="str">
        <f t="shared" ref="D314:D319" si="114">B314&amp;C314</f>
        <v/>
      </c>
      <c r="E314" s="141"/>
      <c r="F314" s="68"/>
      <c r="G314" s="178"/>
      <c r="H314" s="178"/>
      <c r="I314" s="178"/>
      <c r="J314" s="178"/>
      <c r="K314" s="178"/>
      <c r="L314" s="72"/>
    </row>
    <row r="315" spans="1:12" ht="18" customHeight="1">
      <c r="A315" s="179"/>
      <c r="B315" s="184"/>
      <c r="C315" s="185"/>
      <c r="D315" s="141" t="str">
        <f t="shared" si="114"/>
        <v/>
      </c>
      <c r="E315" s="141"/>
      <c r="F315" s="68"/>
      <c r="G315" s="178"/>
      <c r="H315" s="178"/>
      <c r="I315" s="178"/>
      <c r="J315" s="178"/>
      <c r="K315" s="178"/>
      <c r="L315" s="72"/>
    </row>
    <row r="316" spans="1:12" ht="18" customHeight="1">
      <c r="A316" s="179"/>
      <c r="B316" s="184"/>
      <c r="C316" s="185"/>
      <c r="D316" s="141" t="str">
        <f t="shared" si="114"/>
        <v/>
      </c>
      <c r="E316" s="141"/>
      <c r="F316" s="68"/>
      <c r="G316" s="178"/>
      <c r="H316" s="178"/>
      <c r="I316" s="178"/>
      <c r="J316" s="178"/>
      <c r="K316" s="178"/>
      <c r="L316" s="72"/>
    </row>
    <row r="317" spans="1:12" ht="18" customHeight="1">
      <c r="A317" s="179"/>
      <c r="B317" s="184"/>
      <c r="C317" s="185"/>
      <c r="D317" s="141" t="str">
        <f t="shared" si="114"/>
        <v/>
      </c>
      <c r="E317" s="141"/>
      <c r="F317" s="68"/>
      <c r="G317" s="178"/>
      <c r="H317" s="178"/>
      <c r="I317" s="178"/>
      <c r="J317" s="178"/>
      <c r="K317" s="178"/>
      <c r="L317" s="72"/>
    </row>
    <row r="318" spans="1:12" ht="18" customHeight="1">
      <c r="A318" s="179"/>
      <c r="B318" s="184"/>
      <c r="C318" s="185"/>
      <c r="D318" s="141" t="str">
        <f t="shared" si="114"/>
        <v/>
      </c>
      <c r="E318" s="141"/>
      <c r="F318" s="68"/>
      <c r="G318" s="178"/>
      <c r="H318" s="178"/>
      <c r="I318" s="178"/>
      <c r="J318" s="178"/>
      <c r="K318" s="178"/>
      <c r="L318" s="72"/>
    </row>
    <row r="319" spans="1:12" ht="18" customHeight="1">
      <c r="A319" s="179"/>
      <c r="B319" s="184" t="s">
        <v>92</v>
      </c>
      <c r="C319" s="185"/>
      <c r="D319" s="141" t="str">
        <f t="shared" si="114"/>
        <v>합                 계</v>
      </c>
      <c r="E319" s="141"/>
      <c r="F319" s="68"/>
      <c r="G319" s="178"/>
      <c r="H319" s="178">
        <f>SUM(H294:H318)</f>
        <v>55000</v>
      </c>
      <c r="I319" s="178"/>
      <c r="J319" s="178">
        <f>SUM(J294:J318)</f>
        <v>1065324</v>
      </c>
      <c r="K319" s="178">
        <f>H319+J319</f>
        <v>1120324</v>
      </c>
      <c r="L319" s="72"/>
    </row>
    <row r="320" spans="1:12" s="142" customFormat="1" ht="18" customHeight="1">
      <c r="A320" s="142" t="str">
        <f>'산출(전기)'!A30</f>
        <v>NO.12) 스피커 이전</v>
      </c>
      <c r="D320" s="141" t="str">
        <f t="shared" ref="D320:D322" si="115">B320&amp;C320</f>
        <v/>
      </c>
      <c r="F320" s="175"/>
      <c r="G320" s="176"/>
      <c r="H320" s="176"/>
      <c r="I320" s="176"/>
      <c r="J320" s="176"/>
      <c r="K320" s="177"/>
    </row>
    <row r="321" spans="1:15" ht="18" customHeight="1">
      <c r="A321" s="395" t="s">
        <v>33</v>
      </c>
      <c r="B321" s="395" t="s">
        <v>88</v>
      </c>
      <c r="C321" s="395" t="s">
        <v>87</v>
      </c>
      <c r="D321" s="141" t="str">
        <f t="shared" si="115"/>
        <v>품           명규         격</v>
      </c>
      <c r="E321" s="395" t="s">
        <v>36</v>
      </c>
      <c r="F321" s="395" t="s">
        <v>7</v>
      </c>
      <c r="G321" s="393" t="s">
        <v>90</v>
      </c>
      <c r="H321" s="394"/>
      <c r="I321" s="393" t="s">
        <v>85</v>
      </c>
      <c r="J321" s="394"/>
      <c r="K321" s="395" t="s">
        <v>84</v>
      </c>
      <c r="L321" s="395" t="s">
        <v>39</v>
      </c>
    </row>
    <row r="322" spans="1:15" ht="18" customHeight="1">
      <c r="A322" s="396"/>
      <c r="B322" s="396"/>
      <c r="C322" s="396"/>
      <c r="D322" s="141" t="str">
        <f t="shared" si="115"/>
        <v/>
      </c>
      <c r="E322" s="396"/>
      <c r="F322" s="396"/>
      <c r="G322" s="174" t="s">
        <v>82</v>
      </c>
      <c r="H322" s="174" t="s">
        <v>80</v>
      </c>
      <c r="I322" s="174" t="s">
        <v>81</v>
      </c>
      <c r="J322" s="174" t="s">
        <v>80</v>
      </c>
      <c r="K322" s="396"/>
      <c r="L322" s="396"/>
    </row>
    <row r="323" spans="1:15" ht="18" customHeight="1">
      <c r="A323" s="179"/>
      <c r="B323" s="158" t="str">
        <f>'산출(전기)'!B33</f>
        <v>스피커 이전 설치</v>
      </c>
      <c r="C323" s="140"/>
      <c r="D323" s="141" t="str">
        <f>B323&amp;C323</f>
        <v>스피커 이전 설치</v>
      </c>
      <c r="E323" s="68">
        <f>'산출(전기)'!D33</f>
        <v>0</v>
      </c>
      <c r="F323" s="228">
        <f>'산출(전기)'!K33</f>
        <v>0</v>
      </c>
      <c r="G323" s="180"/>
      <c r="H323" s="181">
        <f>INT(G323*F323)</f>
        <v>0</v>
      </c>
      <c r="I323" s="181"/>
      <c r="J323" s="181"/>
      <c r="K323" s="181">
        <f t="shared" ref="K323:K332" si="116">H323+J323</f>
        <v>0</v>
      </c>
      <c r="L323" s="209"/>
      <c r="O323" s="183"/>
    </row>
    <row r="324" spans="1:15" ht="18" customHeight="1">
      <c r="A324" s="179">
        <v>1</v>
      </c>
      <c r="B324" s="141" t="str">
        <f>'산출(전기)'!B34</f>
        <v>MAIN SPEKER 철거</v>
      </c>
      <c r="C324" s="140"/>
      <c r="D324" s="141" t="str">
        <f t="shared" ref="D324" si="117">B324&amp;C324</f>
        <v>MAIN SPEKER 철거</v>
      </c>
      <c r="E324" s="68" t="str">
        <f>'산출(전기)'!D34</f>
        <v>EA</v>
      </c>
      <c r="F324" s="228">
        <f>'산출(전기)'!K34</f>
        <v>8</v>
      </c>
      <c r="G324" s="180"/>
      <c r="H324" s="181">
        <f>INT(G324*F324)</f>
        <v>0</v>
      </c>
      <c r="I324" s="180">
        <f>VLOOKUP(D:D,적용!A:B,2,FALSE)</f>
        <v>200000</v>
      </c>
      <c r="J324" s="181">
        <f>INT(I324*F324)</f>
        <v>1600000</v>
      </c>
      <c r="K324" s="181">
        <f t="shared" si="116"/>
        <v>1600000</v>
      </c>
      <c r="L324" s="209"/>
      <c r="O324" s="183"/>
    </row>
    <row r="325" spans="1:15" ht="18" customHeight="1">
      <c r="A325" s="179">
        <v>2</v>
      </c>
      <c r="B325" s="141" t="str">
        <f>'산출(전기)'!B35</f>
        <v>MAIN SPEKER 재설치</v>
      </c>
      <c r="C325" s="140"/>
      <c r="D325" s="141" t="str">
        <f t="shared" ref="D325:D328" si="118">B325&amp;C325</f>
        <v>MAIN SPEKER 재설치</v>
      </c>
      <c r="E325" s="68" t="str">
        <f>'산출(전기)'!D35</f>
        <v>EA</v>
      </c>
      <c r="F325" s="228">
        <f>'산출(전기)'!K35</f>
        <v>8</v>
      </c>
      <c r="G325" s="180"/>
      <c r="H325" s="181">
        <f>INT(G325*F325)</f>
        <v>0</v>
      </c>
      <c r="I325" s="180">
        <f>VLOOKUP(D:D,적용!A:B,2,FALSE)</f>
        <v>250000</v>
      </c>
      <c r="J325" s="181">
        <f t="shared" ref="J325:J326" si="119">INT(I325*F325)</f>
        <v>2000000</v>
      </c>
      <c r="K325" s="181">
        <f t="shared" si="116"/>
        <v>2000000</v>
      </c>
      <c r="L325" s="209"/>
      <c r="O325" s="183"/>
    </row>
    <row r="326" spans="1:15" ht="18" customHeight="1">
      <c r="A326" s="179">
        <v>3</v>
      </c>
      <c r="B326" s="141" t="str">
        <f>'산출(전기)'!B36</f>
        <v>고소작업비용</v>
      </c>
      <c r="C326" s="140"/>
      <c r="D326" s="141" t="str">
        <f t="shared" si="118"/>
        <v>고소작업비용</v>
      </c>
      <c r="E326" s="68" t="str">
        <f>'산출(전기)'!D36</f>
        <v>식</v>
      </c>
      <c r="F326" s="228">
        <f>'산출(전기)'!K36</f>
        <v>1</v>
      </c>
      <c r="G326" s="180"/>
      <c r="H326" s="181">
        <f>INT(G326*F326)</f>
        <v>0</v>
      </c>
      <c r="I326" s="180">
        <f>VLOOKUP(D:D,적용!A:B,2,FALSE)</f>
        <v>600000</v>
      </c>
      <c r="J326" s="181">
        <f t="shared" si="119"/>
        <v>600000</v>
      </c>
      <c r="K326" s="181">
        <f t="shared" si="116"/>
        <v>600000</v>
      </c>
      <c r="L326" s="209"/>
      <c r="O326" s="183"/>
    </row>
    <row r="327" spans="1:15" ht="18" customHeight="1">
      <c r="A327" s="179">
        <v>4</v>
      </c>
      <c r="B327" s="141" t="str">
        <f>'산출(전기)'!B37</f>
        <v>FLEXIBLE</v>
      </c>
      <c r="C327" s="140" t="str">
        <f>'산출(전기)'!C37</f>
        <v>16C</v>
      </c>
      <c r="D327" s="141" t="str">
        <f t="shared" si="118"/>
        <v>FLEXIBLE16C</v>
      </c>
      <c r="E327" s="68" t="str">
        <f>'산출(전기)'!D37</f>
        <v>M</v>
      </c>
      <c r="F327" s="228">
        <f>'산출(전기)'!K37</f>
        <v>49.199999999999996</v>
      </c>
      <c r="G327" s="180">
        <f>VLOOKUP(D:D,적용!A:B,2,FALSE)</f>
        <v>2100</v>
      </c>
      <c r="H327" s="181">
        <f t="shared" ref="H327:H330" si="120">INT(G327*F327)</f>
        <v>103320</v>
      </c>
      <c r="I327" s="181"/>
      <c r="J327" s="181"/>
      <c r="K327" s="181">
        <f t="shared" si="116"/>
        <v>103320</v>
      </c>
      <c r="L327" s="209"/>
      <c r="O327" s="183"/>
    </row>
    <row r="328" spans="1:15" ht="18" customHeight="1">
      <c r="A328" s="179">
        <v>5</v>
      </c>
      <c r="B328" s="141" t="str">
        <f>'산출(전기)'!B39</f>
        <v>CABLE</v>
      </c>
      <c r="C328" s="140" t="str">
        <f>'산출(전기)'!C39</f>
        <v>2S14F</v>
      </c>
      <c r="D328" s="141" t="str">
        <f t="shared" si="118"/>
        <v>CABLE2S14F</v>
      </c>
      <c r="E328" s="68" t="str">
        <f>'산출(전기)'!D39</f>
        <v>M</v>
      </c>
      <c r="F328" s="228">
        <f>'산출(전기)'!K39</f>
        <v>49.199999999999996</v>
      </c>
      <c r="G328" s="180">
        <f>VLOOKUP(D:D,적용!A:B,2,FALSE)</f>
        <v>8000</v>
      </c>
      <c r="H328" s="181">
        <f t="shared" si="120"/>
        <v>393600</v>
      </c>
      <c r="I328" s="172"/>
      <c r="J328" s="181">
        <f>INT(I328*F328)</f>
        <v>0</v>
      </c>
      <c r="K328" s="181">
        <f t="shared" si="116"/>
        <v>393600</v>
      </c>
      <c r="L328" s="173"/>
      <c r="O328" s="183"/>
    </row>
    <row r="329" spans="1:15" ht="18" customHeight="1">
      <c r="A329" s="179">
        <v>6</v>
      </c>
      <c r="B329" s="141" t="s">
        <v>375</v>
      </c>
      <c r="C329" s="140">
        <f>'산출(전기)'!C43</f>
        <v>0</v>
      </c>
      <c r="D329" s="141"/>
      <c r="E329" s="68" t="s">
        <v>103</v>
      </c>
      <c r="F329" s="228">
        <v>1</v>
      </c>
      <c r="G329" s="180">
        <v>500000</v>
      </c>
      <c r="H329" s="181">
        <f>INT(G329*F329)</f>
        <v>500000</v>
      </c>
      <c r="I329" s="178"/>
      <c r="J329" s="181"/>
      <c r="K329" s="181">
        <f>H329+J329</f>
        <v>500000</v>
      </c>
      <c r="L329" s="219"/>
    </row>
    <row r="330" spans="1:15" ht="18" customHeight="1">
      <c r="A330" s="179">
        <v>7</v>
      </c>
      <c r="B330" s="141" t="str">
        <f>'산출(전기)'!B41</f>
        <v>설치인건비</v>
      </c>
      <c r="C330" s="140" t="str">
        <f>'산출(전기)'!C41</f>
        <v>통신내선공</v>
      </c>
      <c r="D330" s="141" t="str">
        <f>C330</f>
        <v>통신내선공</v>
      </c>
      <c r="E330" s="68" t="str">
        <f>'산출(전기)'!D41</f>
        <v>M/D</v>
      </c>
      <c r="F330" s="228">
        <f>'산출(전기)'!K41</f>
        <v>0.95939999999999992</v>
      </c>
      <c r="G330" s="180"/>
      <c r="H330" s="181">
        <f t="shared" si="120"/>
        <v>0</v>
      </c>
      <c r="I330" s="172">
        <f>VLOOKUP($D:$D,임율기준!$B:$F,5,FALSE)</f>
        <v>160672</v>
      </c>
      <c r="J330" s="181">
        <f>INT(I330*F330)</f>
        <v>154148</v>
      </c>
      <c r="K330" s="181">
        <f t="shared" si="116"/>
        <v>154148</v>
      </c>
      <c r="L330" s="219"/>
    </row>
    <row r="331" spans="1:15" ht="18" customHeight="1">
      <c r="A331" s="179">
        <v>8</v>
      </c>
      <c r="B331" s="141" t="str">
        <f>'산출(전기)'!B42</f>
        <v>설치인건비</v>
      </c>
      <c r="C331" s="140" t="str">
        <f>'산출(전기)'!C42</f>
        <v>통신케이블공</v>
      </c>
      <c r="D331" s="141" t="str">
        <f>C331</f>
        <v>통신케이블공</v>
      </c>
      <c r="E331" s="68" t="str">
        <f>'산출(전기)'!D42</f>
        <v>M/D</v>
      </c>
      <c r="F331" s="228">
        <f>'산출(전기)'!K42</f>
        <v>0.95939999999999992</v>
      </c>
      <c r="G331" s="180"/>
      <c r="H331" s="181">
        <f t="shared" ref="H331" si="121">INT(G331*F331)</f>
        <v>0</v>
      </c>
      <c r="I331" s="172">
        <f>VLOOKUP($D:$D,임율기준!$B:$F,5,FALSE)</f>
        <v>254897</v>
      </c>
      <c r="J331" s="181">
        <f>INT(I331*F331)</f>
        <v>244548</v>
      </c>
      <c r="K331" s="181">
        <f t="shared" si="116"/>
        <v>244548</v>
      </c>
      <c r="L331" s="219"/>
    </row>
    <row r="332" spans="1:15" ht="18" customHeight="1">
      <c r="A332" s="179">
        <v>9</v>
      </c>
      <c r="B332" s="141" t="str">
        <f>'산출(전기)'!B43</f>
        <v>시험조정비</v>
      </c>
      <c r="C332" s="140"/>
      <c r="D332" s="141" t="str">
        <f t="shared" ref="D332" si="122">B332&amp;C332</f>
        <v>시험조정비</v>
      </c>
      <c r="E332" s="68" t="str">
        <f>'산출(전기)'!D43</f>
        <v>식</v>
      </c>
      <c r="F332" s="228">
        <f>'산출(전기)'!K43</f>
        <v>1</v>
      </c>
      <c r="G332" s="180"/>
      <c r="H332" s="181"/>
      <c r="I332" s="180">
        <f>VLOOKUP(D:D,적용!A:B,2,FALSE)</f>
        <v>500000</v>
      </c>
      <c r="J332" s="181">
        <f t="shared" ref="J332" si="123">INT(I332*F332)</f>
        <v>500000</v>
      </c>
      <c r="K332" s="181">
        <f t="shared" si="116"/>
        <v>500000</v>
      </c>
      <c r="L332" s="219"/>
    </row>
    <row r="333" spans="1:15" ht="18" customHeight="1">
      <c r="A333" s="179"/>
      <c r="B333" s="141">
        <f>'산출(전기)'!B47</f>
        <v>0</v>
      </c>
      <c r="C333" s="140">
        <f>'산출(전기)'!C45</f>
        <v>0</v>
      </c>
      <c r="D333" s="141">
        <f>C333</f>
        <v>0</v>
      </c>
      <c r="E333" s="68">
        <f>'산출(전기)'!D47</f>
        <v>0</v>
      </c>
      <c r="F333" s="228">
        <f>'산출(전기)'!K47</f>
        <v>0</v>
      </c>
      <c r="G333" s="180"/>
      <c r="H333" s="181"/>
      <c r="I333" s="172"/>
      <c r="J333" s="181"/>
      <c r="K333" s="181"/>
      <c r="L333" s="173"/>
    </row>
    <row r="334" spans="1:15" ht="18" customHeight="1">
      <c r="A334" s="179"/>
      <c r="B334" s="141"/>
      <c r="C334" s="140"/>
      <c r="D334" s="141"/>
      <c r="E334" s="68"/>
      <c r="F334" s="228"/>
      <c r="G334" s="180"/>
      <c r="H334" s="181"/>
      <c r="I334" s="172"/>
      <c r="J334" s="181"/>
      <c r="K334" s="181"/>
      <c r="L334" s="173"/>
    </row>
    <row r="335" spans="1:15" ht="18" customHeight="1">
      <c r="A335" s="179"/>
      <c r="B335" s="141"/>
      <c r="C335" s="140"/>
      <c r="D335" s="141"/>
      <c r="E335" s="68"/>
      <c r="F335" s="228"/>
      <c r="G335" s="180"/>
      <c r="H335" s="181"/>
      <c r="I335" s="172"/>
      <c r="J335" s="181"/>
      <c r="K335" s="181"/>
      <c r="L335" s="173"/>
    </row>
    <row r="336" spans="1:15" ht="18" customHeight="1">
      <c r="A336" s="179"/>
      <c r="B336" s="141"/>
      <c r="C336" s="140"/>
      <c r="D336" s="141"/>
      <c r="E336" s="68"/>
      <c r="F336" s="68"/>
      <c r="G336" s="180"/>
      <c r="H336" s="181"/>
      <c r="I336" s="172"/>
      <c r="J336" s="181"/>
      <c r="K336" s="181"/>
      <c r="L336" s="173"/>
    </row>
    <row r="337" spans="1:12" ht="18" customHeight="1">
      <c r="A337" s="179"/>
      <c r="B337" s="141"/>
      <c r="C337" s="140"/>
      <c r="D337" s="141"/>
      <c r="E337" s="68"/>
      <c r="F337" s="228"/>
      <c r="G337" s="180"/>
      <c r="H337" s="181"/>
      <c r="I337" s="172"/>
      <c r="J337" s="181"/>
      <c r="K337" s="181"/>
      <c r="L337" s="173"/>
    </row>
    <row r="338" spans="1:12" ht="18" customHeight="1">
      <c r="A338" s="179"/>
      <c r="B338" s="141"/>
      <c r="C338" s="140"/>
      <c r="D338" s="141"/>
      <c r="E338" s="68"/>
      <c r="F338" s="228"/>
      <c r="G338" s="180"/>
      <c r="H338" s="181"/>
      <c r="I338" s="172"/>
      <c r="J338" s="181"/>
      <c r="K338" s="181"/>
      <c r="L338" s="173"/>
    </row>
    <row r="339" spans="1:12" ht="18" customHeight="1">
      <c r="A339" s="179"/>
      <c r="B339" s="141"/>
      <c r="C339" s="140"/>
      <c r="D339" s="141"/>
      <c r="E339" s="68"/>
      <c r="F339" s="228"/>
      <c r="G339" s="180"/>
      <c r="H339" s="181"/>
      <c r="I339" s="172"/>
      <c r="J339" s="181"/>
      <c r="K339" s="181"/>
      <c r="L339" s="173"/>
    </row>
    <row r="340" spans="1:12" ht="18" customHeight="1">
      <c r="A340" s="179"/>
      <c r="B340" s="141"/>
      <c r="C340" s="140"/>
      <c r="D340" s="141"/>
      <c r="E340" s="68"/>
      <c r="F340" s="68"/>
      <c r="G340" s="180"/>
      <c r="H340" s="181"/>
      <c r="I340" s="172"/>
      <c r="J340" s="181"/>
      <c r="K340" s="181"/>
      <c r="L340" s="173"/>
    </row>
    <row r="341" spans="1:12" ht="18" customHeight="1">
      <c r="A341" s="179"/>
      <c r="B341" s="141"/>
      <c r="C341" s="140"/>
      <c r="D341" s="141"/>
      <c r="E341" s="68"/>
      <c r="F341" s="68"/>
      <c r="G341" s="180"/>
      <c r="H341" s="181"/>
      <c r="I341" s="178"/>
      <c r="J341" s="178"/>
      <c r="K341" s="178"/>
      <c r="L341" s="72"/>
    </row>
    <row r="342" spans="1:12" ht="18" customHeight="1">
      <c r="A342" s="179"/>
      <c r="B342" s="141"/>
      <c r="C342" s="140"/>
      <c r="D342" s="141"/>
      <c r="E342" s="68"/>
      <c r="F342" s="68"/>
      <c r="G342" s="180"/>
      <c r="H342" s="181"/>
      <c r="I342" s="178"/>
      <c r="J342" s="178"/>
      <c r="K342" s="178"/>
      <c r="L342" s="72"/>
    </row>
    <row r="343" spans="1:12" ht="18" customHeight="1">
      <c r="A343" s="179"/>
      <c r="B343" s="184"/>
      <c r="C343" s="185"/>
      <c r="D343" s="186"/>
      <c r="E343" s="141"/>
      <c r="F343" s="68"/>
      <c r="G343" s="178"/>
      <c r="H343" s="178"/>
      <c r="I343" s="178"/>
      <c r="J343" s="178"/>
      <c r="K343" s="178"/>
      <c r="L343" s="72"/>
    </row>
    <row r="344" spans="1:12" ht="18" customHeight="1">
      <c r="A344" s="179"/>
      <c r="B344" s="184"/>
      <c r="C344" s="185"/>
      <c r="D344" s="186"/>
      <c r="E344" s="141"/>
      <c r="F344" s="68"/>
      <c r="G344" s="178"/>
      <c r="H344" s="178"/>
      <c r="I344" s="178"/>
      <c r="J344" s="178"/>
      <c r="K344" s="178"/>
      <c r="L344" s="72"/>
    </row>
    <row r="345" spans="1:12" ht="18" customHeight="1">
      <c r="A345" s="179"/>
      <c r="B345" s="184"/>
      <c r="C345" s="185"/>
      <c r="D345" s="186"/>
      <c r="E345" s="141"/>
      <c r="F345" s="68"/>
      <c r="G345" s="178"/>
      <c r="H345" s="178"/>
      <c r="I345" s="178"/>
      <c r="J345" s="178"/>
      <c r="K345" s="178"/>
      <c r="L345" s="72"/>
    </row>
    <row r="346" spans="1:12" ht="18" customHeight="1">
      <c r="A346" s="179"/>
      <c r="B346" s="184"/>
      <c r="C346" s="185"/>
      <c r="D346" s="186"/>
      <c r="E346" s="141"/>
      <c r="F346" s="68"/>
      <c r="G346" s="178"/>
      <c r="H346" s="178"/>
      <c r="I346" s="178"/>
      <c r="J346" s="178"/>
      <c r="K346" s="178"/>
      <c r="L346" s="72"/>
    </row>
    <row r="347" spans="1:12" ht="18" customHeight="1">
      <c r="A347" s="179"/>
      <c r="B347" s="184"/>
      <c r="C347" s="185"/>
      <c r="D347" s="186"/>
      <c r="E347" s="141"/>
      <c r="F347" s="68"/>
      <c r="G347" s="178"/>
      <c r="H347" s="178"/>
      <c r="I347" s="178"/>
      <c r="J347" s="178"/>
      <c r="K347" s="178"/>
      <c r="L347" s="72"/>
    </row>
    <row r="348" spans="1:12" ht="18" customHeight="1">
      <c r="A348" s="179"/>
      <c r="B348" s="184" t="s">
        <v>92</v>
      </c>
      <c r="C348" s="185"/>
      <c r="D348" s="186"/>
      <c r="E348" s="141"/>
      <c r="F348" s="68"/>
      <c r="G348" s="178"/>
      <c r="H348" s="178">
        <f>SUM(H323:H347)</f>
        <v>996920</v>
      </c>
      <c r="I348" s="178"/>
      <c r="J348" s="178">
        <f>SUM(J323:J347)</f>
        <v>5098696</v>
      </c>
      <c r="K348" s="178">
        <f>H348+J348</f>
        <v>6095616</v>
      </c>
      <c r="L348" s="72"/>
    </row>
  </sheetData>
  <mergeCells count="108">
    <mergeCell ref="A263:A264"/>
    <mergeCell ref="B263:B264"/>
    <mergeCell ref="C263:C264"/>
    <mergeCell ref="A292:A293"/>
    <mergeCell ref="B292:B293"/>
    <mergeCell ref="C292:C293"/>
    <mergeCell ref="E292:E293"/>
    <mergeCell ref="F292:F293"/>
    <mergeCell ref="G292:H292"/>
    <mergeCell ref="I292:J292"/>
    <mergeCell ref="K292:K293"/>
    <mergeCell ref="L292:L293"/>
    <mergeCell ref="G176:H176"/>
    <mergeCell ref="I176:J176"/>
    <mergeCell ref="G147:H147"/>
    <mergeCell ref="I147:J147"/>
    <mergeCell ref="E263:E264"/>
    <mergeCell ref="F263:F264"/>
    <mergeCell ref="K176:K177"/>
    <mergeCell ref="L176:L177"/>
    <mergeCell ref="G263:H263"/>
    <mergeCell ref="I263:J263"/>
    <mergeCell ref="K263:K264"/>
    <mergeCell ref="L263:L264"/>
    <mergeCell ref="K147:K148"/>
    <mergeCell ref="L147:L148"/>
    <mergeCell ref="G234:H234"/>
    <mergeCell ref="I234:J234"/>
    <mergeCell ref="K234:K235"/>
    <mergeCell ref="L234:L235"/>
    <mergeCell ref="G205:H205"/>
    <mergeCell ref="I205:J205"/>
    <mergeCell ref="K205:K206"/>
    <mergeCell ref="A234:A235"/>
    <mergeCell ref="B234:B235"/>
    <mergeCell ref="C234:C235"/>
    <mergeCell ref="E234:E235"/>
    <mergeCell ref="F234:F235"/>
    <mergeCell ref="A205:A206"/>
    <mergeCell ref="B205:B206"/>
    <mergeCell ref="C205:C206"/>
    <mergeCell ref="E205:E206"/>
    <mergeCell ref="F205:F206"/>
    <mergeCell ref="L205:L206"/>
    <mergeCell ref="I89:J89"/>
    <mergeCell ref="K89:K90"/>
    <mergeCell ref="L89:L90"/>
    <mergeCell ref="G118:H118"/>
    <mergeCell ref="I118:J118"/>
    <mergeCell ref="K118:K119"/>
    <mergeCell ref="L118:L119"/>
    <mergeCell ref="G89:H89"/>
    <mergeCell ref="A176:A177"/>
    <mergeCell ref="B176:B177"/>
    <mergeCell ref="C176:C177"/>
    <mergeCell ref="G31:H31"/>
    <mergeCell ref="L31:L32"/>
    <mergeCell ref="K31:K32"/>
    <mergeCell ref="I31:J31"/>
    <mergeCell ref="F31:F32"/>
    <mergeCell ref="E31:E32"/>
    <mergeCell ref="A60:A61"/>
    <mergeCell ref="B60:B61"/>
    <mergeCell ref="C60:C61"/>
    <mergeCell ref="E60:E61"/>
    <mergeCell ref="F60:F61"/>
    <mergeCell ref="G60:H60"/>
    <mergeCell ref="I60:J60"/>
    <mergeCell ref="K60:K61"/>
    <mergeCell ref="L60:L61"/>
    <mergeCell ref="B118:B119"/>
    <mergeCell ref="C118:C119"/>
    <mergeCell ref="E118:E119"/>
    <mergeCell ref="F118:F119"/>
    <mergeCell ref="E176:E177"/>
    <mergeCell ref="F176:F177"/>
    <mergeCell ref="A147:A148"/>
    <mergeCell ref="B147:B148"/>
    <mergeCell ref="A31:A32"/>
    <mergeCell ref="B31:B32"/>
    <mergeCell ref="C31:C32"/>
    <mergeCell ref="C147:C148"/>
    <mergeCell ref="E147:E148"/>
    <mergeCell ref="F147:F148"/>
    <mergeCell ref="A89:A90"/>
    <mergeCell ref="B89:B90"/>
    <mergeCell ref="C89:C90"/>
    <mergeCell ref="E89:E90"/>
    <mergeCell ref="F89:F90"/>
    <mergeCell ref="A118:A119"/>
    <mergeCell ref="A2:A3"/>
    <mergeCell ref="B2:B3"/>
    <mergeCell ref="C2:C3"/>
    <mergeCell ref="E2:E3"/>
    <mergeCell ref="F2:F3"/>
    <mergeCell ref="G2:H2"/>
    <mergeCell ref="I2:J2"/>
    <mergeCell ref="K2:K3"/>
    <mergeCell ref="L2:L3"/>
    <mergeCell ref="G321:H321"/>
    <mergeCell ref="I321:J321"/>
    <mergeCell ref="K321:K322"/>
    <mergeCell ref="L321:L322"/>
    <mergeCell ref="A321:A322"/>
    <mergeCell ref="B321:B322"/>
    <mergeCell ref="C321:C322"/>
    <mergeCell ref="E321:E322"/>
    <mergeCell ref="F321:F322"/>
  </mergeCells>
  <phoneticPr fontId="31" type="noConversion"/>
  <printOptions gridLinesSet="0"/>
  <pageMargins left="0.78740157480314965" right="0" top="0.39370078740157483" bottom="0.19685039370078741" header="0" footer="0.19685039370078741"/>
  <pageSetup paperSize="9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37"/>
  <sheetViews>
    <sheetView view="pageBreakPreview" zoomScaleNormal="85" zoomScaleSheetLayoutView="100" workbookViewId="0">
      <selection activeCell="G13" sqref="G13"/>
    </sheetView>
  </sheetViews>
  <sheetFormatPr defaultRowHeight="21" customHeight="1"/>
  <cols>
    <col min="1" max="1" width="5" style="65" customWidth="1"/>
    <col min="2" max="2" width="25.625" style="65" customWidth="1"/>
    <col min="3" max="3" width="19.625" style="65" customWidth="1"/>
    <col min="4" max="4" width="19.625" style="65" hidden="1" customWidth="1"/>
    <col min="5" max="5" width="5.875" style="65" customWidth="1"/>
    <col min="6" max="6" width="6.75" style="119" customWidth="1"/>
    <col min="7" max="7" width="10.375" style="188" customWidth="1"/>
    <col min="8" max="8" width="11.125" style="188" customWidth="1"/>
    <col min="9" max="9" width="10.625" style="188" customWidth="1"/>
    <col min="10" max="10" width="11.125" style="188" customWidth="1"/>
    <col min="11" max="11" width="12.875" style="188" customWidth="1"/>
    <col min="12" max="12" width="7.625" style="65" customWidth="1"/>
    <col min="13" max="16384" width="9" style="65"/>
  </cols>
  <sheetData>
    <row r="1" spans="1:15" s="233" customFormat="1" ht="18" customHeight="1">
      <c r="B1" s="234" t="s">
        <v>178</v>
      </c>
      <c r="C1" s="235"/>
      <c r="E1" s="235"/>
      <c r="F1" s="235"/>
      <c r="G1" s="236"/>
      <c r="H1" s="236"/>
      <c r="I1" s="236"/>
      <c r="J1" s="236"/>
      <c r="K1" s="237"/>
    </row>
    <row r="2" spans="1:15" s="84" customFormat="1" ht="18" customHeight="1">
      <c r="A2" s="383" t="s">
        <v>154</v>
      </c>
      <c r="B2" s="383" t="s">
        <v>155</v>
      </c>
      <c r="C2" s="383" t="s">
        <v>156</v>
      </c>
      <c r="D2" s="225"/>
      <c r="E2" s="383" t="s">
        <v>157</v>
      </c>
      <c r="F2" s="383" t="s">
        <v>158</v>
      </c>
      <c r="G2" s="385" t="s">
        <v>159</v>
      </c>
      <c r="H2" s="386"/>
      <c r="I2" s="385" t="s">
        <v>160</v>
      </c>
      <c r="J2" s="386"/>
      <c r="K2" s="383" t="s">
        <v>161</v>
      </c>
      <c r="L2" s="383" t="s">
        <v>162</v>
      </c>
    </row>
    <row r="3" spans="1:15" s="84" customFormat="1" ht="18" customHeight="1">
      <c r="A3" s="384"/>
      <c r="B3" s="384"/>
      <c r="C3" s="384"/>
      <c r="D3" s="226"/>
      <c r="E3" s="384"/>
      <c r="F3" s="384"/>
      <c r="G3" s="66" t="s">
        <v>82</v>
      </c>
      <c r="H3" s="66" t="s">
        <v>163</v>
      </c>
      <c r="I3" s="66" t="s">
        <v>164</v>
      </c>
      <c r="J3" s="66" t="s">
        <v>163</v>
      </c>
      <c r="K3" s="384"/>
      <c r="L3" s="384"/>
    </row>
    <row r="4" spans="1:15" s="84" customFormat="1" ht="18" customHeight="1">
      <c r="A4" s="238" t="s">
        <v>191</v>
      </c>
      <c r="B4" s="239"/>
      <c r="C4" s="227"/>
      <c r="D4" s="239"/>
      <c r="E4" s="227"/>
      <c r="F4" s="227"/>
      <c r="G4" s="116"/>
      <c r="H4" s="240"/>
      <c r="I4" s="241"/>
      <c r="J4" s="241"/>
      <c r="K4" s="241"/>
      <c r="L4" s="242"/>
      <c r="O4" s="232"/>
    </row>
    <row r="5" spans="1:15" s="84" customFormat="1" ht="18" customHeight="1">
      <c r="A5" s="243">
        <v>1</v>
      </c>
      <c r="B5" s="244" t="s">
        <v>167</v>
      </c>
      <c r="C5" s="239" t="s">
        <v>105</v>
      </c>
      <c r="D5" s="239" t="str">
        <f>C5</f>
        <v>기계산업기사</v>
      </c>
      <c r="E5" s="227" t="s">
        <v>79</v>
      </c>
      <c r="F5" s="227">
        <v>0.5</v>
      </c>
      <c r="G5" s="116"/>
      <c r="H5" s="240"/>
      <c r="I5" s="241">
        <f>VLOOKUP($D:$D,임율기준!$B:$F,5,FALSE)</f>
        <v>150083</v>
      </c>
      <c r="J5" s="241">
        <f>INT(I5*F5)</f>
        <v>75041</v>
      </c>
      <c r="K5" s="241">
        <f t="shared" ref="K5:K11" si="0">H5+J5</f>
        <v>75041</v>
      </c>
      <c r="L5" s="242"/>
      <c r="O5" s="232"/>
    </row>
    <row r="6" spans="1:15" s="84" customFormat="1" ht="18" customHeight="1">
      <c r="A6" s="227">
        <v>2</v>
      </c>
      <c r="B6" s="244" t="s">
        <v>167</v>
      </c>
      <c r="C6" s="239" t="s">
        <v>106</v>
      </c>
      <c r="D6" s="239" t="str">
        <f t="shared" ref="D6:D11" si="1">C6</f>
        <v>기계설치공</v>
      </c>
      <c r="E6" s="227" t="s">
        <v>79</v>
      </c>
      <c r="F6" s="227">
        <v>7.24</v>
      </c>
      <c r="G6" s="240"/>
      <c r="H6" s="240"/>
      <c r="I6" s="241">
        <f>VLOOKUP($D:$D,임율기준!$B:$F,5,FALSE)</f>
        <v>124953</v>
      </c>
      <c r="J6" s="241">
        <f>INT(I6*F6)</f>
        <v>904659</v>
      </c>
      <c r="K6" s="241">
        <f t="shared" si="0"/>
        <v>904659</v>
      </c>
      <c r="L6" s="245"/>
    </row>
    <row r="7" spans="1:15" s="84" customFormat="1" ht="18" customHeight="1">
      <c r="A7" s="243">
        <v>3</v>
      </c>
      <c r="B7" s="244" t="s">
        <v>167</v>
      </c>
      <c r="C7" s="239" t="s">
        <v>107</v>
      </c>
      <c r="D7" s="239" t="str">
        <f t="shared" si="1"/>
        <v>비계공</v>
      </c>
      <c r="E7" s="227" t="s">
        <v>79</v>
      </c>
      <c r="F7" s="227">
        <v>2.86</v>
      </c>
      <c r="G7" s="240"/>
      <c r="H7" s="240"/>
      <c r="I7" s="241">
        <f>VLOOKUP($D:$D,임율기준!$B:$F,5,FALSE)</f>
        <v>167860</v>
      </c>
      <c r="J7" s="241">
        <f>INT(I7*F7)</f>
        <v>480079</v>
      </c>
      <c r="K7" s="241">
        <f t="shared" si="0"/>
        <v>480079</v>
      </c>
      <c r="L7" s="245"/>
    </row>
    <row r="8" spans="1:15" s="84" customFormat="1" ht="18" customHeight="1">
      <c r="A8" s="227">
        <v>4</v>
      </c>
      <c r="B8" s="244" t="s">
        <v>167</v>
      </c>
      <c r="C8" s="239" t="s">
        <v>58</v>
      </c>
      <c r="D8" s="239" t="str">
        <f t="shared" si="1"/>
        <v>용접공</v>
      </c>
      <c r="E8" s="227" t="s">
        <v>79</v>
      </c>
      <c r="F8" s="227">
        <v>0.95</v>
      </c>
      <c r="G8" s="240"/>
      <c r="H8" s="240"/>
      <c r="I8" s="241">
        <f>VLOOKUP($D:$D,임율기준!$B:$F,5,FALSE)</f>
        <v>143509</v>
      </c>
      <c r="J8" s="241">
        <f>INT(I8*F8)</f>
        <v>136333</v>
      </c>
      <c r="K8" s="241">
        <f t="shared" si="0"/>
        <v>136333</v>
      </c>
      <c r="L8" s="245"/>
    </row>
    <row r="9" spans="1:15" s="84" customFormat="1" ht="18" customHeight="1">
      <c r="A9" s="227">
        <v>5</v>
      </c>
      <c r="B9" s="244" t="s">
        <v>167</v>
      </c>
      <c r="C9" s="239" t="s">
        <v>56</v>
      </c>
      <c r="D9" s="239" t="str">
        <f t="shared" si="1"/>
        <v>특별인부</v>
      </c>
      <c r="E9" s="227" t="s">
        <v>79</v>
      </c>
      <c r="F9" s="227">
        <v>3.9</v>
      </c>
      <c r="G9" s="240"/>
      <c r="H9" s="240"/>
      <c r="I9" s="241">
        <f>VLOOKUP($D:$D,임율기준!$B:$F,5,FALSE)</f>
        <v>115272</v>
      </c>
      <c r="J9" s="241">
        <f>INT(I9*F9)</f>
        <v>449560</v>
      </c>
      <c r="K9" s="241">
        <f t="shared" si="0"/>
        <v>449560</v>
      </c>
      <c r="L9" s="245"/>
    </row>
    <row r="10" spans="1:15" s="84" customFormat="1" ht="18" customHeight="1">
      <c r="A10" s="351">
        <v>6</v>
      </c>
      <c r="B10" s="244" t="s">
        <v>407</v>
      </c>
      <c r="C10" s="239" t="s">
        <v>409</v>
      </c>
      <c r="D10" s="239" t="str">
        <f t="shared" si="1"/>
        <v>기술관리를 제외한 공정의</v>
      </c>
      <c r="E10" s="351" t="s">
        <v>104</v>
      </c>
      <c r="F10" s="351">
        <v>10</v>
      </c>
      <c r="G10" s="240"/>
      <c r="H10" s="240"/>
      <c r="I10" s="241">
        <f>SUM(J5:J9)</f>
        <v>2045672</v>
      </c>
      <c r="J10" s="241">
        <f>INT((I10*F10)/100)</f>
        <v>204567</v>
      </c>
      <c r="K10" s="241">
        <f t="shared" si="0"/>
        <v>204567</v>
      </c>
      <c r="L10" s="245"/>
    </row>
    <row r="11" spans="1:15" s="84" customFormat="1" ht="18" customHeight="1">
      <c r="A11" s="351">
        <v>7</v>
      </c>
      <c r="B11" s="244" t="s">
        <v>408</v>
      </c>
      <c r="C11" s="239" t="s">
        <v>410</v>
      </c>
      <c r="D11" s="239" t="str">
        <f t="shared" si="1"/>
        <v>노무비의</v>
      </c>
      <c r="E11" s="351" t="s">
        <v>104</v>
      </c>
      <c r="F11" s="351">
        <v>40</v>
      </c>
      <c r="G11" s="240"/>
      <c r="H11" s="240"/>
      <c r="I11" s="241">
        <f>SUM(J5:J10)</f>
        <v>2250239</v>
      </c>
      <c r="J11" s="241">
        <f>INT((I11*F11)/100)</f>
        <v>900095</v>
      </c>
      <c r="K11" s="241">
        <f t="shared" si="0"/>
        <v>900095</v>
      </c>
      <c r="L11" s="245"/>
    </row>
    <row r="12" spans="1:15" s="84" customFormat="1" ht="18" customHeight="1">
      <c r="A12" s="351"/>
      <c r="B12" s="244"/>
      <c r="C12" s="239"/>
      <c r="D12" s="239"/>
      <c r="E12" s="351"/>
      <c r="F12" s="351"/>
      <c r="G12" s="240"/>
      <c r="H12" s="240"/>
      <c r="I12" s="241"/>
      <c r="J12" s="241"/>
      <c r="K12" s="241"/>
      <c r="L12" s="245"/>
    </row>
    <row r="13" spans="1:15" s="84" customFormat="1" ht="18" customHeight="1">
      <c r="A13" s="246"/>
      <c r="B13" s="247" t="s">
        <v>165</v>
      </c>
      <c r="C13" s="247"/>
      <c r="D13" s="239"/>
      <c r="E13" s="227"/>
      <c r="F13" s="227"/>
      <c r="G13" s="240"/>
      <c r="H13" s="240"/>
      <c r="I13" s="241"/>
      <c r="J13" s="241">
        <f>SUM(J5:J11)</f>
        <v>3150334</v>
      </c>
      <c r="K13" s="241">
        <f>H13+J13</f>
        <v>3150334</v>
      </c>
      <c r="L13" s="245"/>
    </row>
    <row r="14" spans="1:15" s="84" customFormat="1" ht="18" customHeight="1">
      <c r="A14" s="243"/>
      <c r="B14" s="247"/>
      <c r="C14" s="247"/>
      <c r="D14" s="239"/>
      <c r="E14" s="227"/>
      <c r="F14" s="227"/>
      <c r="G14" s="240"/>
      <c r="H14" s="240"/>
      <c r="I14" s="241"/>
      <c r="J14" s="241"/>
      <c r="K14" s="241"/>
      <c r="L14" s="245"/>
    </row>
    <row r="15" spans="1:15" s="84" customFormat="1" ht="18" customHeight="1">
      <c r="A15" s="227"/>
      <c r="B15" s="244"/>
      <c r="C15" s="239"/>
      <c r="D15" s="239"/>
      <c r="E15" s="227"/>
      <c r="F15" s="227"/>
      <c r="G15" s="240"/>
      <c r="H15" s="240"/>
      <c r="I15" s="241"/>
      <c r="J15" s="241"/>
      <c r="K15" s="241"/>
      <c r="L15" s="245"/>
    </row>
    <row r="16" spans="1:15" s="84" customFormat="1" ht="18" customHeight="1">
      <c r="A16" s="227"/>
      <c r="B16" s="244" t="s">
        <v>168</v>
      </c>
      <c r="C16" s="239" t="s">
        <v>169</v>
      </c>
      <c r="D16" s="239"/>
      <c r="E16" s="227" t="s">
        <v>166</v>
      </c>
      <c r="F16" s="227">
        <v>100</v>
      </c>
      <c r="G16" s="240"/>
      <c r="H16" s="240"/>
      <c r="I16" s="241"/>
      <c r="J16" s="241">
        <f>K13</f>
        <v>3150334</v>
      </c>
      <c r="K16" s="241">
        <f>J16</f>
        <v>3150334</v>
      </c>
      <c r="L16" s="245"/>
    </row>
    <row r="17" spans="1:12" s="84" customFormat="1" ht="18" customHeight="1">
      <c r="A17" s="227"/>
      <c r="B17" s="244" t="s">
        <v>170</v>
      </c>
      <c r="C17" s="239" t="s">
        <v>169</v>
      </c>
      <c r="D17" s="239"/>
      <c r="E17" s="227" t="s">
        <v>171</v>
      </c>
      <c r="F17" s="227">
        <v>160</v>
      </c>
      <c r="G17" s="240"/>
      <c r="H17" s="240"/>
      <c r="I17" s="241"/>
      <c r="J17" s="241">
        <f>TRUNC(J16*1.6)</f>
        <v>5040534</v>
      </c>
      <c r="K17" s="241">
        <f>J17</f>
        <v>5040534</v>
      </c>
      <c r="L17" s="245"/>
    </row>
    <row r="18" spans="1:12" s="84" customFormat="1" ht="18" customHeight="1">
      <c r="A18" s="227"/>
      <c r="B18" s="244" t="s">
        <v>172</v>
      </c>
      <c r="C18" s="239" t="s">
        <v>173</v>
      </c>
      <c r="D18" s="239"/>
      <c r="E18" s="227" t="s">
        <v>166</v>
      </c>
      <c r="F18" s="227">
        <v>60</v>
      </c>
      <c r="G18" s="240"/>
      <c r="H18" s="240"/>
      <c r="I18" s="241"/>
      <c r="J18" s="241">
        <f>TRUNC(J16*0.6)</f>
        <v>1890200</v>
      </c>
      <c r="K18" s="241">
        <f>J18</f>
        <v>1890200</v>
      </c>
      <c r="L18" s="245"/>
    </row>
    <row r="19" spans="1:12" s="84" customFormat="1" ht="18" customHeight="1">
      <c r="A19" s="227"/>
      <c r="B19" s="244"/>
      <c r="C19" s="239"/>
      <c r="D19" s="239"/>
      <c r="E19" s="227"/>
      <c r="F19" s="227"/>
      <c r="G19" s="240"/>
      <c r="H19" s="240"/>
      <c r="I19" s="241"/>
      <c r="J19" s="241"/>
      <c r="K19" s="241"/>
      <c r="L19" s="245"/>
    </row>
    <row r="20" spans="1:12" s="84" customFormat="1" ht="18" customHeight="1">
      <c r="A20" s="227"/>
      <c r="B20" s="244" t="s">
        <v>168</v>
      </c>
      <c r="C20" s="239" t="s">
        <v>174</v>
      </c>
      <c r="D20" s="239"/>
      <c r="E20" s="227" t="s">
        <v>166</v>
      </c>
      <c r="F20" s="227">
        <v>110</v>
      </c>
      <c r="G20" s="240"/>
      <c r="H20" s="240"/>
      <c r="I20" s="241"/>
      <c r="J20" s="241">
        <f>TRUNC(J16*1.1)</f>
        <v>3465367</v>
      </c>
      <c r="K20" s="241">
        <f>J20</f>
        <v>3465367</v>
      </c>
      <c r="L20" s="245"/>
    </row>
    <row r="21" spans="1:12" s="84" customFormat="1" ht="18" customHeight="1">
      <c r="A21" s="227"/>
      <c r="B21" s="244" t="s">
        <v>170</v>
      </c>
      <c r="C21" s="239" t="s">
        <v>175</v>
      </c>
      <c r="D21" s="239"/>
      <c r="E21" s="227" t="s">
        <v>166</v>
      </c>
      <c r="F21" s="227">
        <v>160</v>
      </c>
      <c r="G21" s="240"/>
      <c r="H21" s="240"/>
      <c r="I21" s="241"/>
      <c r="J21" s="241">
        <f>TRUNC(J20*1.6)</f>
        <v>5544587</v>
      </c>
      <c r="K21" s="241">
        <f>J21</f>
        <v>5544587</v>
      </c>
      <c r="L21" s="245"/>
    </row>
    <row r="22" spans="1:12" s="84" customFormat="1" ht="18" customHeight="1">
      <c r="A22" s="227"/>
      <c r="B22" s="244" t="s">
        <v>176</v>
      </c>
      <c r="C22" s="239" t="s">
        <v>174</v>
      </c>
      <c r="D22" s="239"/>
      <c r="E22" s="227" t="s">
        <v>166</v>
      </c>
      <c r="F22" s="227">
        <v>60</v>
      </c>
      <c r="G22" s="240"/>
      <c r="H22" s="240"/>
      <c r="I22" s="241"/>
      <c r="J22" s="241">
        <f>TRUNC(J20*0.6)</f>
        <v>2079220</v>
      </c>
      <c r="K22" s="241">
        <f>J22</f>
        <v>2079220</v>
      </c>
      <c r="L22" s="245"/>
    </row>
    <row r="23" spans="1:12" s="84" customFormat="1" ht="18" customHeight="1">
      <c r="A23" s="227"/>
      <c r="B23" s="244"/>
      <c r="C23" s="239"/>
      <c r="D23" s="239"/>
      <c r="E23" s="227"/>
      <c r="F23" s="227"/>
      <c r="G23" s="240"/>
      <c r="H23" s="240"/>
      <c r="I23" s="241"/>
      <c r="J23" s="241"/>
      <c r="K23" s="241"/>
      <c r="L23" s="245"/>
    </row>
    <row r="24" spans="1:12" s="84" customFormat="1" ht="18" customHeight="1">
      <c r="A24" s="227"/>
      <c r="B24" s="244" t="s">
        <v>168</v>
      </c>
      <c r="C24" s="239" t="s">
        <v>177</v>
      </c>
      <c r="D24" s="239"/>
      <c r="E24" s="227" t="s">
        <v>166</v>
      </c>
      <c r="F24" s="227">
        <v>120</v>
      </c>
      <c r="G24" s="240"/>
      <c r="H24" s="240"/>
      <c r="I24" s="241"/>
      <c r="J24" s="241">
        <f>TRUNC(J16*1.2)</f>
        <v>3780400</v>
      </c>
      <c r="K24" s="241">
        <f>J24</f>
        <v>3780400</v>
      </c>
      <c r="L24" s="245"/>
    </row>
    <row r="25" spans="1:12" s="84" customFormat="1" ht="18" customHeight="1">
      <c r="A25" s="227"/>
      <c r="B25" s="244" t="s">
        <v>170</v>
      </c>
      <c r="C25" s="239" t="s">
        <v>177</v>
      </c>
      <c r="D25" s="239"/>
      <c r="E25" s="227" t="s">
        <v>166</v>
      </c>
      <c r="F25" s="227">
        <v>160</v>
      </c>
      <c r="G25" s="240"/>
      <c r="H25" s="240"/>
      <c r="I25" s="241"/>
      <c r="J25" s="241">
        <f>TRUNC(J24*1.6)</f>
        <v>6048640</v>
      </c>
      <c r="K25" s="241">
        <f>J25</f>
        <v>6048640</v>
      </c>
      <c r="L25" s="245"/>
    </row>
    <row r="26" spans="1:12" s="84" customFormat="1" ht="18" customHeight="1">
      <c r="A26" s="227"/>
      <c r="B26" s="244" t="s">
        <v>176</v>
      </c>
      <c r="C26" s="239" t="s">
        <v>177</v>
      </c>
      <c r="D26" s="239"/>
      <c r="E26" s="227" t="s">
        <v>166</v>
      </c>
      <c r="F26" s="227">
        <v>60</v>
      </c>
      <c r="G26" s="240"/>
      <c r="H26" s="240"/>
      <c r="I26" s="241"/>
      <c r="J26" s="241">
        <f>TRUNC(J24*0.6)</f>
        <v>2268240</v>
      </c>
      <c r="K26" s="241">
        <f>J26</f>
        <v>2268240</v>
      </c>
      <c r="L26" s="245"/>
    </row>
    <row r="27" spans="1:12" s="84" customFormat="1" ht="18" customHeight="1">
      <c r="A27" s="227"/>
      <c r="B27" s="244"/>
      <c r="C27" s="239"/>
      <c r="D27" s="239"/>
      <c r="E27" s="227"/>
      <c r="F27" s="227"/>
      <c r="G27" s="240"/>
      <c r="H27" s="240"/>
      <c r="I27" s="241"/>
      <c r="J27" s="241"/>
      <c r="K27" s="241"/>
      <c r="L27" s="245"/>
    </row>
    <row r="28" spans="1:12" s="84" customFormat="1" ht="18" customHeight="1">
      <c r="A28" s="227"/>
      <c r="B28" s="244"/>
      <c r="C28" s="239"/>
      <c r="D28" s="239"/>
      <c r="E28" s="227"/>
      <c r="F28" s="227"/>
      <c r="G28" s="240"/>
      <c r="H28" s="240"/>
      <c r="I28" s="241"/>
      <c r="J28" s="241"/>
      <c r="K28" s="241"/>
      <c r="L28" s="245"/>
    </row>
    <row r="29" spans="1:12" s="84" customFormat="1" ht="18" customHeight="1">
      <c r="A29" s="227"/>
      <c r="B29" s="244"/>
      <c r="C29" s="239"/>
      <c r="D29" s="239"/>
      <c r="E29" s="227"/>
      <c r="F29" s="227"/>
      <c r="G29" s="240"/>
      <c r="H29" s="240"/>
      <c r="I29" s="241"/>
      <c r="J29" s="241"/>
      <c r="K29" s="241"/>
      <c r="L29" s="245"/>
    </row>
    <row r="30" spans="1:12" s="233" customFormat="1" ht="18" customHeight="1">
      <c r="A30" s="233" t="s">
        <v>258</v>
      </c>
      <c r="F30" s="235"/>
      <c r="G30" s="236"/>
      <c r="H30" s="275"/>
      <c r="I30" s="275"/>
      <c r="J30" s="275"/>
      <c r="K30" s="276" t="s">
        <v>229</v>
      </c>
    </row>
    <row r="31" spans="1:12" s="84" customFormat="1" ht="18" customHeight="1">
      <c r="A31" s="383" t="s">
        <v>230</v>
      </c>
      <c r="B31" s="383" t="s">
        <v>231</v>
      </c>
      <c r="C31" s="383" t="s">
        <v>232</v>
      </c>
      <c r="D31" s="272"/>
      <c r="E31" s="383" t="s">
        <v>233</v>
      </c>
      <c r="F31" s="383" t="s">
        <v>234</v>
      </c>
      <c r="G31" s="385" t="s">
        <v>235</v>
      </c>
      <c r="H31" s="397"/>
      <c r="I31" s="385" t="s">
        <v>236</v>
      </c>
      <c r="J31" s="397"/>
      <c r="K31" s="383" t="s">
        <v>237</v>
      </c>
      <c r="L31" s="383" t="s">
        <v>238</v>
      </c>
    </row>
    <row r="32" spans="1:12" s="84" customFormat="1" ht="18" customHeight="1">
      <c r="A32" s="384"/>
      <c r="B32" s="384"/>
      <c r="C32" s="384"/>
      <c r="D32" s="273"/>
      <c r="E32" s="384"/>
      <c r="F32" s="384"/>
      <c r="G32" s="66" t="s">
        <v>82</v>
      </c>
      <c r="H32" s="66" t="s">
        <v>239</v>
      </c>
      <c r="I32" s="66" t="s">
        <v>240</v>
      </c>
      <c r="J32" s="66" t="s">
        <v>239</v>
      </c>
      <c r="K32" s="384"/>
      <c r="L32" s="384"/>
    </row>
    <row r="33" spans="1:12" s="84" customFormat="1" ht="18" customHeight="1">
      <c r="A33" s="243">
        <v>1</v>
      </c>
      <c r="B33" s="239" t="s">
        <v>241</v>
      </c>
      <c r="C33" s="239" t="s">
        <v>242</v>
      </c>
      <c r="D33" s="239" t="str">
        <f>B33&amp;C33</f>
        <v>용접봉KSE-4301(Ø2.6)</v>
      </c>
      <c r="E33" s="274" t="s">
        <v>243</v>
      </c>
      <c r="F33" s="274">
        <v>18.48</v>
      </c>
      <c r="G33" s="116">
        <f>VLOOKUP(D:D,적용!A:B,2,FALSE)</f>
        <v>2480</v>
      </c>
      <c r="H33" s="277">
        <f>INT(G33*F33)</f>
        <v>45830</v>
      </c>
      <c r="I33" s="277"/>
      <c r="J33" s="277"/>
      <c r="K33" s="277">
        <f t="shared" ref="K33:K39" si="2">H33+J33</f>
        <v>45830</v>
      </c>
      <c r="L33" s="242"/>
    </row>
    <row r="34" spans="1:12" s="84" customFormat="1" ht="18" customHeight="1">
      <c r="A34" s="243">
        <v>2</v>
      </c>
      <c r="B34" s="239" t="s">
        <v>244</v>
      </c>
      <c r="C34" s="239"/>
      <c r="D34" s="239" t="str">
        <f>B34&amp;C34</f>
        <v>산소</v>
      </c>
      <c r="E34" s="274" t="s">
        <v>245</v>
      </c>
      <c r="F34" s="274">
        <v>6300</v>
      </c>
      <c r="G34" s="116">
        <f>VLOOKUP(D:D,적용!A:B,2,FALSE)</f>
        <v>2</v>
      </c>
      <c r="H34" s="277">
        <f>INT(G34*F34)</f>
        <v>12600</v>
      </c>
      <c r="I34" s="277"/>
      <c r="J34" s="277"/>
      <c r="K34" s="277">
        <f t="shared" si="2"/>
        <v>12600</v>
      </c>
      <c r="L34" s="242"/>
    </row>
    <row r="35" spans="1:12" s="84" customFormat="1" ht="18" customHeight="1">
      <c r="A35" s="243">
        <v>3</v>
      </c>
      <c r="B35" s="239" t="s">
        <v>246</v>
      </c>
      <c r="C35" s="239"/>
      <c r="D35" s="239" t="str">
        <f>B35&amp;C35</f>
        <v>아세칠렌</v>
      </c>
      <c r="E35" s="274" t="s">
        <v>243</v>
      </c>
      <c r="F35" s="274">
        <v>2.8</v>
      </c>
      <c r="G35" s="116">
        <f>VLOOKUP(D:D,적용!A:B,2,FALSE)</f>
        <v>13000</v>
      </c>
      <c r="H35" s="277">
        <f>INT(G35*F35)</f>
        <v>36400</v>
      </c>
      <c r="I35" s="277"/>
      <c r="J35" s="277"/>
      <c r="K35" s="277">
        <f t="shared" si="2"/>
        <v>36400</v>
      </c>
      <c r="L35" s="242"/>
    </row>
    <row r="36" spans="1:12" s="84" customFormat="1" ht="18" customHeight="1">
      <c r="A36" s="243">
        <v>4</v>
      </c>
      <c r="B36" s="239" t="s">
        <v>247</v>
      </c>
      <c r="C36" s="239" t="s">
        <v>248</v>
      </c>
      <c r="D36" s="239" t="str">
        <f>C36</f>
        <v>철공</v>
      </c>
      <c r="E36" s="274" t="s">
        <v>79</v>
      </c>
      <c r="F36" s="274">
        <v>27.65</v>
      </c>
      <c r="G36" s="116"/>
      <c r="H36" s="277"/>
      <c r="I36" s="277">
        <f>VLOOKUP($D:$D,임율기준!$B:$F,5,FALSE)</f>
        <v>146509</v>
      </c>
      <c r="J36" s="277">
        <f>INT(I36*F36)</f>
        <v>4050973</v>
      </c>
      <c r="K36" s="277">
        <f t="shared" si="2"/>
        <v>4050973</v>
      </c>
      <c r="L36" s="245"/>
    </row>
    <row r="37" spans="1:12" s="84" customFormat="1" ht="18" customHeight="1">
      <c r="A37" s="243"/>
      <c r="B37" s="239"/>
      <c r="C37" s="239" t="s">
        <v>249</v>
      </c>
      <c r="D37" s="239" t="str">
        <f>C37</f>
        <v>보통인부</v>
      </c>
      <c r="E37" s="274" t="s">
        <v>79</v>
      </c>
      <c r="F37" s="274">
        <v>0.66</v>
      </c>
      <c r="G37" s="116"/>
      <c r="H37" s="277"/>
      <c r="I37" s="277">
        <f>VLOOKUP($D:$D,임율기준!$B:$F,5,FALSE)</f>
        <v>94338</v>
      </c>
      <c r="J37" s="277">
        <f>INT(I37*F37)</f>
        <v>62263</v>
      </c>
      <c r="K37" s="277">
        <f t="shared" si="2"/>
        <v>62263</v>
      </c>
      <c r="L37" s="242"/>
    </row>
    <row r="38" spans="1:12" s="84" customFormat="1" ht="18" customHeight="1">
      <c r="A38" s="243"/>
      <c r="B38" s="239"/>
      <c r="C38" s="239" t="s">
        <v>250</v>
      </c>
      <c r="D38" s="239" t="str">
        <f>C38</f>
        <v>용접공</v>
      </c>
      <c r="E38" s="274" t="s">
        <v>79</v>
      </c>
      <c r="F38" s="274">
        <v>2.6</v>
      </c>
      <c r="G38" s="116"/>
      <c r="H38" s="277"/>
      <c r="I38" s="277">
        <f>VLOOKUP($D:$D,임율기준!$B:$F,5,FALSE)</f>
        <v>143509</v>
      </c>
      <c r="J38" s="277">
        <f>INT(I38*F38)</f>
        <v>373123</v>
      </c>
      <c r="K38" s="277">
        <f t="shared" si="2"/>
        <v>373123</v>
      </c>
      <c r="L38" s="245"/>
    </row>
    <row r="39" spans="1:12" s="84" customFormat="1" ht="18" customHeight="1">
      <c r="A39" s="243"/>
      <c r="B39" s="239"/>
      <c r="C39" s="239" t="s">
        <v>251</v>
      </c>
      <c r="D39" s="239" t="str">
        <f>C39</f>
        <v>특별인부</v>
      </c>
      <c r="E39" s="274" t="s">
        <v>79</v>
      </c>
      <c r="F39" s="274">
        <v>0.74</v>
      </c>
      <c r="G39" s="116"/>
      <c r="H39" s="277"/>
      <c r="I39" s="277">
        <f>VLOOKUP($D:$D,임율기준!$B:$F,5,FALSE)</f>
        <v>115272</v>
      </c>
      <c r="J39" s="277">
        <f>INT(I39*F39)</f>
        <v>85301</v>
      </c>
      <c r="K39" s="277">
        <f t="shared" si="2"/>
        <v>85301</v>
      </c>
      <c r="L39" s="245"/>
    </row>
    <row r="40" spans="1:12" s="84" customFormat="1" ht="18" customHeight="1">
      <c r="A40" s="273"/>
      <c r="B40" s="239"/>
      <c r="C40" s="239"/>
      <c r="D40" s="239"/>
      <c r="E40" s="274"/>
      <c r="F40" s="274"/>
      <c r="G40" s="278"/>
      <c r="H40" s="279"/>
      <c r="I40" s="279"/>
      <c r="J40" s="277"/>
      <c r="K40" s="277"/>
      <c r="L40" s="239"/>
    </row>
    <row r="41" spans="1:12" s="84" customFormat="1" ht="18" customHeight="1">
      <c r="A41" s="243"/>
      <c r="B41" s="247" t="s">
        <v>252</v>
      </c>
      <c r="C41" s="239"/>
      <c r="D41" s="239"/>
      <c r="E41" s="239"/>
      <c r="F41" s="274"/>
      <c r="G41" s="240"/>
      <c r="H41" s="280">
        <f>SUM(H33:H40)</f>
        <v>94830</v>
      </c>
      <c r="I41" s="277"/>
      <c r="J41" s="280">
        <f>SUM(J33:J40)</f>
        <v>4571660</v>
      </c>
      <c r="K41" s="280">
        <f>SUM(K33:K40)</f>
        <v>4666490</v>
      </c>
      <c r="L41" s="281"/>
    </row>
    <row r="42" spans="1:12" s="84" customFormat="1" ht="18" customHeight="1">
      <c r="A42" s="243"/>
      <c r="B42" s="239"/>
      <c r="C42" s="239"/>
      <c r="D42" s="239"/>
      <c r="E42" s="239"/>
      <c r="F42" s="274"/>
      <c r="G42" s="240"/>
      <c r="H42" s="280"/>
      <c r="I42" s="280"/>
      <c r="J42" s="280"/>
      <c r="K42" s="280"/>
      <c r="L42" s="281"/>
    </row>
    <row r="43" spans="1:12" s="84" customFormat="1" ht="18" customHeight="1">
      <c r="A43" s="243"/>
      <c r="B43" s="239"/>
      <c r="C43" s="239"/>
      <c r="D43" s="239"/>
      <c r="E43" s="239"/>
      <c r="F43" s="274"/>
      <c r="G43" s="240"/>
      <c r="H43" s="280"/>
      <c r="I43" s="280"/>
      <c r="J43" s="280"/>
      <c r="K43" s="280"/>
      <c r="L43" s="281"/>
    </row>
    <row r="44" spans="1:12" s="84" customFormat="1" ht="18" customHeight="1">
      <c r="A44" s="243"/>
      <c r="B44" s="239"/>
      <c r="C44" s="239"/>
      <c r="D44" s="239"/>
      <c r="E44" s="239"/>
      <c r="F44" s="274"/>
      <c r="G44" s="240"/>
      <c r="H44" s="280"/>
      <c r="I44" s="280"/>
      <c r="J44" s="280"/>
      <c r="K44" s="280"/>
      <c r="L44" s="281"/>
    </row>
    <row r="45" spans="1:12" s="84" customFormat="1" ht="18" customHeight="1">
      <c r="A45" s="243"/>
      <c r="B45" s="239"/>
      <c r="C45" s="239"/>
      <c r="D45" s="239"/>
      <c r="E45" s="274"/>
      <c r="F45" s="274"/>
      <c r="G45" s="116"/>
      <c r="H45" s="280"/>
      <c r="I45" s="280"/>
      <c r="J45" s="280"/>
      <c r="K45" s="282"/>
      <c r="L45" s="245"/>
    </row>
    <row r="46" spans="1:12" s="84" customFormat="1" ht="18" customHeight="1">
      <c r="A46" s="243"/>
      <c r="B46" s="239"/>
      <c r="C46" s="239"/>
      <c r="D46" s="239"/>
      <c r="E46" s="239"/>
      <c r="F46" s="274"/>
      <c r="G46" s="240"/>
      <c r="H46" s="280"/>
      <c r="I46" s="280"/>
      <c r="J46" s="280"/>
      <c r="K46" s="280"/>
      <c r="L46" s="245"/>
    </row>
    <row r="47" spans="1:12" s="84" customFormat="1" ht="18" customHeight="1">
      <c r="A47" s="243"/>
      <c r="B47" s="239"/>
      <c r="C47" s="239"/>
      <c r="D47" s="239"/>
      <c r="E47" s="239"/>
      <c r="F47" s="274"/>
      <c r="G47" s="240"/>
      <c r="H47" s="280"/>
      <c r="I47" s="280"/>
      <c r="J47" s="280"/>
      <c r="K47" s="280"/>
      <c r="L47" s="245"/>
    </row>
    <row r="48" spans="1:12" s="84" customFormat="1" ht="18" customHeight="1">
      <c r="A48" s="243"/>
      <c r="B48" s="239"/>
      <c r="C48" s="239"/>
      <c r="D48" s="239"/>
      <c r="E48" s="239"/>
      <c r="F48" s="274"/>
      <c r="G48" s="240"/>
      <c r="H48" s="280"/>
      <c r="I48" s="280"/>
      <c r="J48" s="280"/>
      <c r="K48" s="280"/>
      <c r="L48" s="245"/>
    </row>
    <row r="49" spans="1:12" s="84" customFormat="1" ht="18" customHeight="1">
      <c r="A49" s="243"/>
      <c r="B49" s="239"/>
      <c r="C49" s="239"/>
      <c r="D49" s="239"/>
      <c r="E49" s="239"/>
      <c r="F49" s="274"/>
      <c r="G49" s="240"/>
      <c r="H49" s="280"/>
      <c r="I49" s="280"/>
      <c r="J49" s="280"/>
      <c r="K49" s="280"/>
      <c r="L49" s="245"/>
    </row>
    <row r="50" spans="1:12" s="84" customFormat="1" ht="18" customHeight="1">
      <c r="A50" s="243"/>
      <c r="B50" s="239"/>
      <c r="C50" s="239"/>
      <c r="D50" s="239"/>
      <c r="E50" s="239"/>
      <c r="F50" s="274"/>
      <c r="G50" s="240"/>
      <c r="H50" s="280"/>
      <c r="I50" s="280"/>
      <c r="J50" s="280"/>
      <c r="K50" s="280"/>
      <c r="L50" s="245"/>
    </row>
    <row r="51" spans="1:12" s="84" customFormat="1" ht="18" customHeight="1">
      <c r="A51" s="243"/>
      <c r="B51" s="283" t="s">
        <v>253</v>
      </c>
      <c r="C51" s="265" t="s">
        <v>254</v>
      </c>
      <c r="D51" s="265"/>
      <c r="E51" s="266" t="s">
        <v>255</v>
      </c>
      <c r="F51" s="266">
        <v>100</v>
      </c>
      <c r="G51" s="284">
        <f>H41</f>
        <v>94830</v>
      </c>
      <c r="H51" s="285">
        <f>TRUNC(H41*100%)</f>
        <v>94830</v>
      </c>
      <c r="I51" s="285">
        <f>J41</f>
        <v>4571660</v>
      </c>
      <c r="J51" s="285">
        <f>TRUNC(J41*100%)</f>
        <v>4571660</v>
      </c>
      <c r="K51" s="285">
        <f>H51+J51</f>
        <v>4666490</v>
      </c>
      <c r="L51" s="281"/>
    </row>
    <row r="52" spans="1:12" s="84" customFormat="1" ht="18" customHeight="1">
      <c r="A52" s="243"/>
      <c r="B52" s="265"/>
      <c r="C52" s="265" t="s">
        <v>256</v>
      </c>
      <c r="D52" s="265"/>
      <c r="E52" s="266" t="s">
        <v>255</v>
      </c>
      <c r="F52" s="266">
        <v>120</v>
      </c>
      <c r="G52" s="284">
        <f>H41</f>
        <v>94830</v>
      </c>
      <c r="H52" s="285">
        <f>TRUNC(H41*120%)</f>
        <v>113796</v>
      </c>
      <c r="I52" s="285">
        <f>J41</f>
        <v>4571660</v>
      </c>
      <c r="J52" s="285">
        <f>TRUNC(J41*120%)</f>
        <v>5485992</v>
      </c>
      <c r="K52" s="285">
        <f>H52+J52</f>
        <v>5599788</v>
      </c>
      <c r="L52" s="100"/>
    </row>
    <row r="53" spans="1:12" s="84" customFormat="1" ht="18" customHeight="1">
      <c r="A53" s="243"/>
      <c r="B53" s="265"/>
      <c r="C53" s="265" t="s">
        <v>257</v>
      </c>
      <c r="D53" s="265"/>
      <c r="E53" s="266" t="s">
        <v>255</v>
      </c>
      <c r="F53" s="266">
        <v>140</v>
      </c>
      <c r="G53" s="284">
        <f>H41</f>
        <v>94830</v>
      </c>
      <c r="H53" s="285">
        <f>TRUNC(H41*140%)</f>
        <v>132762</v>
      </c>
      <c r="I53" s="285">
        <f>J41</f>
        <v>4571660</v>
      </c>
      <c r="J53" s="285">
        <f>TRUNC(J41*140%)</f>
        <v>6400324</v>
      </c>
      <c r="K53" s="285">
        <f>H53+J53</f>
        <v>6533086</v>
      </c>
      <c r="L53" s="100"/>
    </row>
    <row r="54" spans="1:12" s="84" customFormat="1" ht="18" customHeight="1">
      <c r="A54" s="243"/>
      <c r="B54" s="239"/>
      <c r="C54" s="239"/>
      <c r="D54" s="239"/>
      <c r="E54" s="239"/>
      <c r="F54" s="274"/>
      <c r="G54" s="240"/>
      <c r="H54" s="280"/>
      <c r="I54" s="280"/>
      <c r="J54" s="280"/>
      <c r="K54" s="280"/>
      <c r="L54" s="245"/>
    </row>
    <row r="55" spans="1:12" s="84" customFormat="1" ht="18" customHeight="1">
      <c r="A55" s="243"/>
      <c r="B55" s="239"/>
      <c r="C55" s="239"/>
      <c r="D55" s="239"/>
      <c r="E55" s="239"/>
      <c r="F55" s="274"/>
      <c r="G55" s="240"/>
      <c r="H55" s="280"/>
      <c r="I55" s="280"/>
      <c r="J55" s="280"/>
      <c r="K55" s="280"/>
      <c r="L55" s="245"/>
    </row>
    <row r="56" spans="1:12" s="84" customFormat="1" ht="18" customHeight="1">
      <c r="A56" s="243"/>
      <c r="B56" s="239"/>
      <c r="C56" s="239"/>
      <c r="D56" s="239"/>
      <c r="E56" s="274"/>
      <c r="F56" s="274"/>
      <c r="G56" s="116"/>
      <c r="H56" s="277"/>
      <c r="I56" s="277"/>
      <c r="J56" s="277"/>
      <c r="K56" s="277"/>
      <c r="L56" s="245"/>
    </row>
    <row r="57" spans="1:12" s="84" customFormat="1" ht="18" customHeight="1">
      <c r="A57" s="243"/>
      <c r="B57" s="239"/>
      <c r="C57" s="239"/>
      <c r="D57" s="239"/>
      <c r="E57" s="274"/>
      <c r="F57" s="274"/>
      <c r="G57" s="116"/>
      <c r="H57" s="277"/>
      <c r="I57" s="277"/>
      <c r="J57" s="277"/>
      <c r="K57" s="277"/>
      <c r="L57" s="239"/>
    </row>
    <row r="58" spans="1:12" s="84" customFormat="1" ht="18" customHeight="1">
      <c r="A58" s="243"/>
      <c r="B58" s="247"/>
      <c r="C58" s="239"/>
      <c r="D58" s="239"/>
      <c r="E58" s="239"/>
      <c r="F58" s="274"/>
      <c r="G58" s="240"/>
      <c r="H58" s="280"/>
      <c r="I58" s="277"/>
      <c r="J58" s="280"/>
      <c r="K58" s="280"/>
      <c r="L58" s="281"/>
    </row>
    <row r="59" spans="1:12" s="233" customFormat="1" ht="18" customHeight="1">
      <c r="A59" s="286" t="s">
        <v>259</v>
      </c>
      <c r="F59" s="235"/>
      <c r="G59" s="236"/>
      <c r="H59" s="275"/>
      <c r="I59" s="275"/>
      <c r="J59" s="275"/>
      <c r="K59" s="276" t="s">
        <v>260</v>
      </c>
    </row>
    <row r="60" spans="1:12" s="84" customFormat="1" ht="18" customHeight="1">
      <c r="A60" s="383" t="s">
        <v>230</v>
      </c>
      <c r="B60" s="383" t="s">
        <v>231</v>
      </c>
      <c r="C60" s="383" t="s">
        <v>232</v>
      </c>
      <c r="D60" s="272"/>
      <c r="E60" s="383" t="s">
        <v>233</v>
      </c>
      <c r="F60" s="383" t="s">
        <v>234</v>
      </c>
      <c r="G60" s="385" t="s">
        <v>261</v>
      </c>
      <c r="H60" s="397"/>
      <c r="I60" s="385" t="s">
        <v>262</v>
      </c>
      <c r="J60" s="397"/>
      <c r="K60" s="383" t="s">
        <v>263</v>
      </c>
      <c r="L60" s="383" t="s">
        <v>264</v>
      </c>
    </row>
    <row r="61" spans="1:12" s="84" customFormat="1" ht="18" customHeight="1">
      <c r="A61" s="384"/>
      <c r="B61" s="384"/>
      <c r="C61" s="384"/>
      <c r="D61" s="273"/>
      <c r="E61" s="384"/>
      <c r="F61" s="384"/>
      <c r="G61" s="66" t="s">
        <v>82</v>
      </c>
      <c r="H61" s="66" t="s">
        <v>265</v>
      </c>
      <c r="I61" s="66" t="s">
        <v>266</v>
      </c>
      <c r="J61" s="66" t="s">
        <v>265</v>
      </c>
      <c r="K61" s="384"/>
      <c r="L61" s="384"/>
    </row>
    <row r="62" spans="1:12" s="84" customFormat="1" ht="18" customHeight="1">
      <c r="A62" s="243">
        <v>1</v>
      </c>
      <c r="B62" s="239" t="s">
        <v>267</v>
      </c>
      <c r="C62" s="239"/>
      <c r="D62" s="239" t="str">
        <f>B62&amp;C62</f>
        <v>녹막이 페인트</v>
      </c>
      <c r="E62" s="274" t="s">
        <v>245</v>
      </c>
      <c r="F62" s="274">
        <v>0.161</v>
      </c>
      <c r="G62" s="116">
        <f>VLOOKUP(D:D,적용!A:B,2,FALSE)</f>
        <v>17422</v>
      </c>
      <c r="H62" s="277">
        <f>TRUNC(G62*F62)</f>
        <v>2804</v>
      </c>
      <c r="I62" s="277"/>
      <c r="J62" s="277"/>
      <c r="K62" s="277">
        <f>H62+J62</f>
        <v>2804</v>
      </c>
      <c r="L62" s="242"/>
    </row>
    <row r="63" spans="1:12" s="84" customFormat="1" ht="18" customHeight="1">
      <c r="A63" s="287">
        <v>2</v>
      </c>
      <c r="B63" s="239" t="s">
        <v>268</v>
      </c>
      <c r="C63" s="239"/>
      <c r="D63" s="239" t="str">
        <f>B63&amp;C63</f>
        <v>신너</v>
      </c>
      <c r="E63" s="274" t="s">
        <v>245</v>
      </c>
      <c r="F63" s="274">
        <v>8.0000000000000002E-3</v>
      </c>
      <c r="G63" s="116">
        <f>VLOOKUP(D:D,적용!A:B,2,FALSE)</f>
        <v>2711</v>
      </c>
      <c r="H63" s="277">
        <f>TRUNC(G63*F63)</f>
        <v>21</v>
      </c>
      <c r="I63" s="277"/>
      <c r="J63" s="277"/>
      <c r="K63" s="277">
        <f>H63+J63</f>
        <v>21</v>
      </c>
      <c r="L63" s="242"/>
    </row>
    <row r="64" spans="1:12" s="84" customFormat="1" ht="18" customHeight="1">
      <c r="A64" s="287">
        <v>3</v>
      </c>
      <c r="B64" s="239" t="s">
        <v>269</v>
      </c>
      <c r="C64" s="239"/>
      <c r="D64" s="239" t="str">
        <f>B64&amp;C64</f>
        <v>잡재료비</v>
      </c>
      <c r="E64" s="274" t="s">
        <v>255</v>
      </c>
      <c r="F64" s="274">
        <v>3</v>
      </c>
      <c r="G64" s="116">
        <f>SUM(H62:H63)</f>
        <v>2825</v>
      </c>
      <c r="H64" s="277">
        <f>TRUNC(G64*F64%)</f>
        <v>84</v>
      </c>
      <c r="I64" s="277"/>
      <c r="J64" s="277"/>
      <c r="K64" s="277">
        <f>H64+J64</f>
        <v>84</v>
      </c>
      <c r="L64" s="242"/>
    </row>
    <row r="65" spans="1:12" s="84" customFormat="1" ht="18" customHeight="1">
      <c r="A65" s="287">
        <v>4</v>
      </c>
      <c r="B65" s="239" t="s">
        <v>270</v>
      </c>
      <c r="C65" s="239" t="s">
        <v>271</v>
      </c>
      <c r="D65" s="239" t="str">
        <f>C65</f>
        <v>도장공</v>
      </c>
      <c r="E65" s="274" t="s">
        <v>79</v>
      </c>
      <c r="F65" s="274">
        <v>1.4999999999999999E-2</v>
      </c>
      <c r="G65" s="116"/>
      <c r="H65" s="277"/>
      <c r="I65" s="277">
        <f>VLOOKUP($D:$D,임율기준!$B:$F,5,FALSE)</f>
        <v>132552</v>
      </c>
      <c r="J65" s="277">
        <f>TRUNC(I65*F65)</f>
        <v>1988</v>
      </c>
      <c r="K65" s="277">
        <f>H65+J65</f>
        <v>1988</v>
      </c>
      <c r="L65" s="245"/>
    </row>
    <row r="66" spans="1:12" s="84" customFormat="1" ht="18" customHeight="1">
      <c r="A66" s="287">
        <v>5</v>
      </c>
      <c r="B66" s="239" t="s">
        <v>272</v>
      </c>
      <c r="C66" s="239" t="s">
        <v>273</v>
      </c>
      <c r="D66" s="239" t="str">
        <f>C66</f>
        <v>보통인부</v>
      </c>
      <c r="E66" s="274" t="s">
        <v>79</v>
      </c>
      <c r="F66" s="274">
        <v>3.0000000000000001E-3</v>
      </c>
      <c r="G66" s="116"/>
      <c r="H66" s="277"/>
      <c r="I66" s="277">
        <f>VLOOKUP($D:$D,임율기준!$B:$F,5,FALSE)</f>
        <v>94338</v>
      </c>
      <c r="J66" s="277">
        <f>TRUNC(I66*F66)</f>
        <v>283</v>
      </c>
      <c r="K66" s="277">
        <f>H66+J66</f>
        <v>283</v>
      </c>
      <c r="L66" s="242"/>
    </row>
    <row r="67" spans="1:12" s="84" customFormat="1" ht="18" customHeight="1">
      <c r="A67" s="287"/>
      <c r="B67" s="239"/>
      <c r="C67" s="239"/>
      <c r="D67" s="239"/>
      <c r="E67" s="274"/>
      <c r="F67" s="274"/>
      <c r="G67" s="116"/>
      <c r="H67" s="280"/>
      <c r="I67" s="280"/>
      <c r="J67" s="280"/>
      <c r="K67" s="282"/>
      <c r="L67" s="245"/>
    </row>
    <row r="68" spans="1:12" s="84" customFormat="1" ht="18" customHeight="1">
      <c r="A68" s="287"/>
      <c r="B68" s="239"/>
      <c r="C68" s="239"/>
      <c r="D68" s="239"/>
      <c r="E68" s="274"/>
      <c r="F68" s="274"/>
      <c r="G68" s="116"/>
      <c r="H68" s="282"/>
      <c r="I68" s="282"/>
      <c r="J68" s="282"/>
      <c r="K68" s="282"/>
      <c r="L68" s="245"/>
    </row>
    <row r="69" spans="1:12" s="84" customFormat="1" ht="18" customHeight="1">
      <c r="A69" s="287"/>
      <c r="B69" s="239"/>
      <c r="C69" s="239"/>
      <c r="D69" s="239"/>
      <c r="E69" s="274"/>
      <c r="F69" s="274"/>
      <c r="G69" s="116"/>
      <c r="H69" s="282"/>
      <c r="I69" s="282"/>
      <c r="J69" s="282"/>
      <c r="K69" s="282"/>
      <c r="L69" s="281"/>
    </row>
    <row r="70" spans="1:12" s="84" customFormat="1" ht="18" customHeight="1">
      <c r="A70" s="287"/>
      <c r="B70" s="239"/>
      <c r="C70" s="239"/>
      <c r="D70" s="239"/>
      <c r="E70" s="274"/>
      <c r="F70" s="274"/>
      <c r="G70" s="116"/>
      <c r="H70" s="282"/>
      <c r="I70" s="282"/>
      <c r="J70" s="282"/>
      <c r="K70" s="282"/>
      <c r="L70" s="281"/>
    </row>
    <row r="71" spans="1:12" s="84" customFormat="1" ht="18" customHeight="1">
      <c r="A71" s="287"/>
      <c r="B71" s="239"/>
      <c r="C71" s="239"/>
      <c r="D71" s="239"/>
      <c r="E71" s="274"/>
      <c r="F71" s="274"/>
      <c r="G71" s="116"/>
      <c r="H71" s="277"/>
      <c r="I71" s="277"/>
      <c r="J71" s="277"/>
      <c r="K71" s="277"/>
      <c r="L71" s="100"/>
    </row>
    <row r="72" spans="1:12" s="84" customFormat="1" ht="18" customHeight="1">
      <c r="A72" s="287"/>
      <c r="B72" s="239"/>
      <c r="C72" s="239"/>
      <c r="D72" s="239"/>
      <c r="E72" s="274"/>
      <c r="F72" s="274"/>
      <c r="G72" s="116"/>
      <c r="H72" s="282"/>
      <c r="I72" s="282"/>
      <c r="J72" s="282"/>
      <c r="K72" s="282"/>
      <c r="L72" s="100"/>
    </row>
    <row r="73" spans="1:12" s="84" customFormat="1" ht="18" customHeight="1">
      <c r="A73" s="243"/>
      <c r="B73" s="239"/>
      <c r="C73" s="239"/>
      <c r="D73" s="239"/>
      <c r="E73" s="239"/>
      <c r="F73" s="274"/>
      <c r="G73" s="116"/>
      <c r="H73" s="282"/>
      <c r="I73" s="282"/>
      <c r="J73" s="282"/>
      <c r="K73" s="282"/>
      <c r="L73" s="245"/>
    </row>
    <row r="74" spans="1:12" s="84" customFormat="1" ht="18" customHeight="1">
      <c r="A74" s="243"/>
      <c r="B74" s="239"/>
      <c r="C74" s="239"/>
      <c r="D74" s="239"/>
      <c r="E74" s="239"/>
      <c r="F74" s="274"/>
      <c r="G74" s="116"/>
      <c r="H74" s="282"/>
      <c r="I74" s="282"/>
      <c r="J74" s="282"/>
      <c r="K74" s="282"/>
      <c r="L74" s="245"/>
    </row>
    <row r="75" spans="1:12" s="84" customFormat="1" ht="18" customHeight="1">
      <c r="A75" s="243"/>
      <c r="B75" s="239"/>
      <c r="C75" s="239"/>
      <c r="D75" s="239"/>
      <c r="E75" s="239"/>
      <c r="F75" s="274"/>
      <c r="G75" s="116"/>
      <c r="H75" s="282"/>
      <c r="I75" s="282"/>
      <c r="J75" s="282"/>
      <c r="K75" s="282"/>
      <c r="L75" s="245"/>
    </row>
    <row r="76" spans="1:12" s="84" customFormat="1" ht="18" customHeight="1">
      <c r="A76" s="243"/>
      <c r="B76" s="239"/>
      <c r="C76" s="239"/>
      <c r="D76" s="239"/>
      <c r="E76" s="239"/>
      <c r="F76" s="274"/>
      <c r="G76" s="116"/>
      <c r="H76" s="282"/>
      <c r="I76" s="282"/>
      <c r="J76" s="282"/>
      <c r="K76" s="282"/>
      <c r="L76" s="245"/>
    </row>
    <row r="77" spans="1:12" s="84" customFormat="1" ht="18" customHeight="1">
      <c r="A77" s="243"/>
      <c r="B77" s="239"/>
      <c r="C77" s="239"/>
      <c r="D77" s="239"/>
      <c r="E77" s="239"/>
      <c r="F77" s="274"/>
      <c r="G77" s="116"/>
      <c r="H77" s="282"/>
      <c r="I77" s="282"/>
      <c r="J77" s="282"/>
      <c r="K77" s="282"/>
      <c r="L77" s="245"/>
    </row>
    <row r="78" spans="1:12" s="84" customFormat="1" ht="18" customHeight="1">
      <c r="A78" s="243"/>
      <c r="B78" s="239"/>
      <c r="C78" s="239"/>
      <c r="D78" s="239"/>
      <c r="E78" s="239"/>
      <c r="F78" s="274"/>
      <c r="G78" s="116"/>
      <c r="H78" s="282"/>
      <c r="I78" s="282"/>
      <c r="J78" s="282"/>
      <c r="K78" s="282"/>
      <c r="L78" s="245"/>
    </row>
    <row r="79" spans="1:12" s="84" customFormat="1" ht="18" customHeight="1">
      <c r="A79" s="243"/>
      <c r="B79" s="239"/>
      <c r="C79" s="239"/>
      <c r="D79" s="239"/>
      <c r="E79" s="239"/>
      <c r="F79" s="274"/>
      <c r="G79" s="116"/>
      <c r="H79" s="282"/>
      <c r="I79" s="282"/>
      <c r="J79" s="282"/>
      <c r="K79" s="282"/>
      <c r="L79" s="245"/>
    </row>
    <row r="80" spans="1:12" s="84" customFormat="1" ht="18" customHeight="1">
      <c r="A80" s="243"/>
      <c r="B80" s="239"/>
      <c r="C80" s="239"/>
      <c r="D80" s="239"/>
      <c r="E80" s="239"/>
      <c r="F80" s="274"/>
      <c r="G80" s="116"/>
      <c r="H80" s="282"/>
      <c r="I80" s="282"/>
      <c r="J80" s="282"/>
      <c r="K80" s="282"/>
      <c r="L80" s="245"/>
    </row>
    <row r="81" spans="1:12" s="84" customFormat="1" ht="18" customHeight="1">
      <c r="A81" s="243"/>
      <c r="B81" s="239"/>
      <c r="C81" s="239"/>
      <c r="D81" s="239"/>
      <c r="E81" s="239"/>
      <c r="F81" s="274"/>
      <c r="G81" s="116"/>
      <c r="H81" s="282"/>
      <c r="I81" s="282"/>
      <c r="J81" s="282"/>
      <c r="K81" s="282"/>
      <c r="L81" s="245"/>
    </row>
    <row r="82" spans="1:12" s="84" customFormat="1" ht="18" customHeight="1">
      <c r="A82" s="243"/>
      <c r="B82" s="239"/>
      <c r="C82" s="239"/>
      <c r="D82" s="239"/>
      <c r="E82" s="239"/>
      <c r="F82" s="274"/>
      <c r="G82" s="116"/>
      <c r="H82" s="282"/>
      <c r="I82" s="282"/>
      <c r="J82" s="282"/>
      <c r="K82" s="282"/>
      <c r="L82" s="245"/>
    </row>
    <row r="83" spans="1:12" s="84" customFormat="1" ht="18" customHeight="1">
      <c r="A83" s="243"/>
      <c r="B83" s="239"/>
      <c r="C83" s="239"/>
      <c r="D83" s="239"/>
      <c r="E83" s="239"/>
      <c r="F83" s="274"/>
      <c r="G83" s="116"/>
      <c r="H83" s="282"/>
      <c r="I83" s="282"/>
      <c r="J83" s="282"/>
      <c r="K83" s="282"/>
      <c r="L83" s="245"/>
    </row>
    <row r="84" spans="1:12" s="84" customFormat="1" ht="18" customHeight="1">
      <c r="A84" s="243"/>
      <c r="B84" s="239"/>
      <c r="C84" s="239"/>
      <c r="D84" s="239"/>
      <c r="E84" s="239"/>
      <c r="F84" s="274"/>
      <c r="G84" s="116"/>
      <c r="H84" s="282"/>
      <c r="I84" s="282"/>
      <c r="J84" s="282"/>
      <c r="K84" s="282"/>
      <c r="L84" s="245"/>
    </row>
    <row r="85" spans="1:12" s="84" customFormat="1" ht="18" customHeight="1">
      <c r="A85" s="243"/>
      <c r="B85" s="239"/>
      <c r="C85" s="239"/>
      <c r="D85" s="239"/>
      <c r="E85" s="239"/>
      <c r="F85" s="274"/>
      <c r="G85" s="116"/>
      <c r="H85" s="282"/>
      <c r="I85" s="282"/>
      <c r="J85" s="282"/>
      <c r="K85" s="282"/>
      <c r="L85" s="245"/>
    </row>
    <row r="86" spans="1:12" s="84" customFormat="1" ht="18" customHeight="1">
      <c r="A86" s="243"/>
      <c r="B86" s="239"/>
      <c r="C86" s="239"/>
      <c r="D86" s="239"/>
      <c r="E86" s="239"/>
      <c r="F86" s="274"/>
      <c r="G86" s="116"/>
      <c r="H86" s="282"/>
      <c r="I86" s="282"/>
      <c r="J86" s="282"/>
      <c r="K86" s="282"/>
      <c r="L86" s="288"/>
    </row>
    <row r="87" spans="1:12" s="84" customFormat="1" ht="18" customHeight="1">
      <c r="A87" s="243"/>
      <c r="B87" s="247" t="s">
        <v>92</v>
      </c>
      <c r="C87" s="289"/>
      <c r="D87" s="289"/>
      <c r="E87" s="239"/>
      <c r="F87" s="274"/>
      <c r="G87" s="116"/>
      <c r="H87" s="282">
        <f>SUM(H62:H86)</f>
        <v>2909</v>
      </c>
      <c r="I87" s="282"/>
      <c r="J87" s="282">
        <f>SUM(J62:J86)</f>
        <v>2271</v>
      </c>
      <c r="K87" s="282">
        <f>SUM(K62:K86)</f>
        <v>5180</v>
      </c>
      <c r="L87" s="288"/>
    </row>
    <row r="88" spans="1:12" s="233" customFormat="1" ht="18" customHeight="1">
      <c r="A88" s="233" t="s">
        <v>274</v>
      </c>
      <c r="F88" s="235"/>
      <c r="G88" s="236"/>
      <c r="H88" s="275"/>
      <c r="I88" s="275"/>
      <c r="J88" s="275"/>
      <c r="K88" s="276" t="s">
        <v>260</v>
      </c>
    </row>
    <row r="89" spans="1:12" s="84" customFormat="1" ht="18" customHeight="1">
      <c r="A89" s="383" t="s">
        <v>230</v>
      </c>
      <c r="B89" s="383" t="s">
        <v>231</v>
      </c>
      <c r="C89" s="383" t="s">
        <v>232</v>
      </c>
      <c r="D89" s="272"/>
      <c r="E89" s="383" t="s">
        <v>233</v>
      </c>
      <c r="F89" s="383" t="s">
        <v>234</v>
      </c>
      <c r="G89" s="385" t="s">
        <v>261</v>
      </c>
      <c r="H89" s="397"/>
      <c r="I89" s="385" t="s">
        <v>262</v>
      </c>
      <c r="J89" s="397"/>
      <c r="K89" s="383" t="s">
        <v>263</v>
      </c>
      <c r="L89" s="383" t="s">
        <v>264</v>
      </c>
    </row>
    <row r="90" spans="1:12" s="84" customFormat="1" ht="18" customHeight="1">
      <c r="A90" s="384"/>
      <c r="B90" s="384"/>
      <c r="C90" s="384"/>
      <c r="D90" s="273"/>
      <c r="E90" s="384"/>
      <c r="F90" s="384"/>
      <c r="G90" s="66" t="s">
        <v>82</v>
      </c>
      <c r="H90" s="66" t="s">
        <v>265</v>
      </c>
      <c r="I90" s="66" t="s">
        <v>266</v>
      </c>
      <c r="J90" s="66" t="s">
        <v>265</v>
      </c>
      <c r="K90" s="384"/>
      <c r="L90" s="384"/>
    </row>
    <row r="91" spans="1:12" s="84" customFormat="1" ht="18" customHeight="1">
      <c r="A91" s="243">
        <v>1</v>
      </c>
      <c r="B91" s="239" t="s">
        <v>275</v>
      </c>
      <c r="C91" s="239"/>
      <c r="D91" s="239" t="str">
        <f>B91&amp;C91</f>
        <v>조합 페인트</v>
      </c>
      <c r="E91" s="274" t="s">
        <v>245</v>
      </c>
      <c r="F91" s="274">
        <v>0.16600000000000001</v>
      </c>
      <c r="G91" s="116">
        <f>VLOOKUP(D:D,적용!A:B,2,FALSE)</f>
        <v>4828</v>
      </c>
      <c r="H91" s="277">
        <f>INT(G91*F91)</f>
        <v>801</v>
      </c>
      <c r="I91" s="277"/>
      <c r="J91" s="277"/>
      <c r="K91" s="277">
        <f>H91+J91</f>
        <v>801</v>
      </c>
      <c r="L91" s="242"/>
    </row>
    <row r="92" spans="1:12" s="84" customFormat="1" ht="18" customHeight="1">
      <c r="A92" s="287">
        <v>2</v>
      </c>
      <c r="B92" s="239" t="s">
        <v>268</v>
      </c>
      <c r="C92" s="239"/>
      <c r="D92" s="239" t="str">
        <f>B92&amp;C92</f>
        <v>신너</v>
      </c>
      <c r="E92" s="274" t="s">
        <v>245</v>
      </c>
      <c r="F92" s="274">
        <v>8.0000000000000002E-3</v>
      </c>
      <c r="G92" s="116">
        <f>VLOOKUP(D:D,적용!A:B,2,FALSE)</f>
        <v>2711</v>
      </c>
      <c r="H92" s="277">
        <f>INT(G92*F92)</f>
        <v>21</v>
      </c>
      <c r="I92" s="277"/>
      <c r="J92" s="277"/>
      <c r="K92" s="277">
        <f>H92+J92</f>
        <v>21</v>
      </c>
      <c r="L92" s="242"/>
    </row>
    <row r="93" spans="1:12" s="84" customFormat="1" ht="18" customHeight="1">
      <c r="A93" s="287">
        <v>3</v>
      </c>
      <c r="B93" s="239" t="s">
        <v>269</v>
      </c>
      <c r="C93" s="239"/>
      <c r="D93" s="239" t="str">
        <f>B93&amp;C93</f>
        <v>잡재료비</v>
      </c>
      <c r="E93" s="274" t="s">
        <v>255</v>
      </c>
      <c r="F93" s="274">
        <v>3</v>
      </c>
      <c r="G93" s="116">
        <f>SUM(H91:H92)</f>
        <v>822</v>
      </c>
      <c r="H93" s="277">
        <f>INT(G93*F93%)</f>
        <v>24</v>
      </c>
      <c r="I93" s="277"/>
      <c r="J93" s="277"/>
      <c r="K93" s="277">
        <f>H93+J93</f>
        <v>24</v>
      </c>
      <c r="L93" s="242"/>
    </row>
    <row r="94" spans="1:12" s="84" customFormat="1" ht="18" customHeight="1">
      <c r="A94" s="287">
        <v>4</v>
      </c>
      <c r="B94" s="239" t="s">
        <v>272</v>
      </c>
      <c r="C94" s="239" t="s">
        <v>271</v>
      </c>
      <c r="D94" s="239" t="str">
        <f>C94</f>
        <v>도장공</v>
      </c>
      <c r="E94" s="274" t="s">
        <v>79</v>
      </c>
      <c r="F94" s="274">
        <v>0.02</v>
      </c>
      <c r="G94" s="116"/>
      <c r="H94" s="277"/>
      <c r="I94" s="277">
        <f>VLOOKUP($D:$D,임율기준!$B:$F,5,FALSE)</f>
        <v>132552</v>
      </c>
      <c r="J94" s="277">
        <f>INT(I94*F94)</f>
        <v>2651</v>
      </c>
      <c r="K94" s="277">
        <f>H94+J94</f>
        <v>2651</v>
      </c>
      <c r="L94" s="245"/>
    </row>
    <row r="95" spans="1:12" s="84" customFormat="1" ht="18" customHeight="1">
      <c r="A95" s="287">
        <v>5</v>
      </c>
      <c r="B95" s="239" t="s">
        <v>272</v>
      </c>
      <c r="C95" s="239" t="s">
        <v>273</v>
      </c>
      <c r="D95" s="239" t="str">
        <f>C95</f>
        <v>보통인부</v>
      </c>
      <c r="E95" s="274" t="s">
        <v>79</v>
      </c>
      <c r="F95" s="274">
        <v>4.0000000000000001E-3</v>
      </c>
      <c r="G95" s="116"/>
      <c r="H95" s="277"/>
      <c r="I95" s="277">
        <f>VLOOKUP($D:$D,임율기준!$B:$F,5,FALSE)</f>
        <v>94338</v>
      </c>
      <c r="J95" s="277">
        <f>INT(I95*F95)</f>
        <v>377</v>
      </c>
      <c r="K95" s="277">
        <f>H95+J95</f>
        <v>377</v>
      </c>
      <c r="L95" s="242"/>
    </row>
    <row r="96" spans="1:12" s="84" customFormat="1" ht="18" customHeight="1">
      <c r="A96" s="287"/>
      <c r="B96" s="239"/>
      <c r="C96" s="239"/>
      <c r="D96" s="239"/>
      <c r="E96" s="274"/>
      <c r="F96" s="274"/>
      <c r="G96" s="116"/>
      <c r="H96" s="277"/>
      <c r="I96" s="277"/>
      <c r="J96" s="277"/>
      <c r="K96" s="277"/>
      <c r="L96" s="245"/>
    </row>
    <row r="97" spans="1:12" s="84" customFormat="1" ht="18" customHeight="1">
      <c r="A97" s="287"/>
      <c r="B97" s="239"/>
      <c r="C97" s="239"/>
      <c r="D97" s="239"/>
      <c r="E97" s="274"/>
      <c r="F97" s="274"/>
      <c r="G97" s="116"/>
      <c r="H97" s="282"/>
      <c r="I97" s="282"/>
      <c r="J97" s="282"/>
      <c r="K97" s="282"/>
      <c r="L97" s="245"/>
    </row>
    <row r="98" spans="1:12" s="84" customFormat="1" ht="18" customHeight="1">
      <c r="A98" s="287"/>
      <c r="B98" s="239"/>
      <c r="C98" s="239"/>
      <c r="D98" s="239"/>
      <c r="E98" s="274"/>
      <c r="F98" s="274"/>
      <c r="G98" s="116"/>
      <c r="H98" s="282"/>
      <c r="I98" s="282"/>
      <c r="J98" s="282"/>
      <c r="K98" s="282"/>
      <c r="L98" s="281"/>
    </row>
    <row r="99" spans="1:12" s="84" customFormat="1" ht="18" customHeight="1">
      <c r="A99" s="287"/>
      <c r="B99" s="239"/>
      <c r="C99" s="239"/>
      <c r="D99" s="239"/>
      <c r="E99" s="274"/>
      <c r="F99" s="274"/>
      <c r="G99" s="116"/>
      <c r="H99" s="282"/>
      <c r="I99" s="282"/>
      <c r="J99" s="282"/>
      <c r="K99" s="282"/>
      <c r="L99" s="281"/>
    </row>
    <row r="100" spans="1:12" s="84" customFormat="1" ht="18" customHeight="1">
      <c r="A100" s="287"/>
      <c r="B100" s="239"/>
      <c r="C100" s="239"/>
      <c r="D100" s="239"/>
      <c r="E100" s="274"/>
      <c r="F100" s="274"/>
      <c r="G100" s="116"/>
      <c r="H100" s="282"/>
      <c r="I100" s="282"/>
      <c r="J100" s="282"/>
      <c r="K100" s="282"/>
      <c r="L100" s="281"/>
    </row>
    <row r="101" spans="1:12" s="84" customFormat="1" ht="18" customHeight="1">
      <c r="A101" s="287"/>
      <c r="B101" s="239"/>
      <c r="C101" s="239"/>
      <c r="D101" s="239"/>
      <c r="E101" s="274"/>
      <c r="F101" s="274"/>
      <c r="G101" s="116"/>
      <c r="H101" s="282"/>
      <c r="I101" s="282"/>
      <c r="J101" s="282"/>
      <c r="K101" s="282"/>
      <c r="L101" s="281"/>
    </row>
    <row r="102" spans="1:12" s="84" customFormat="1" ht="18" customHeight="1">
      <c r="A102" s="287"/>
      <c r="B102" s="239"/>
      <c r="C102" s="239"/>
      <c r="D102" s="239"/>
      <c r="E102" s="274"/>
      <c r="F102" s="274"/>
      <c r="G102" s="116"/>
      <c r="H102" s="282"/>
      <c r="I102" s="282"/>
      <c r="J102" s="282"/>
      <c r="K102" s="282"/>
      <c r="L102" s="281"/>
    </row>
    <row r="103" spans="1:12" s="84" customFormat="1" ht="18" customHeight="1">
      <c r="A103" s="287"/>
      <c r="B103" s="239"/>
      <c r="C103" s="239"/>
      <c r="D103" s="239"/>
      <c r="E103" s="274"/>
      <c r="F103" s="274"/>
      <c r="G103" s="116"/>
      <c r="H103" s="282"/>
      <c r="I103" s="282"/>
      <c r="J103" s="282"/>
      <c r="K103" s="282"/>
      <c r="L103" s="100"/>
    </row>
    <row r="104" spans="1:12" s="84" customFormat="1" ht="18" customHeight="1">
      <c r="A104" s="287"/>
      <c r="B104" s="239"/>
      <c r="C104" s="239"/>
      <c r="D104" s="239"/>
      <c r="E104" s="274"/>
      <c r="F104" s="274"/>
      <c r="G104" s="116"/>
      <c r="H104" s="282"/>
      <c r="I104" s="282"/>
      <c r="J104" s="282"/>
      <c r="K104" s="282"/>
      <c r="L104" s="100"/>
    </row>
    <row r="105" spans="1:12" s="84" customFormat="1" ht="18" customHeight="1">
      <c r="A105" s="243"/>
      <c r="B105" s="239"/>
      <c r="C105" s="239"/>
      <c r="D105" s="239"/>
      <c r="E105" s="239"/>
      <c r="F105" s="274"/>
      <c r="G105" s="116"/>
      <c r="H105" s="282"/>
      <c r="I105" s="282"/>
      <c r="J105" s="282"/>
      <c r="K105" s="282"/>
      <c r="L105" s="100"/>
    </row>
    <row r="106" spans="1:12" s="84" customFormat="1" ht="18" customHeight="1">
      <c r="A106" s="243"/>
      <c r="B106" s="239"/>
      <c r="C106" s="239"/>
      <c r="D106" s="239"/>
      <c r="E106" s="239"/>
      <c r="F106" s="274"/>
      <c r="G106" s="116"/>
      <c r="H106" s="282"/>
      <c r="I106" s="282"/>
      <c r="J106" s="282"/>
      <c r="K106" s="282"/>
      <c r="L106" s="245"/>
    </row>
    <row r="107" spans="1:12" s="84" customFormat="1" ht="18" customHeight="1">
      <c r="A107" s="243"/>
      <c r="B107" s="239"/>
      <c r="C107" s="239"/>
      <c r="D107" s="239"/>
      <c r="E107" s="239"/>
      <c r="F107" s="274"/>
      <c r="G107" s="116"/>
      <c r="H107" s="282"/>
      <c r="I107" s="282"/>
      <c r="J107" s="282"/>
      <c r="K107" s="282"/>
      <c r="L107" s="245"/>
    </row>
    <row r="108" spans="1:12" s="84" customFormat="1" ht="18" customHeight="1">
      <c r="A108" s="243"/>
      <c r="B108" s="239"/>
      <c r="C108" s="239"/>
      <c r="D108" s="239"/>
      <c r="E108" s="239"/>
      <c r="F108" s="274"/>
      <c r="G108" s="116"/>
      <c r="H108" s="282"/>
      <c r="I108" s="282"/>
      <c r="J108" s="282"/>
      <c r="K108" s="282"/>
      <c r="L108" s="245"/>
    </row>
    <row r="109" spans="1:12" s="84" customFormat="1" ht="18" customHeight="1">
      <c r="A109" s="243"/>
      <c r="B109" s="239"/>
      <c r="C109" s="239"/>
      <c r="D109" s="239"/>
      <c r="E109" s="239"/>
      <c r="F109" s="274"/>
      <c r="G109" s="116"/>
      <c r="H109" s="282"/>
      <c r="I109" s="282"/>
      <c r="J109" s="282"/>
      <c r="K109" s="282"/>
      <c r="L109" s="245"/>
    </row>
    <row r="110" spans="1:12" s="84" customFormat="1" ht="18" customHeight="1">
      <c r="A110" s="243"/>
      <c r="B110" s="239"/>
      <c r="C110" s="239"/>
      <c r="D110" s="239"/>
      <c r="E110" s="239"/>
      <c r="F110" s="274"/>
      <c r="G110" s="116"/>
      <c r="H110" s="282"/>
      <c r="I110" s="282"/>
      <c r="J110" s="282"/>
      <c r="K110" s="282"/>
      <c r="L110" s="245"/>
    </row>
    <row r="111" spans="1:12" s="84" customFormat="1" ht="18" customHeight="1">
      <c r="A111" s="243"/>
      <c r="B111" s="239"/>
      <c r="C111" s="239"/>
      <c r="D111" s="239"/>
      <c r="E111" s="239"/>
      <c r="F111" s="274"/>
      <c r="G111" s="116"/>
      <c r="H111" s="282"/>
      <c r="I111" s="282"/>
      <c r="J111" s="282"/>
      <c r="K111" s="282"/>
      <c r="L111" s="245"/>
    </row>
    <row r="112" spans="1:12" s="84" customFormat="1" ht="18" customHeight="1">
      <c r="A112" s="243"/>
      <c r="B112" s="239"/>
      <c r="C112" s="239"/>
      <c r="D112" s="239"/>
      <c r="E112" s="239"/>
      <c r="F112" s="274"/>
      <c r="G112" s="116"/>
      <c r="H112" s="282"/>
      <c r="I112" s="282"/>
      <c r="J112" s="282"/>
      <c r="K112" s="282"/>
      <c r="L112" s="245"/>
    </row>
    <row r="113" spans="1:12" s="84" customFormat="1" ht="18" customHeight="1">
      <c r="A113" s="243"/>
      <c r="B113" s="239"/>
      <c r="C113" s="239"/>
      <c r="D113" s="239"/>
      <c r="E113" s="239"/>
      <c r="F113" s="274"/>
      <c r="G113" s="116"/>
      <c r="H113" s="282"/>
      <c r="I113" s="282"/>
      <c r="J113" s="282"/>
      <c r="K113" s="282"/>
      <c r="L113" s="245"/>
    </row>
    <row r="114" spans="1:12" s="84" customFormat="1" ht="18" customHeight="1">
      <c r="A114" s="243"/>
      <c r="B114" s="239"/>
      <c r="C114" s="239"/>
      <c r="D114" s="239"/>
      <c r="E114" s="239"/>
      <c r="F114" s="274"/>
      <c r="G114" s="116"/>
      <c r="H114" s="282"/>
      <c r="I114" s="282"/>
      <c r="J114" s="282"/>
      <c r="K114" s="282"/>
      <c r="L114" s="245"/>
    </row>
    <row r="115" spans="1:12" s="84" customFormat="1" ht="18" customHeight="1">
      <c r="A115" s="243"/>
      <c r="B115" s="239"/>
      <c r="C115" s="239"/>
      <c r="D115" s="239"/>
      <c r="E115" s="239"/>
      <c r="F115" s="274"/>
      <c r="G115" s="116"/>
      <c r="H115" s="282"/>
      <c r="I115" s="282"/>
      <c r="J115" s="282"/>
      <c r="K115" s="282"/>
      <c r="L115" s="288"/>
    </row>
    <row r="116" spans="1:12" s="84" customFormat="1" ht="18" customHeight="1">
      <c r="A116" s="243"/>
      <c r="B116" s="247" t="s">
        <v>92</v>
      </c>
      <c r="C116" s="289"/>
      <c r="D116" s="289"/>
      <c r="E116" s="239"/>
      <c r="F116" s="274"/>
      <c r="G116" s="116"/>
      <c r="H116" s="282">
        <f>SUM(H91:H115)</f>
        <v>846</v>
      </c>
      <c r="I116" s="282"/>
      <c r="J116" s="282">
        <f>SUM(J91:J115)</f>
        <v>3028</v>
      </c>
      <c r="K116" s="282">
        <f>SUM(K91:K115)</f>
        <v>3874</v>
      </c>
      <c r="L116" s="288"/>
    </row>
    <row r="117" spans="1:12" s="233" customFormat="1" ht="18" customHeight="1">
      <c r="A117" s="233" t="s">
        <v>330</v>
      </c>
      <c r="F117" s="235"/>
      <c r="G117" s="236"/>
      <c r="H117" s="275"/>
      <c r="I117" s="275"/>
      <c r="J117" s="275"/>
      <c r="K117" s="276" t="s">
        <v>260</v>
      </c>
    </row>
    <row r="118" spans="1:12" s="84" customFormat="1" ht="18" customHeight="1">
      <c r="A118" s="383" t="s">
        <v>33</v>
      </c>
      <c r="B118" s="383" t="s">
        <v>88</v>
      </c>
      <c r="C118" s="383" t="s">
        <v>87</v>
      </c>
      <c r="D118" s="329"/>
      <c r="E118" s="383" t="s">
        <v>36</v>
      </c>
      <c r="F118" s="383" t="s">
        <v>7</v>
      </c>
      <c r="G118" s="385" t="s">
        <v>90</v>
      </c>
      <c r="H118" s="397"/>
      <c r="I118" s="385" t="s">
        <v>85</v>
      </c>
      <c r="J118" s="397"/>
      <c r="K118" s="383" t="s">
        <v>84</v>
      </c>
      <c r="L118" s="383" t="s">
        <v>39</v>
      </c>
    </row>
    <row r="119" spans="1:12" s="84" customFormat="1" ht="18" customHeight="1">
      <c r="A119" s="384"/>
      <c r="B119" s="384"/>
      <c r="C119" s="384"/>
      <c r="D119" s="330"/>
      <c r="E119" s="384"/>
      <c r="F119" s="384"/>
      <c r="G119" s="66" t="s">
        <v>82</v>
      </c>
      <c r="H119" s="66" t="s">
        <v>80</v>
      </c>
      <c r="I119" s="66" t="s">
        <v>81</v>
      </c>
      <c r="J119" s="66" t="s">
        <v>80</v>
      </c>
      <c r="K119" s="384"/>
      <c r="L119" s="384"/>
    </row>
    <row r="120" spans="1:12" s="84" customFormat="1" ht="18" customHeight="1">
      <c r="A120" s="287" t="s">
        <v>336</v>
      </c>
      <c r="B120" s="239" t="s">
        <v>272</v>
      </c>
      <c r="C120" s="239" t="s">
        <v>331</v>
      </c>
      <c r="D120" s="239" t="str">
        <f>C120</f>
        <v>건축목공</v>
      </c>
      <c r="E120" s="335" t="s">
        <v>79</v>
      </c>
      <c r="F120" s="335">
        <v>0.06</v>
      </c>
      <c r="G120" s="116"/>
      <c r="H120" s="277"/>
      <c r="I120" s="277">
        <f>VLOOKUP($D:$D,임율기준!$B:$F,5,FALSE)</f>
        <v>148851</v>
      </c>
      <c r="J120" s="277">
        <f>INT(I120*F120)</f>
        <v>8931</v>
      </c>
      <c r="K120" s="277">
        <f>H120+J120</f>
        <v>8931</v>
      </c>
      <c r="L120" s="245"/>
    </row>
    <row r="121" spans="1:12" s="84" customFormat="1" ht="18" customHeight="1">
      <c r="A121" s="287" t="s">
        <v>337</v>
      </c>
      <c r="B121" s="239" t="s">
        <v>272</v>
      </c>
      <c r="C121" s="239" t="s">
        <v>249</v>
      </c>
      <c r="D121" s="239" t="str">
        <f>C121</f>
        <v>보통인부</v>
      </c>
      <c r="E121" s="335" t="s">
        <v>79</v>
      </c>
      <c r="F121" s="335">
        <v>6.0000000000000001E-3</v>
      </c>
      <c r="G121" s="116"/>
      <c r="H121" s="277"/>
      <c r="I121" s="277">
        <f>VLOOKUP($D:$D,임율기준!$B:$F,5,FALSE)</f>
        <v>94338</v>
      </c>
      <c r="J121" s="277">
        <f>INT(I121*F121)</f>
        <v>566</v>
      </c>
      <c r="K121" s="277">
        <f>H121+J121</f>
        <v>566</v>
      </c>
      <c r="L121" s="242"/>
    </row>
    <row r="122" spans="1:12" s="84" customFormat="1" ht="18" customHeight="1">
      <c r="A122" s="287"/>
      <c r="B122" s="239"/>
      <c r="C122" s="239"/>
      <c r="D122" s="239"/>
      <c r="E122" s="335"/>
      <c r="F122" s="335"/>
      <c r="G122" s="116"/>
      <c r="H122" s="277"/>
      <c r="I122" s="277"/>
      <c r="J122" s="277"/>
      <c r="K122" s="277"/>
      <c r="L122" s="245"/>
    </row>
    <row r="123" spans="1:12" s="84" customFormat="1" ht="18" customHeight="1">
      <c r="A123" s="287"/>
      <c r="B123" s="239"/>
      <c r="C123" s="239"/>
      <c r="D123" s="239"/>
      <c r="E123" s="335"/>
      <c r="F123" s="335"/>
      <c r="G123" s="116"/>
      <c r="H123" s="282"/>
      <c r="I123" s="282"/>
      <c r="J123" s="282"/>
      <c r="K123" s="282"/>
      <c r="L123" s="245"/>
    </row>
    <row r="124" spans="1:12" s="84" customFormat="1" ht="18" customHeight="1">
      <c r="A124" s="287"/>
      <c r="B124" s="247" t="s">
        <v>92</v>
      </c>
      <c r="C124" s="289"/>
      <c r="D124" s="289"/>
      <c r="E124" s="239"/>
      <c r="F124" s="335"/>
      <c r="G124" s="116"/>
      <c r="H124" s="282"/>
      <c r="I124" s="282"/>
      <c r="J124" s="282">
        <f>SUM(J120:J123)</f>
        <v>9497</v>
      </c>
      <c r="K124" s="282">
        <f>SUM(K120:K123)</f>
        <v>9497</v>
      </c>
      <c r="L124" s="281"/>
    </row>
    <row r="125" spans="1:12" s="84" customFormat="1" ht="18" customHeight="1">
      <c r="A125" s="287"/>
      <c r="B125" s="239"/>
      <c r="C125" s="239"/>
      <c r="D125" s="239"/>
      <c r="E125" s="335"/>
      <c r="F125" s="335"/>
      <c r="G125" s="116"/>
      <c r="H125" s="282"/>
      <c r="I125" s="282"/>
      <c r="J125" s="282"/>
      <c r="K125" s="282"/>
      <c r="L125" s="281"/>
    </row>
    <row r="126" spans="1:12" s="84" customFormat="1" ht="18" customHeight="1">
      <c r="A126" s="287"/>
      <c r="B126" s="239"/>
      <c r="C126" s="239"/>
      <c r="D126" s="239"/>
      <c r="E126" s="335"/>
      <c r="F126" s="335"/>
      <c r="G126" s="116"/>
      <c r="H126" s="282"/>
      <c r="I126" s="282"/>
      <c r="J126" s="282"/>
      <c r="K126" s="282"/>
      <c r="L126" s="281"/>
    </row>
    <row r="127" spans="1:12" s="84" customFormat="1" ht="18" customHeight="1">
      <c r="A127" s="287"/>
      <c r="B127" s="239"/>
      <c r="C127" s="239"/>
      <c r="D127" s="239"/>
      <c r="E127" s="335"/>
      <c r="F127" s="335"/>
      <c r="G127" s="116"/>
      <c r="H127" s="282"/>
      <c r="I127" s="282"/>
      <c r="J127" s="282"/>
      <c r="K127" s="282"/>
      <c r="L127" s="281"/>
    </row>
    <row r="128" spans="1:12" s="84" customFormat="1" ht="18" customHeight="1">
      <c r="A128" s="287"/>
      <c r="B128" s="239"/>
      <c r="C128" s="239"/>
      <c r="D128" s="239"/>
      <c r="E128" s="335"/>
      <c r="F128" s="335"/>
      <c r="G128" s="116"/>
      <c r="H128" s="282"/>
      <c r="I128" s="282"/>
      <c r="J128" s="282"/>
      <c r="K128" s="282"/>
      <c r="L128" s="281"/>
    </row>
    <row r="129" spans="1:12" s="84" customFormat="1" ht="18" customHeight="1">
      <c r="A129" s="233" t="s">
        <v>344</v>
      </c>
      <c r="B129" s="239"/>
      <c r="C129" s="239"/>
      <c r="D129" s="239"/>
      <c r="E129" s="335"/>
      <c r="F129" s="335"/>
      <c r="G129" s="116"/>
      <c r="H129" s="282"/>
      <c r="I129" s="282"/>
      <c r="J129" s="282"/>
      <c r="K129" s="282"/>
      <c r="L129" s="100"/>
    </row>
    <row r="130" spans="1:12" s="84" customFormat="1" ht="18" customHeight="1">
      <c r="A130" s="287" t="s">
        <v>336</v>
      </c>
      <c r="B130" s="239" t="s">
        <v>272</v>
      </c>
      <c r="C130" s="239" t="s">
        <v>345</v>
      </c>
      <c r="D130" s="239" t="str">
        <f>C130</f>
        <v>내장공</v>
      </c>
      <c r="E130" s="335" t="s">
        <v>79</v>
      </c>
      <c r="F130" s="335">
        <v>0.316</v>
      </c>
      <c r="G130" s="116"/>
      <c r="H130" s="282"/>
      <c r="I130" s="277">
        <f>VLOOKUP($D:$D,임율기준!$B:$F,5,FALSE)</f>
        <v>144150</v>
      </c>
      <c r="J130" s="277">
        <f>INT(I130*F130)</f>
        <v>45551</v>
      </c>
      <c r="K130" s="277">
        <f>H130+J130</f>
        <v>45551</v>
      </c>
      <c r="L130" s="100"/>
    </row>
    <row r="131" spans="1:12" s="84" customFormat="1" ht="18" customHeight="1">
      <c r="A131" s="287" t="s">
        <v>337</v>
      </c>
      <c r="B131" s="239" t="s">
        <v>272</v>
      </c>
      <c r="C131" s="239" t="s">
        <v>348</v>
      </c>
      <c r="D131" s="239" t="str">
        <f>C131</f>
        <v>철판공</v>
      </c>
      <c r="E131" s="335" t="s">
        <v>79</v>
      </c>
      <c r="F131" s="335">
        <v>0.15</v>
      </c>
      <c r="G131" s="116"/>
      <c r="H131" s="282"/>
      <c r="I131" s="277">
        <f>VLOOKUP($D:$D,임율기준!$B:$F,5,FALSE)</f>
        <v>131821</v>
      </c>
      <c r="J131" s="277">
        <f>INT(I131*F131)</f>
        <v>19773</v>
      </c>
      <c r="K131" s="277">
        <f>H131+J131</f>
        <v>19773</v>
      </c>
      <c r="L131" s="100"/>
    </row>
    <row r="132" spans="1:12" s="84" customFormat="1" ht="18" customHeight="1">
      <c r="A132" s="287"/>
      <c r="B132" s="239"/>
      <c r="C132" s="239"/>
      <c r="D132" s="239"/>
      <c r="E132" s="335"/>
      <c r="F132" s="335"/>
      <c r="G132" s="116"/>
      <c r="H132" s="282"/>
      <c r="I132" s="282"/>
      <c r="J132" s="282"/>
      <c r="K132" s="282"/>
      <c r="L132" s="100"/>
    </row>
    <row r="133" spans="1:12" s="84" customFormat="1" ht="18" customHeight="1">
      <c r="A133" s="287"/>
      <c r="B133" s="239"/>
      <c r="C133" s="239"/>
      <c r="D133" s="239"/>
      <c r="E133" s="335"/>
      <c r="F133" s="335"/>
      <c r="G133" s="116"/>
      <c r="H133" s="282"/>
      <c r="I133" s="282"/>
      <c r="J133" s="282"/>
      <c r="K133" s="282"/>
      <c r="L133" s="100"/>
    </row>
    <row r="134" spans="1:12" s="84" customFormat="1" ht="18" customHeight="1">
      <c r="A134" s="243"/>
      <c r="B134" s="247" t="s">
        <v>92</v>
      </c>
      <c r="C134" s="289"/>
      <c r="D134" s="289"/>
      <c r="E134" s="239"/>
      <c r="F134" s="335"/>
      <c r="G134" s="116"/>
      <c r="H134" s="282"/>
      <c r="I134" s="282"/>
      <c r="J134" s="282">
        <f>SUM(J130:J133)</f>
        <v>65324</v>
      </c>
      <c r="K134" s="282">
        <f>SUM(K130:K133)</f>
        <v>65324</v>
      </c>
      <c r="L134" s="100"/>
    </row>
    <row r="135" spans="1:12" s="84" customFormat="1" ht="18" customHeight="1">
      <c r="A135" s="243"/>
      <c r="B135" s="239"/>
      <c r="C135" s="239"/>
      <c r="D135" s="239"/>
      <c r="E135" s="239"/>
      <c r="F135" s="335"/>
      <c r="G135" s="116"/>
      <c r="H135" s="282"/>
      <c r="I135" s="282"/>
      <c r="J135" s="282"/>
      <c r="K135" s="282"/>
      <c r="L135" s="245"/>
    </row>
    <row r="136" spans="1:12" s="84" customFormat="1" ht="18" customHeight="1">
      <c r="A136" s="243"/>
      <c r="B136" s="239"/>
      <c r="C136" s="239"/>
      <c r="D136" s="239"/>
      <c r="E136" s="239"/>
      <c r="F136" s="335"/>
      <c r="G136" s="116"/>
      <c r="H136" s="282"/>
      <c r="I136" s="282"/>
      <c r="J136" s="282"/>
      <c r="K136" s="282"/>
      <c r="L136" s="245"/>
    </row>
    <row r="137" spans="1:12" s="84" customFormat="1" ht="18" customHeight="1">
      <c r="A137" s="243"/>
      <c r="B137" s="239"/>
      <c r="C137" s="239"/>
      <c r="D137" s="239"/>
      <c r="E137" s="239"/>
      <c r="F137" s="335"/>
      <c r="G137" s="116"/>
      <c r="H137" s="282"/>
      <c r="I137" s="282"/>
      <c r="J137" s="282"/>
      <c r="K137" s="282"/>
      <c r="L137" s="245"/>
    </row>
    <row r="138" spans="1:12" s="84" customFormat="1" ht="18" customHeight="1">
      <c r="A138" s="243"/>
      <c r="B138" s="239"/>
      <c r="C138" s="239"/>
      <c r="D138" s="239"/>
      <c r="E138" s="239"/>
      <c r="F138" s="335"/>
      <c r="G138" s="116"/>
      <c r="H138" s="282"/>
      <c r="I138" s="282"/>
      <c r="J138" s="282"/>
      <c r="K138" s="282"/>
      <c r="L138" s="245"/>
    </row>
    <row r="139" spans="1:12" s="84" customFormat="1" ht="18" customHeight="1">
      <c r="A139" s="233"/>
      <c r="B139" s="239"/>
      <c r="C139" s="239"/>
      <c r="D139" s="239"/>
      <c r="E139" s="336"/>
      <c r="F139" s="336"/>
      <c r="G139" s="116"/>
      <c r="H139" s="282"/>
      <c r="I139" s="282"/>
      <c r="J139" s="282"/>
      <c r="K139" s="282"/>
      <c r="L139" s="245"/>
    </row>
    <row r="140" spans="1:12" s="84" customFormat="1" ht="18" customHeight="1">
      <c r="A140" s="287"/>
      <c r="B140" s="239"/>
      <c r="C140" s="239"/>
      <c r="D140" s="239"/>
      <c r="E140" s="336"/>
      <c r="F140" s="336"/>
      <c r="G140" s="116"/>
      <c r="H140" s="282"/>
      <c r="I140" s="277"/>
      <c r="J140" s="277"/>
      <c r="K140" s="277"/>
      <c r="L140" s="245"/>
    </row>
    <row r="141" spans="1:12" s="84" customFormat="1" ht="18" customHeight="1">
      <c r="A141" s="287"/>
      <c r="B141" s="239"/>
      <c r="C141" s="239"/>
      <c r="D141" s="239"/>
      <c r="E141" s="336"/>
      <c r="F141" s="336"/>
      <c r="G141" s="116"/>
      <c r="H141" s="282"/>
      <c r="I141" s="277"/>
      <c r="J141" s="277"/>
      <c r="K141" s="277"/>
      <c r="L141" s="245"/>
    </row>
    <row r="142" spans="1:12" s="84" customFormat="1" ht="18" customHeight="1">
      <c r="A142" s="287"/>
      <c r="B142" s="239"/>
      <c r="C142" s="239"/>
      <c r="D142" s="239"/>
      <c r="E142" s="336"/>
      <c r="F142" s="336"/>
      <c r="G142" s="116"/>
      <c r="H142" s="282"/>
      <c r="I142" s="282"/>
      <c r="J142" s="282"/>
      <c r="K142" s="282"/>
      <c r="L142" s="245"/>
    </row>
    <row r="143" spans="1:12" s="84" customFormat="1" ht="18" customHeight="1">
      <c r="A143" s="287"/>
      <c r="B143" s="239"/>
      <c r="C143" s="239"/>
      <c r="D143" s="239"/>
      <c r="E143" s="336"/>
      <c r="F143" s="336"/>
      <c r="G143" s="116"/>
      <c r="H143" s="282"/>
      <c r="I143" s="282"/>
      <c r="J143" s="282"/>
      <c r="K143" s="282"/>
      <c r="L143" s="245"/>
    </row>
    <row r="144" spans="1:12" s="84" customFormat="1" ht="18" customHeight="1">
      <c r="A144" s="243"/>
      <c r="B144" s="247"/>
      <c r="C144" s="289"/>
      <c r="D144" s="289"/>
      <c r="E144" s="239"/>
      <c r="F144" s="336"/>
      <c r="G144" s="116"/>
      <c r="H144" s="282"/>
      <c r="I144" s="282"/>
      <c r="J144" s="282"/>
      <c r="K144" s="282"/>
      <c r="L144" s="288"/>
    </row>
    <row r="145" spans="1:12" s="84" customFormat="1" ht="18" customHeight="1">
      <c r="A145" s="243"/>
      <c r="B145" s="247"/>
      <c r="C145" s="289"/>
      <c r="D145" s="289"/>
      <c r="E145" s="239"/>
      <c r="F145" s="335"/>
      <c r="G145" s="116"/>
      <c r="H145" s="282"/>
      <c r="I145" s="282"/>
      <c r="J145" s="282"/>
      <c r="K145" s="282"/>
      <c r="L145" s="288"/>
    </row>
    <row r="146" spans="1:12" ht="18" customHeight="1">
      <c r="F146" s="65"/>
      <c r="G146" s="65"/>
      <c r="H146" s="65"/>
      <c r="I146" s="65"/>
      <c r="J146" s="65"/>
      <c r="K146" s="65"/>
    </row>
    <row r="147" spans="1:12" ht="18" customHeight="1">
      <c r="F147" s="65"/>
      <c r="G147" s="65"/>
      <c r="H147" s="65"/>
      <c r="I147" s="65"/>
      <c r="J147" s="65"/>
      <c r="K147" s="65"/>
    </row>
    <row r="148" spans="1:12" ht="18" customHeight="1">
      <c r="F148" s="65"/>
      <c r="G148" s="65"/>
      <c r="H148" s="65"/>
      <c r="I148" s="65"/>
      <c r="J148" s="65"/>
      <c r="K148" s="65"/>
    </row>
    <row r="149" spans="1:12" ht="18" customHeight="1">
      <c r="F149" s="65"/>
      <c r="G149" s="65"/>
      <c r="H149" s="65"/>
      <c r="I149" s="65"/>
      <c r="J149" s="65"/>
      <c r="K149" s="65"/>
    </row>
    <row r="150" spans="1:12" ht="18" customHeight="1">
      <c r="F150" s="65"/>
      <c r="G150" s="65"/>
      <c r="H150" s="65"/>
      <c r="I150" s="65"/>
      <c r="J150" s="65"/>
      <c r="K150" s="65"/>
    </row>
    <row r="151" spans="1:12" ht="18" customHeight="1">
      <c r="F151" s="65"/>
      <c r="G151" s="65"/>
      <c r="H151" s="65"/>
      <c r="I151" s="65"/>
      <c r="J151" s="65"/>
      <c r="K151" s="65"/>
    </row>
    <row r="152" spans="1:12" ht="18" customHeight="1">
      <c r="F152" s="65"/>
      <c r="G152" s="65"/>
      <c r="H152" s="65"/>
      <c r="I152" s="65"/>
      <c r="J152" s="65"/>
      <c r="K152" s="65"/>
    </row>
    <row r="153" spans="1:12" ht="18" customHeight="1">
      <c r="F153" s="65"/>
      <c r="G153" s="65"/>
      <c r="H153" s="65"/>
      <c r="I153" s="65"/>
      <c r="J153" s="65"/>
      <c r="K153" s="65"/>
    </row>
    <row r="154" spans="1:12" ht="18" customHeight="1">
      <c r="F154" s="65"/>
      <c r="G154" s="65"/>
      <c r="H154" s="65"/>
      <c r="I154" s="65"/>
      <c r="J154" s="65"/>
      <c r="K154" s="65"/>
    </row>
    <row r="155" spans="1:12" ht="18" customHeight="1">
      <c r="F155" s="65"/>
      <c r="G155" s="65"/>
      <c r="H155" s="65"/>
      <c r="I155" s="65"/>
      <c r="J155" s="65"/>
      <c r="K155" s="65"/>
    </row>
    <row r="156" spans="1:12" ht="18" customHeight="1">
      <c r="F156" s="65"/>
      <c r="G156" s="65"/>
      <c r="H156" s="65"/>
      <c r="I156" s="65"/>
      <c r="J156" s="65"/>
      <c r="K156" s="65"/>
    </row>
    <row r="157" spans="1:12" ht="18" customHeight="1">
      <c r="F157" s="65"/>
      <c r="G157" s="65"/>
      <c r="H157" s="65"/>
      <c r="I157" s="65"/>
      <c r="J157" s="65"/>
      <c r="K157" s="65"/>
    </row>
    <row r="158" spans="1:12" ht="18" customHeight="1">
      <c r="F158" s="65"/>
      <c r="G158" s="65"/>
      <c r="H158" s="65"/>
      <c r="I158" s="65"/>
      <c r="J158" s="65"/>
      <c r="K158" s="65"/>
    </row>
    <row r="159" spans="1:12" ht="18" customHeight="1">
      <c r="F159" s="65"/>
      <c r="G159" s="65"/>
      <c r="H159" s="65"/>
      <c r="I159" s="65"/>
      <c r="J159" s="65"/>
      <c r="K159" s="65"/>
    </row>
    <row r="160" spans="1:12" ht="18" customHeight="1">
      <c r="F160" s="65"/>
      <c r="G160" s="65"/>
      <c r="H160" s="65"/>
      <c r="I160" s="65"/>
      <c r="J160" s="65"/>
      <c r="K160" s="65"/>
    </row>
    <row r="161" spans="6:11" ht="18" customHeight="1">
      <c r="F161" s="65"/>
      <c r="G161" s="65"/>
      <c r="H161" s="65"/>
      <c r="I161" s="65"/>
      <c r="J161" s="65"/>
      <c r="K161" s="65"/>
    </row>
    <row r="162" spans="6:11" ht="18" customHeight="1">
      <c r="F162" s="65"/>
      <c r="G162" s="65"/>
      <c r="H162" s="65"/>
      <c r="I162" s="65"/>
      <c r="J162" s="65"/>
      <c r="K162" s="65"/>
    </row>
    <row r="163" spans="6:11" ht="18" customHeight="1">
      <c r="F163" s="65"/>
      <c r="G163" s="65"/>
      <c r="H163" s="65"/>
      <c r="I163" s="65"/>
      <c r="J163" s="65"/>
      <c r="K163" s="65"/>
    </row>
    <row r="164" spans="6:11" ht="18" customHeight="1">
      <c r="F164" s="65"/>
      <c r="G164" s="65"/>
      <c r="H164" s="65"/>
      <c r="I164" s="65"/>
      <c r="J164" s="65"/>
      <c r="K164" s="65"/>
    </row>
    <row r="165" spans="6:11" ht="18" customHeight="1">
      <c r="F165" s="65"/>
      <c r="G165" s="65"/>
      <c r="H165" s="65"/>
      <c r="I165" s="65"/>
      <c r="J165" s="65"/>
      <c r="K165" s="65"/>
    </row>
    <row r="166" spans="6:11" ht="18" customHeight="1">
      <c r="F166" s="65"/>
      <c r="G166" s="65"/>
      <c r="H166" s="65"/>
      <c r="I166" s="65"/>
      <c r="J166" s="65"/>
      <c r="K166" s="65"/>
    </row>
    <row r="167" spans="6:11" ht="18" customHeight="1">
      <c r="F167" s="65"/>
      <c r="G167" s="65"/>
      <c r="H167" s="65"/>
      <c r="I167" s="65"/>
      <c r="J167" s="65"/>
      <c r="K167" s="65"/>
    </row>
    <row r="168" spans="6:11" ht="18" customHeight="1">
      <c r="F168" s="65"/>
      <c r="G168" s="65"/>
      <c r="H168" s="65"/>
      <c r="I168" s="65"/>
      <c r="J168" s="65"/>
      <c r="K168" s="65"/>
    </row>
    <row r="169" spans="6:11" ht="18" customHeight="1">
      <c r="F169" s="65"/>
      <c r="G169" s="65"/>
      <c r="H169" s="65"/>
      <c r="I169" s="65"/>
      <c r="J169" s="65"/>
      <c r="K169" s="65"/>
    </row>
    <row r="170" spans="6:11" ht="18" customHeight="1">
      <c r="F170" s="65"/>
      <c r="G170" s="65"/>
      <c r="H170" s="65"/>
      <c r="I170" s="65"/>
      <c r="J170" s="65"/>
      <c r="K170" s="65"/>
    </row>
    <row r="171" spans="6:11" ht="18" customHeight="1">
      <c r="F171" s="65"/>
      <c r="G171" s="65"/>
      <c r="H171" s="65"/>
      <c r="I171" s="65"/>
      <c r="J171" s="65"/>
      <c r="K171" s="65"/>
    </row>
    <row r="172" spans="6:11" ht="18" customHeight="1">
      <c r="F172" s="65"/>
      <c r="G172" s="65"/>
      <c r="H172" s="65"/>
      <c r="I172" s="65"/>
      <c r="J172" s="65"/>
      <c r="K172" s="65"/>
    </row>
    <row r="173" spans="6:11" ht="18" customHeight="1">
      <c r="F173" s="65"/>
      <c r="G173" s="65"/>
      <c r="H173" s="65"/>
      <c r="I173" s="65"/>
      <c r="J173" s="65"/>
      <c r="K173" s="65"/>
    </row>
    <row r="174" spans="6:11" ht="18" customHeight="1">
      <c r="F174" s="65"/>
      <c r="G174" s="65"/>
      <c r="H174" s="65"/>
      <c r="I174" s="65"/>
      <c r="J174" s="65"/>
      <c r="K174" s="65"/>
    </row>
    <row r="175" spans="6:11" ht="18" customHeight="1">
      <c r="F175" s="65"/>
      <c r="G175" s="65"/>
      <c r="H175" s="65"/>
      <c r="I175" s="65"/>
      <c r="J175" s="65"/>
      <c r="K175" s="65"/>
    </row>
    <row r="176" spans="6:11" ht="18" customHeight="1">
      <c r="F176" s="65"/>
      <c r="G176" s="65"/>
      <c r="H176" s="65"/>
      <c r="I176" s="65"/>
      <c r="J176" s="65"/>
      <c r="K176" s="65"/>
    </row>
    <row r="177" spans="6:11" ht="18" customHeight="1">
      <c r="F177" s="65"/>
      <c r="G177" s="65"/>
      <c r="H177" s="65"/>
      <c r="I177" s="65"/>
      <c r="J177" s="65"/>
      <c r="K177" s="65"/>
    </row>
    <row r="178" spans="6:11" ht="18" customHeight="1">
      <c r="F178" s="65"/>
      <c r="G178" s="65"/>
      <c r="H178" s="65"/>
      <c r="I178" s="65"/>
      <c r="J178" s="65"/>
      <c r="K178" s="65"/>
    </row>
    <row r="179" spans="6:11" ht="18" customHeight="1">
      <c r="F179" s="65"/>
      <c r="G179" s="65"/>
      <c r="H179" s="65"/>
      <c r="I179" s="65"/>
      <c r="J179" s="65"/>
      <c r="K179" s="65"/>
    </row>
    <row r="180" spans="6:11" ht="18" customHeight="1">
      <c r="F180" s="65"/>
      <c r="G180" s="65"/>
      <c r="H180" s="65"/>
      <c r="I180" s="65"/>
      <c r="J180" s="65"/>
      <c r="K180" s="65"/>
    </row>
    <row r="181" spans="6:11" ht="18" customHeight="1">
      <c r="F181" s="65"/>
      <c r="G181" s="65"/>
      <c r="H181" s="65"/>
      <c r="I181" s="65"/>
      <c r="J181" s="65"/>
      <c r="K181" s="65"/>
    </row>
    <row r="182" spans="6:11" ht="18" customHeight="1">
      <c r="F182" s="65"/>
      <c r="G182" s="65"/>
      <c r="H182" s="65"/>
      <c r="I182" s="65"/>
      <c r="J182" s="65"/>
      <c r="K182" s="65"/>
    </row>
    <row r="183" spans="6:11" ht="18" customHeight="1">
      <c r="F183" s="65"/>
      <c r="G183" s="65"/>
      <c r="H183" s="65"/>
      <c r="I183" s="65"/>
      <c r="J183" s="65"/>
      <c r="K183" s="65"/>
    </row>
    <row r="184" spans="6:11" ht="18" customHeight="1">
      <c r="F184" s="65"/>
      <c r="G184" s="65"/>
      <c r="H184" s="65"/>
      <c r="I184" s="65"/>
      <c r="J184" s="65"/>
      <c r="K184" s="65"/>
    </row>
    <row r="185" spans="6:11" ht="18" customHeight="1">
      <c r="F185" s="65"/>
      <c r="G185" s="65"/>
      <c r="H185" s="65"/>
      <c r="I185" s="65"/>
      <c r="J185" s="65"/>
      <c r="K185" s="65"/>
    </row>
    <row r="186" spans="6:11" ht="18" customHeight="1">
      <c r="F186" s="65"/>
      <c r="G186" s="65"/>
      <c r="H186" s="65"/>
      <c r="I186" s="65"/>
      <c r="J186" s="65"/>
      <c r="K186" s="65"/>
    </row>
    <row r="187" spans="6:11" ht="18" customHeight="1">
      <c r="F187" s="65"/>
      <c r="G187" s="65"/>
      <c r="H187" s="65"/>
      <c r="I187" s="65"/>
      <c r="J187" s="65"/>
      <c r="K187" s="65"/>
    </row>
    <row r="188" spans="6:11" ht="18" customHeight="1">
      <c r="F188" s="65"/>
      <c r="G188" s="65"/>
      <c r="H188" s="65"/>
      <c r="I188" s="65"/>
      <c r="J188" s="65"/>
      <c r="K188" s="65"/>
    </row>
    <row r="189" spans="6:11" ht="18" customHeight="1">
      <c r="F189" s="65"/>
      <c r="G189" s="65"/>
      <c r="H189" s="65"/>
      <c r="I189" s="65"/>
      <c r="J189" s="65"/>
      <c r="K189" s="65"/>
    </row>
    <row r="190" spans="6:11" ht="18" customHeight="1">
      <c r="F190" s="65"/>
      <c r="G190" s="65"/>
      <c r="H190" s="65"/>
      <c r="I190" s="65"/>
      <c r="J190" s="65"/>
      <c r="K190" s="65"/>
    </row>
    <row r="191" spans="6:11" ht="18" customHeight="1">
      <c r="F191" s="65"/>
      <c r="G191" s="65"/>
      <c r="H191" s="65"/>
      <c r="I191" s="65"/>
      <c r="J191" s="65"/>
      <c r="K191" s="65"/>
    </row>
    <row r="192" spans="6:11" ht="18" customHeight="1">
      <c r="F192" s="65"/>
      <c r="G192" s="65"/>
      <c r="H192" s="65"/>
      <c r="I192" s="65"/>
      <c r="J192" s="65"/>
      <c r="K192" s="65"/>
    </row>
    <row r="193" spans="6:11" ht="18" customHeight="1">
      <c r="F193" s="65"/>
      <c r="G193" s="65"/>
      <c r="H193" s="65"/>
      <c r="I193" s="65"/>
      <c r="J193" s="65"/>
      <c r="K193" s="65"/>
    </row>
    <row r="194" spans="6:11" ht="18" customHeight="1">
      <c r="F194" s="65"/>
      <c r="G194" s="65"/>
      <c r="H194" s="65"/>
      <c r="I194" s="65"/>
      <c r="J194" s="65"/>
      <c r="K194" s="65"/>
    </row>
    <row r="195" spans="6:11" ht="18" customHeight="1">
      <c r="F195" s="65"/>
      <c r="G195" s="65"/>
      <c r="H195" s="65"/>
      <c r="I195" s="65"/>
      <c r="J195" s="65"/>
      <c r="K195" s="65"/>
    </row>
    <row r="196" spans="6:11" ht="18" customHeight="1">
      <c r="F196" s="65"/>
      <c r="G196" s="65"/>
      <c r="H196" s="65"/>
      <c r="I196" s="65"/>
      <c r="J196" s="65"/>
      <c r="K196" s="65"/>
    </row>
    <row r="197" spans="6:11" ht="18" customHeight="1">
      <c r="F197" s="65"/>
      <c r="G197" s="65"/>
      <c r="H197" s="65"/>
      <c r="I197" s="65"/>
      <c r="J197" s="65"/>
      <c r="K197" s="65"/>
    </row>
    <row r="198" spans="6:11" ht="18" customHeight="1">
      <c r="F198" s="65"/>
      <c r="G198" s="65"/>
      <c r="H198" s="65"/>
      <c r="I198" s="65"/>
      <c r="J198" s="65"/>
      <c r="K198" s="65"/>
    </row>
    <row r="199" spans="6:11" ht="18" customHeight="1">
      <c r="F199" s="65"/>
      <c r="G199" s="65"/>
      <c r="H199" s="65"/>
      <c r="I199" s="65"/>
      <c r="J199" s="65"/>
      <c r="K199" s="65"/>
    </row>
    <row r="200" spans="6:11" ht="18" customHeight="1">
      <c r="F200" s="65"/>
      <c r="G200" s="65"/>
      <c r="H200" s="65"/>
      <c r="I200" s="65"/>
      <c r="J200" s="65"/>
      <c r="K200" s="65"/>
    </row>
    <row r="201" spans="6:11" ht="18" customHeight="1">
      <c r="F201" s="65"/>
      <c r="G201" s="65"/>
      <c r="H201" s="65"/>
      <c r="I201" s="65"/>
      <c r="J201" s="65"/>
      <c r="K201" s="65"/>
    </row>
    <row r="202" spans="6:11" ht="18" customHeight="1">
      <c r="F202" s="65"/>
      <c r="G202" s="65"/>
      <c r="H202" s="65"/>
      <c r="I202" s="65"/>
      <c r="J202" s="65"/>
      <c r="K202" s="65"/>
    </row>
    <row r="203" spans="6:11" ht="18" customHeight="1">
      <c r="F203" s="65"/>
      <c r="G203" s="65"/>
      <c r="H203" s="65"/>
      <c r="I203" s="65"/>
      <c r="J203" s="65"/>
      <c r="K203" s="65"/>
    </row>
    <row r="204" spans="6:11" ht="18" customHeight="1">
      <c r="F204" s="65"/>
      <c r="G204" s="65"/>
      <c r="H204" s="65"/>
      <c r="I204" s="65"/>
      <c r="J204" s="65"/>
      <c r="K204" s="65"/>
    </row>
    <row r="205" spans="6:11" ht="18" customHeight="1">
      <c r="F205" s="65"/>
      <c r="G205" s="65"/>
      <c r="H205" s="65"/>
      <c r="I205" s="65"/>
      <c r="J205" s="65"/>
      <c r="K205" s="65"/>
    </row>
    <row r="206" spans="6:11" ht="18" customHeight="1">
      <c r="F206" s="65"/>
      <c r="G206" s="65"/>
      <c r="H206" s="65"/>
      <c r="I206" s="65"/>
      <c r="J206" s="65"/>
      <c r="K206" s="65"/>
    </row>
    <row r="207" spans="6:11" ht="18" customHeight="1">
      <c r="F207" s="65"/>
      <c r="G207" s="65"/>
      <c r="H207" s="65"/>
      <c r="I207" s="65"/>
      <c r="J207" s="65"/>
      <c r="K207" s="65"/>
    </row>
    <row r="208" spans="6:11" ht="18" customHeight="1">
      <c r="F208" s="65"/>
      <c r="G208" s="65"/>
      <c r="H208" s="65"/>
      <c r="I208" s="65"/>
      <c r="J208" s="65"/>
      <c r="K208" s="65"/>
    </row>
    <row r="209" spans="6:11" ht="18" customHeight="1">
      <c r="F209" s="65"/>
      <c r="G209" s="65"/>
      <c r="H209" s="65"/>
      <c r="I209" s="65"/>
      <c r="J209" s="65"/>
      <c r="K209" s="65"/>
    </row>
    <row r="210" spans="6:11" ht="18" customHeight="1">
      <c r="F210" s="65"/>
      <c r="G210" s="65"/>
      <c r="H210" s="65"/>
      <c r="I210" s="65"/>
      <c r="J210" s="65"/>
      <c r="K210" s="65"/>
    </row>
    <row r="211" spans="6:11" ht="18" customHeight="1">
      <c r="F211" s="65"/>
      <c r="G211" s="65"/>
      <c r="H211" s="65"/>
      <c r="I211" s="65"/>
      <c r="J211" s="65"/>
      <c r="K211" s="65"/>
    </row>
    <row r="212" spans="6:11" ht="18" customHeight="1">
      <c r="F212" s="65"/>
      <c r="G212" s="65"/>
      <c r="H212" s="65"/>
      <c r="I212" s="65"/>
      <c r="J212" s="65"/>
      <c r="K212" s="65"/>
    </row>
    <row r="213" spans="6:11" ht="18" customHeight="1">
      <c r="F213" s="65"/>
      <c r="G213" s="65"/>
      <c r="H213" s="65"/>
      <c r="I213" s="65"/>
      <c r="J213" s="65"/>
      <c r="K213" s="65"/>
    </row>
    <row r="214" spans="6:11" ht="18" customHeight="1">
      <c r="F214" s="65"/>
      <c r="G214" s="65"/>
      <c r="H214" s="65"/>
      <c r="I214" s="65"/>
      <c r="J214" s="65"/>
      <c r="K214" s="65"/>
    </row>
    <row r="215" spans="6:11" ht="18" customHeight="1">
      <c r="F215" s="65"/>
      <c r="G215" s="65"/>
      <c r="H215" s="65"/>
      <c r="I215" s="65"/>
      <c r="J215" s="65"/>
      <c r="K215" s="65"/>
    </row>
    <row r="216" spans="6:11" ht="18" customHeight="1">
      <c r="F216" s="65"/>
      <c r="G216" s="65"/>
      <c r="H216" s="65"/>
      <c r="I216" s="65"/>
      <c r="J216" s="65"/>
      <c r="K216" s="65"/>
    </row>
    <row r="217" spans="6:11" ht="18" customHeight="1">
      <c r="F217" s="65"/>
      <c r="G217" s="65"/>
      <c r="H217" s="65"/>
      <c r="I217" s="65"/>
      <c r="J217" s="65"/>
      <c r="K217" s="65"/>
    </row>
    <row r="218" spans="6:11" ht="18" customHeight="1">
      <c r="F218" s="65"/>
      <c r="G218" s="65"/>
      <c r="H218" s="65"/>
      <c r="I218" s="65"/>
      <c r="J218" s="65"/>
      <c r="K218" s="65"/>
    </row>
    <row r="219" spans="6:11" ht="18" customHeight="1">
      <c r="F219" s="65"/>
      <c r="G219" s="65"/>
      <c r="H219" s="65"/>
      <c r="I219" s="65"/>
      <c r="J219" s="65"/>
      <c r="K219" s="65"/>
    </row>
    <row r="220" spans="6:11" ht="18" customHeight="1">
      <c r="F220" s="65"/>
      <c r="G220" s="65"/>
      <c r="H220" s="65"/>
      <c r="I220" s="65"/>
      <c r="J220" s="65"/>
      <c r="K220" s="65"/>
    </row>
    <row r="221" spans="6:11" ht="18" customHeight="1">
      <c r="F221" s="65"/>
      <c r="G221" s="65"/>
      <c r="H221" s="65"/>
      <c r="I221" s="65"/>
      <c r="J221" s="65"/>
      <c r="K221" s="65"/>
    </row>
    <row r="222" spans="6:11" ht="18" customHeight="1">
      <c r="F222" s="65"/>
      <c r="G222" s="65"/>
      <c r="H222" s="65"/>
      <c r="I222" s="65"/>
      <c r="J222" s="65"/>
      <c r="K222" s="65"/>
    </row>
    <row r="223" spans="6:11" ht="18" customHeight="1">
      <c r="F223" s="65"/>
      <c r="G223" s="65"/>
      <c r="H223" s="65"/>
      <c r="I223" s="65"/>
      <c r="J223" s="65"/>
      <c r="K223" s="65"/>
    </row>
    <row r="224" spans="6:11" ht="18" customHeight="1">
      <c r="F224" s="65"/>
      <c r="G224" s="65"/>
      <c r="H224" s="65"/>
      <c r="I224" s="65"/>
      <c r="J224" s="65"/>
      <c r="K224" s="65"/>
    </row>
    <row r="225" spans="6:11" ht="18" customHeight="1">
      <c r="F225" s="65"/>
      <c r="G225" s="65"/>
      <c r="H225" s="65"/>
      <c r="I225" s="65"/>
      <c r="J225" s="65"/>
      <c r="K225" s="65"/>
    </row>
    <row r="226" spans="6:11" ht="18" customHeight="1">
      <c r="F226" s="65"/>
      <c r="G226" s="65"/>
      <c r="H226" s="65"/>
      <c r="I226" s="65"/>
      <c r="J226" s="65"/>
      <c r="K226" s="65"/>
    </row>
    <row r="227" spans="6:11" ht="18" customHeight="1">
      <c r="F227" s="65"/>
      <c r="G227" s="65"/>
      <c r="H227" s="65"/>
      <c r="I227" s="65"/>
      <c r="J227" s="65"/>
      <c r="K227" s="65"/>
    </row>
    <row r="228" spans="6:11" ht="18" customHeight="1">
      <c r="F228" s="65"/>
      <c r="G228" s="65"/>
      <c r="H228" s="65"/>
      <c r="I228" s="65"/>
      <c r="J228" s="65"/>
      <c r="K228" s="65"/>
    </row>
    <row r="229" spans="6:11" ht="18" customHeight="1">
      <c r="F229" s="65"/>
      <c r="G229" s="65"/>
      <c r="H229" s="65"/>
      <c r="I229" s="65"/>
      <c r="J229" s="65"/>
      <c r="K229" s="65"/>
    </row>
    <row r="230" spans="6:11" ht="18" customHeight="1">
      <c r="F230" s="65"/>
      <c r="G230" s="65"/>
      <c r="H230" s="65"/>
      <c r="I230" s="65"/>
      <c r="J230" s="65"/>
      <c r="K230" s="65"/>
    </row>
    <row r="231" spans="6:11" ht="18" customHeight="1">
      <c r="F231" s="65"/>
      <c r="G231" s="65"/>
      <c r="H231" s="65"/>
      <c r="I231" s="65"/>
      <c r="J231" s="65"/>
      <c r="K231" s="65"/>
    </row>
    <row r="232" spans="6:11" ht="18" customHeight="1">
      <c r="F232" s="65"/>
      <c r="G232" s="65"/>
      <c r="H232" s="65"/>
      <c r="I232" s="65"/>
      <c r="J232" s="65"/>
      <c r="K232" s="65"/>
    </row>
    <row r="233" spans="6:11" ht="18" customHeight="1">
      <c r="F233" s="65"/>
      <c r="G233" s="65"/>
      <c r="H233" s="65"/>
      <c r="I233" s="65"/>
      <c r="J233" s="65"/>
      <c r="K233" s="65"/>
    </row>
    <row r="234" spans="6:11" ht="18" customHeight="1">
      <c r="F234" s="65"/>
      <c r="G234" s="65"/>
      <c r="H234" s="65"/>
      <c r="I234" s="65"/>
      <c r="J234" s="65"/>
      <c r="K234" s="65"/>
    </row>
    <row r="235" spans="6:11" ht="18" customHeight="1">
      <c r="F235" s="65"/>
      <c r="G235" s="65"/>
      <c r="H235" s="65"/>
      <c r="I235" s="65"/>
      <c r="J235" s="65"/>
      <c r="K235" s="65"/>
    </row>
    <row r="236" spans="6:11" ht="18" customHeight="1">
      <c r="F236" s="65"/>
      <c r="G236" s="65"/>
      <c r="H236" s="65"/>
      <c r="I236" s="65"/>
      <c r="J236" s="65"/>
      <c r="K236" s="65"/>
    </row>
    <row r="237" spans="6:11" ht="18" customHeight="1">
      <c r="F237" s="65"/>
      <c r="G237" s="65"/>
      <c r="H237" s="65"/>
      <c r="I237" s="65"/>
      <c r="J237" s="65"/>
      <c r="K237" s="65"/>
    </row>
  </sheetData>
  <mergeCells count="45">
    <mergeCell ref="G118:H118"/>
    <mergeCell ref="I118:J118"/>
    <mergeCell ref="K118:K119"/>
    <mergeCell ref="L118:L119"/>
    <mergeCell ref="A118:A119"/>
    <mergeCell ref="B118:B119"/>
    <mergeCell ref="C118:C119"/>
    <mergeCell ref="E118:E119"/>
    <mergeCell ref="F118:F119"/>
    <mergeCell ref="L89:L90"/>
    <mergeCell ref="A89:A90"/>
    <mergeCell ref="B89:B90"/>
    <mergeCell ref="C89:C90"/>
    <mergeCell ref="E89:E90"/>
    <mergeCell ref="F89:F90"/>
    <mergeCell ref="G89:H89"/>
    <mergeCell ref="I89:J89"/>
    <mergeCell ref="K89:K90"/>
    <mergeCell ref="G60:H60"/>
    <mergeCell ref="I60:J60"/>
    <mergeCell ref="K60:K61"/>
    <mergeCell ref="L60:L61"/>
    <mergeCell ref="A31:A32"/>
    <mergeCell ref="B31:B32"/>
    <mergeCell ref="C31:C32"/>
    <mergeCell ref="A60:A61"/>
    <mergeCell ref="B60:B61"/>
    <mergeCell ref="C60:C61"/>
    <mergeCell ref="E60:E61"/>
    <mergeCell ref="F60:F61"/>
    <mergeCell ref="E31:E32"/>
    <mergeCell ref="F31:F32"/>
    <mergeCell ref="G31:H31"/>
    <mergeCell ref="I31:J31"/>
    <mergeCell ref="K31:K32"/>
    <mergeCell ref="L31:L32"/>
    <mergeCell ref="L2:L3"/>
    <mergeCell ref="A2:A3"/>
    <mergeCell ref="B2:B3"/>
    <mergeCell ref="C2:C3"/>
    <mergeCell ref="E2:E3"/>
    <mergeCell ref="F2:F3"/>
    <mergeCell ref="G2:H2"/>
    <mergeCell ref="I2:J2"/>
    <mergeCell ref="K2:K3"/>
  </mergeCells>
  <phoneticPr fontId="31" type="noConversion"/>
  <printOptions gridLinesSet="0"/>
  <pageMargins left="0.78740157480314965" right="0" top="0.39370078740157483" bottom="0.19685039370078741" header="0" footer="0.19685039370078741"/>
  <pageSetup paperSize="9" orientation="landscape" horizont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32"/>
  <sheetViews>
    <sheetView view="pageBreakPreview" zoomScaleNormal="100" zoomScaleSheetLayoutView="100" workbookViewId="0">
      <selection activeCell="E2" sqref="E2:E3"/>
    </sheetView>
  </sheetViews>
  <sheetFormatPr defaultRowHeight="21" customHeight="1"/>
  <cols>
    <col min="1" max="1" width="4.625" style="53" customWidth="1"/>
    <col min="2" max="2" width="17.75" style="53" customWidth="1"/>
    <col min="3" max="3" width="13.375" style="53" customWidth="1"/>
    <col min="4" max="4" width="5.625" style="53" customWidth="1"/>
    <col min="5" max="5" width="42.625" style="120" customWidth="1"/>
    <col min="6" max="8" width="7.625" style="58" customWidth="1"/>
    <col min="9" max="9" width="7.625" style="122" customWidth="1"/>
    <col min="10" max="10" width="7.625" style="58" customWidth="1"/>
    <col min="11" max="11" width="6.625" style="121" customWidth="1"/>
    <col min="12" max="12" width="9" style="123"/>
    <col min="13" max="13" width="14.625" style="123" customWidth="1"/>
    <col min="14" max="16384" width="9" style="123"/>
  </cols>
  <sheetData>
    <row r="1" spans="1:11" s="53" customFormat="1" ht="18" customHeight="1">
      <c r="A1" s="142" t="s">
        <v>300</v>
      </c>
      <c r="B1" s="142"/>
      <c r="C1" s="118"/>
      <c r="D1" s="119"/>
      <c r="E1" s="120"/>
      <c r="F1" s="58"/>
      <c r="G1" s="58"/>
      <c r="H1" s="58"/>
      <c r="I1" s="122"/>
      <c r="J1" s="58"/>
      <c r="K1" s="398" t="s">
        <v>13</v>
      </c>
    </row>
    <row r="2" spans="1:11" s="53" customFormat="1" ht="18" customHeight="1">
      <c r="A2" s="398" t="s">
        <v>22</v>
      </c>
      <c r="B2" s="398" t="s">
        <v>26</v>
      </c>
      <c r="C2" s="398" t="s">
        <v>27</v>
      </c>
      <c r="D2" s="398" t="s">
        <v>11</v>
      </c>
      <c r="E2" s="400" t="s">
        <v>28</v>
      </c>
      <c r="F2" s="402" t="s">
        <v>29</v>
      </c>
      <c r="G2" s="402" t="s">
        <v>14</v>
      </c>
      <c r="H2" s="402" t="s">
        <v>30</v>
      </c>
      <c r="I2" s="229" t="s">
        <v>111</v>
      </c>
      <c r="J2" s="229" t="s">
        <v>95</v>
      </c>
      <c r="K2" s="399"/>
    </row>
    <row r="3" spans="1:11" ht="18" customHeight="1">
      <c r="A3" s="399"/>
      <c r="B3" s="399"/>
      <c r="C3" s="399"/>
      <c r="D3" s="399"/>
      <c r="E3" s="401"/>
      <c r="F3" s="403"/>
      <c r="G3" s="403"/>
      <c r="H3" s="403"/>
      <c r="I3" s="268" t="s">
        <v>94</v>
      </c>
      <c r="J3" s="268" t="s">
        <v>94</v>
      </c>
      <c r="K3" s="68"/>
    </row>
    <row r="4" spans="1:11" ht="18" customHeight="1">
      <c r="A4" s="143"/>
      <c r="B4" s="143" t="s">
        <v>128</v>
      </c>
      <c r="C4" s="145"/>
      <c r="D4" s="80"/>
      <c r="E4" s="146"/>
      <c r="F4" s="70"/>
      <c r="G4" s="70"/>
      <c r="H4" s="147"/>
      <c r="I4" s="149"/>
      <c r="J4" s="147"/>
      <c r="K4" s="68"/>
    </row>
    <row r="5" spans="1:11" ht="18" customHeight="1">
      <c r="A5" s="68">
        <v>1</v>
      </c>
      <c r="B5" s="157" t="s">
        <v>318</v>
      </c>
      <c r="C5" s="145" t="s">
        <v>204</v>
      </c>
      <c r="D5" s="80" t="s">
        <v>102</v>
      </c>
      <c r="E5" s="146">
        <v>1</v>
      </c>
      <c r="F5" s="70">
        <f>E5</f>
        <v>1</v>
      </c>
      <c r="G5" s="70"/>
      <c r="H5" s="147">
        <f>ROUNDDOWN(F5*(1+G5),1)</f>
        <v>1</v>
      </c>
      <c r="I5" s="70">
        <v>200</v>
      </c>
      <c r="J5" s="147">
        <f>ROUNDDOWN(F5*I5,2)</f>
        <v>200</v>
      </c>
      <c r="K5" s="68"/>
    </row>
    <row r="6" spans="1:11" ht="18" customHeight="1">
      <c r="A6" s="267">
        <v>2</v>
      </c>
      <c r="B6" s="210" t="s">
        <v>129</v>
      </c>
      <c r="C6" s="145" t="s">
        <v>130</v>
      </c>
      <c r="D6" s="212" t="s">
        <v>102</v>
      </c>
      <c r="E6" s="213">
        <v>1</v>
      </c>
      <c r="F6" s="70">
        <f t="shared" ref="F6:F9" si="0">E6</f>
        <v>1</v>
      </c>
      <c r="G6" s="207"/>
      <c r="H6" s="147">
        <f t="shared" ref="H6:H9" si="1">ROUNDDOWN(F6*(1+G6),1)</f>
        <v>1</v>
      </c>
      <c r="I6" s="70">
        <v>12.5</v>
      </c>
      <c r="J6" s="147">
        <f t="shared" ref="J6:J9" si="2">ROUNDDOWN(F6*I6,2)</f>
        <v>12.5</v>
      </c>
      <c r="K6" s="267"/>
    </row>
    <row r="7" spans="1:11" ht="18" customHeight="1">
      <c r="A7" s="267">
        <v>3</v>
      </c>
      <c r="B7" s="210" t="s">
        <v>129</v>
      </c>
      <c r="C7" s="145" t="s">
        <v>133</v>
      </c>
      <c r="D7" s="212" t="s">
        <v>102</v>
      </c>
      <c r="E7" s="213">
        <v>3</v>
      </c>
      <c r="F7" s="70">
        <f t="shared" si="0"/>
        <v>3</v>
      </c>
      <c r="G7" s="207"/>
      <c r="H7" s="147">
        <f t="shared" si="1"/>
        <v>3</v>
      </c>
      <c r="I7" s="70">
        <v>7.5</v>
      </c>
      <c r="J7" s="147">
        <f t="shared" si="2"/>
        <v>22.5</v>
      </c>
      <c r="K7" s="267"/>
    </row>
    <row r="8" spans="1:11" ht="18" customHeight="1">
      <c r="A8" s="267">
        <v>4</v>
      </c>
      <c r="B8" s="210" t="s">
        <v>134</v>
      </c>
      <c r="C8" s="145" t="s">
        <v>135</v>
      </c>
      <c r="D8" s="212" t="s">
        <v>136</v>
      </c>
      <c r="E8" s="213" t="s">
        <v>202</v>
      </c>
      <c r="F8" s="207">
        <f>(7.5+7)*4</f>
        <v>58</v>
      </c>
      <c r="G8" s="207"/>
      <c r="H8" s="147">
        <f t="shared" si="1"/>
        <v>58</v>
      </c>
      <c r="I8" s="70">
        <v>0.17</v>
      </c>
      <c r="J8" s="147">
        <f t="shared" si="2"/>
        <v>9.86</v>
      </c>
      <c r="K8" s="267"/>
    </row>
    <row r="9" spans="1:11" ht="18" customHeight="1">
      <c r="A9" s="267">
        <v>5</v>
      </c>
      <c r="B9" s="210" t="s">
        <v>203</v>
      </c>
      <c r="C9" s="211"/>
      <c r="D9" s="212" t="s">
        <v>102</v>
      </c>
      <c r="E9" s="213">
        <v>4</v>
      </c>
      <c r="F9" s="70">
        <f t="shared" si="0"/>
        <v>4</v>
      </c>
      <c r="G9" s="207"/>
      <c r="H9" s="147">
        <f t="shared" si="1"/>
        <v>4</v>
      </c>
      <c r="I9" s="70">
        <v>12</v>
      </c>
      <c r="J9" s="147">
        <f t="shared" si="2"/>
        <v>48</v>
      </c>
      <c r="K9" s="267"/>
    </row>
    <row r="10" spans="1:11" ht="18" customHeight="1">
      <c r="A10" s="267">
        <v>6</v>
      </c>
      <c r="B10" s="210" t="s">
        <v>110</v>
      </c>
      <c r="C10" s="211" t="s">
        <v>139</v>
      </c>
      <c r="D10" s="212" t="s">
        <v>140</v>
      </c>
      <c r="E10" s="146" t="s">
        <v>143</v>
      </c>
      <c r="F10" s="207"/>
      <c r="G10" s="207"/>
      <c r="H10" s="147">
        <f>J10/1000</f>
        <v>0.29286000000000001</v>
      </c>
      <c r="I10" s="149"/>
      <c r="J10" s="147">
        <f>SUM(J5:J9)</f>
        <v>292.86</v>
      </c>
      <c r="K10" s="267"/>
    </row>
    <row r="11" spans="1:11" ht="18" customHeight="1">
      <c r="A11" s="267"/>
      <c r="B11" s="143" t="s">
        <v>137</v>
      </c>
      <c r="C11" s="211"/>
      <c r="D11" s="212"/>
      <c r="E11" s="213"/>
      <c r="F11" s="207"/>
      <c r="G11" s="207"/>
      <c r="H11" s="268"/>
      <c r="I11" s="214"/>
      <c r="J11" s="268"/>
      <c r="K11" s="267"/>
    </row>
    <row r="12" spans="1:11" ht="18" customHeight="1">
      <c r="A12" s="267">
        <v>1</v>
      </c>
      <c r="B12" s="210" t="s">
        <v>141</v>
      </c>
      <c r="C12" s="218" t="s">
        <v>142</v>
      </c>
      <c r="D12" s="212" t="s">
        <v>140</v>
      </c>
      <c r="E12" s="146" t="s">
        <v>462</v>
      </c>
      <c r="F12" s="207"/>
      <c r="G12" s="207"/>
      <c r="H12" s="147">
        <f>J12/1000</f>
        <v>0.14599999999999999</v>
      </c>
      <c r="I12" s="149"/>
      <c r="J12" s="147">
        <f>TRUNC(SUM(J5:J9)*0.5,0)</f>
        <v>146</v>
      </c>
      <c r="K12" s="267"/>
    </row>
    <row r="13" spans="1:11" ht="18" customHeight="1">
      <c r="A13" s="267">
        <v>2</v>
      </c>
      <c r="B13" s="210" t="s">
        <v>144</v>
      </c>
      <c r="C13" s="218"/>
      <c r="D13" s="212" t="s">
        <v>145</v>
      </c>
      <c r="E13" s="146" t="s">
        <v>146</v>
      </c>
      <c r="F13" s="207"/>
      <c r="G13" s="207"/>
      <c r="H13" s="147">
        <f>J13</f>
        <v>35</v>
      </c>
      <c r="I13" s="214"/>
      <c r="J13" s="147">
        <f>SUM(J6:J7)</f>
        <v>35</v>
      </c>
      <c r="K13" s="267"/>
    </row>
    <row r="14" spans="1:11" ht="18" customHeight="1">
      <c r="A14" s="267"/>
      <c r="B14" s="143" t="s">
        <v>118</v>
      </c>
      <c r="C14" s="211"/>
      <c r="D14" s="212"/>
      <c r="E14" s="213"/>
      <c r="F14" s="207"/>
      <c r="G14" s="207"/>
      <c r="H14" s="268"/>
      <c r="I14" s="214"/>
      <c r="J14" s="268"/>
      <c r="K14" s="267"/>
    </row>
    <row r="15" spans="1:11" ht="18" customHeight="1">
      <c r="A15" s="70">
        <v>-1</v>
      </c>
      <c r="B15" s="33" t="s">
        <v>207</v>
      </c>
      <c r="C15" s="11"/>
      <c r="D15" s="80" t="s">
        <v>227</v>
      </c>
      <c r="E15" s="151">
        <v>1</v>
      </c>
      <c r="F15" s="11">
        <v>1</v>
      </c>
      <c r="G15" s="11"/>
      <c r="H15" s="147">
        <f t="shared" ref="H15" si="3">ROUNDDOWN(F15*(1+G15),1)</f>
        <v>1</v>
      </c>
      <c r="I15" s="11">
        <v>200</v>
      </c>
      <c r="J15" s="147">
        <f t="shared" ref="J15" si="4">ROUNDDOWN(F15*I15,2)</f>
        <v>200</v>
      </c>
      <c r="K15" s="267"/>
    </row>
    <row r="16" spans="1:11" s="53" customFormat="1" ht="18" customHeight="1">
      <c r="A16" s="155">
        <v>1</v>
      </c>
      <c r="B16" s="153" t="s">
        <v>117</v>
      </c>
      <c r="C16" s="154" t="s">
        <v>118</v>
      </c>
      <c r="D16" s="155" t="s">
        <v>119</v>
      </c>
      <c r="E16" s="156" t="s">
        <v>147</v>
      </c>
      <c r="F16" s="11"/>
      <c r="G16" s="11"/>
      <c r="H16" s="147">
        <f>ROUNDDOWN(J16/1000,3)</f>
        <v>0.2</v>
      </c>
      <c r="I16" s="11"/>
      <c r="J16" s="147">
        <f>SUM(J15:J15)</f>
        <v>200</v>
      </c>
      <c r="K16" s="269"/>
    </row>
    <row r="17" spans="1:11" s="53" customFormat="1" ht="18" customHeight="1">
      <c r="A17" s="143"/>
      <c r="B17" s="143"/>
      <c r="C17" s="269"/>
      <c r="D17" s="269"/>
      <c r="E17" s="270"/>
      <c r="F17" s="268"/>
      <c r="G17" s="268"/>
      <c r="H17" s="268"/>
      <c r="I17" s="150"/>
      <c r="J17" s="268"/>
      <c r="K17" s="269"/>
    </row>
    <row r="18" spans="1:11" s="53" customFormat="1" ht="18" customHeight="1">
      <c r="A18" s="143"/>
      <c r="B18" s="143"/>
      <c r="C18" s="269"/>
      <c r="D18" s="269"/>
      <c r="E18" s="270"/>
      <c r="F18" s="268"/>
      <c r="G18" s="268"/>
      <c r="H18" s="268"/>
      <c r="I18" s="150"/>
      <c r="J18" s="268"/>
      <c r="K18" s="269"/>
    </row>
    <row r="19" spans="1:11" s="53" customFormat="1" ht="18" customHeight="1">
      <c r="A19" s="70"/>
      <c r="B19" s="33"/>
      <c r="C19" s="11"/>
      <c r="D19" s="11"/>
      <c r="E19" s="151"/>
      <c r="F19" s="11"/>
      <c r="G19" s="11"/>
      <c r="H19" s="147"/>
      <c r="I19" s="11"/>
      <c r="J19" s="147"/>
      <c r="K19" s="269"/>
    </row>
    <row r="20" spans="1:11" s="53" customFormat="1" ht="18" customHeight="1">
      <c r="A20" s="70"/>
      <c r="B20" s="33"/>
      <c r="C20" s="11"/>
      <c r="D20" s="11"/>
      <c r="E20" s="151"/>
      <c r="F20" s="11"/>
      <c r="G20" s="11"/>
      <c r="H20" s="147"/>
      <c r="I20" s="11"/>
      <c r="J20" s="147"/>
      <c r="K20" s="269"/>
    </row>
    <row r="21" spans="1:11" s="53" customFormat="1" ht="18" customHeight="1">
      <c r="A21" s="70"/>
      <c r="B21" s="153"/>
      <c r="C21" s="154"/>
      <c r="D21" s="155"/>
      <c r="E21" s="144"/>
      <c r="F21" s="11"/>
      <c r="G21" s="70"/>
      <c r="H21" s="147"/>
      <c r="I21" s="70"/>
      <c r="J21" s="147"/>
      <c r="K21" s="269"/>
    </row>
    <row r="22" spans="1:11" s="53" customFormat="1" ht="18" customHeight="1">
      <c r="A22" s="70"/>
      <c r="B22" s="153"/>
      <c r="C22" s="11"/>
      <c r="D22" s="80"/>
      <c r="E22" s="144"/>
      <c r="F22" s="70"/>
      <c r="G22" s="70"/>
      <c r="H22" s="147"/>
      <c r="I22" s="70"/>
      <c r="J22" s="147"/>
      <c r="K22" s="269"/>
    </row>
    <row r="23" spans="1:11" s="53" customFormat="1" ht="18" customHeight="1">
      <c r="A23" s="70"/>
      <c r="B23" s="153"/>
      <c r="C23" s="11"/>
      <c r="D23" s="80"/>
      <c r="E23" s="144"/>
      <c r="F23" s="70"/>
      <c r="G23" s="70"/>
      <c r="H23" s="147"/>
      <c r="I23" s="70"/>
      <c r="J23" s="147"/>
      <c r="K23" s="269"/>
    </row>
    <row r="24" spans="1:11" ht="18" customHeight="1">
      <c r="A24" s="70"/>
      <c r="B24" s="153"/>
      <c r="C24" s="11"/>
      <c r="D24" s="80"/>
      <c r="E24" s="144"/>
      <c r="F24" s="70"/>
      <c r="G24" s="70"/>
      <c r="H24" s="147"/>
      <c r="I24" s="70"/>
      <c r="J24" s="147"/>
      <c r="K24" s="68"/>
    </row>
    <row r="25" spans="1:11" ht="18" customHeight="1">
      <c r="A25" s="155"/>
      <c r="B25" s="153"/>
      <c r="C25" s="154"/>
      <c r="D25" s="155"/>
      <c r="E25" s="156"/>
      <c r="F25" s="11"/>
      <c r="G25" s="11"/>
      <c r="H25" s="147"/>
      <c r="I25" s="11"/>
      <c r="J25" s="147"/>
      <c r="K25" s="68"/>
    </row>
    <row r="26" spans="1:11" ht="18" customHeight="1">
      <c r="A26" s="155"/>
      <c r="B26" s="153"/>
      <c r="C26" s="154"/>
      <c r="D26" s="155"/>
      <c r="E26" s="156"/>
      <c r="F26" s="11"/>
      <c r="G26" s="11"/>
      <c r="H26" s="147"/>
      <c r="I26" s="11"/>
      <c r="J26" s="147"/>
      <c r="K26" s="68"/>
    </row>
    <row r="27" spans="1:11" ht="18" customHeight="1">
      <c r="A27" s="155"/>
      <c r="B27" s="153"/>
      <c r="C27" s="154"/>
      <c r="D27" s="155"/>
      <c r="E27" s="156"/>
      <c r="F27" s="11"/>
      <c r="G27" s="11"/>
      <c r="H27" s="147"/>
      <c r="I27" s="11"/>
      <c r="J27" s="147"/>
      <c r="K27" s="68"/>
    </row>
    <row r="28" spans="1:11" ht="18" customHeight="1">
      <c r="A28" s="155"/>
      <c r="B28" s="153"/>
      <c r="C28" s="154"/>
      <c r="D28" s="155"/>
      <c r="E28" s="156"/>
      <c r="F28" s="11"/>
      <c r="G28" s="11"/>
      <c r="H28" s="147"/>
      <c r="I28" s="11"/>
      <c r="J28" s="147"/>
      <c r="K28" s="68"/>
    </row>
    <row r="29" spans="1:11" ht="18" customHeight="1">
      <c r="A29" s="155"/>
      <c r="B29" s="153"/>
      <c r="C29" s="154"/>
      <c r="D29" s="155"/>
      <c r="E29" s="156"/>
      <c r="F29" s="11"/>
      <c r="G29" s="11"/>
      <c r="H29" s="147"/>
      <c r="I29" s="11"/>
      <c r="J29" s="147"/>
    </row>
    <row r="30" spans="1:11" ht="18" customHeight="1">
      <c r="A30" s="142" t="s">
        <v>302</v>
      </c>
      <c r="B30" s="142"/>
      <c r="C30" s="118"/>
      <c r="D30" s="119"/>
    </row>
    <row r="31" spans="1:11" s="53" customFormat="1" ht="18" customHeight="1">
      <c r="A31" s="398" t="s">
        <v>22</v>
      </c>
      <c r="B31" s="398" t="s">
        <v>26</v>
      </c>
      <c r="C31" s="398" t="s">
        <v>27</v>
      </c>
      <c r="D31" s="398" t="s">
        <v>11</v>
      </c>
      <c r="E31" s="400" t="s">
        <v>28</v>
      </c>
      <c r="F31" s="402" t="s">
        <v>29</v>
      </c>
      <c r="G31" s="402" t="s">
        <v>14</v>
      </c>
      <c r="H31" s="402" t="s">
        <v>30</v>
      </c>
      <c r="I31" s="229" t="s">
        <v>111</v>
      </c>
      <c r="J31" s="229" t="s">
        <v>95</v>
      </c>
      <c r="K31" s="398" t="s">
        <v>13</v>
      </c>
    </row>
    <row r="32" spans="1:11" s="53" customFormat="1" ht="18" customHeight="1">
      <c r="A32" s="399"/>
      <c r="B32" s="399"/>
      <c r="C32" s="399"/>
      <c r="D32" s="399"/>
      <c r="E32" s="401"/>
      <c r="F32" s="403"/>
      <c r="G32" s="403"/>
      <c r="H32" s="403"/>
      <c r="I32" s="230" t="s">
        <v>112</v>
      </c>
      <c r="J32" s="230" t="s">
        <v>94</v>
      </c>
      <c r="K32" s="399"/>
    </row>
    <row r="33" spans="1:11" ht="18" customHeight="1">
      <c r="A33" s="143"/>
      <c r="B33" s="143" t="s">
        <v>128</v>
      </c>
      <c r="C33" s="145"/>
      <c r="D33" s="80"/>
      <c r="E33" s="146"/>
      <c r="F33" s="70"/>
      <c r="G33" s="70"/>
      <c r="H33" s="147"/>
      <c r="I33" s="149"/>
      <c r="J33" s="147"/>
      <c r="K33" s="68"/>
    </row>
    <row r="34" spans="1:11" ht="18" customHeight="1">
      <c r="A34" s="68">
        <v>1</v>
      </c>
      <c r="B34" s="157" t="s">
        <v>318</v>
      </c>
      <c r="C34" s="145" t="s">
        <v>148</v>
      </c>
      <c r="D34" s="80" t="s">
        <v>131</v>
      </c>
      <c r="E34" s="146">
        <v>1</v>
      </c>
      <c r="F34" s="70">
        <f>E34</f>
        <v>1</v>
      </c>
      <c r="G34" s="70"/>
      <c r="H34" s="147">
        <f>ROUNDDOWN(F34*(1+G34),1)</f>
        <v>1</v>
      </c>
      <c r="I34" s="70">
        <v>250</v>
      </c>
      <c r="J34" s="147">
        <f>ROUNDDOWN(F34*I34,2)</f>
        <v>250</v>
      </c>
      <c r="K34" s="68"/>
    </row>
    <row r="35" spans="1:11" ht="18" customHeight="1">
      <c r="A35" s="68">
        <v>2</v>
      </c>
      <c r="B35" s="148" t="s">
        <v>196</v>
      </c>
      <c r="C35" s="145" t="s">
        <v>195</v>
      </c>
      <c r="D35" s="80" t="s">
        <v>132</v>
      </c>
      <c r="E35" s="146">
        <v>1</v>
      </c>
      <c r="F35" s="70">
        <f t="shared" ref="F35:F38" si="5">E35</f>
        <v>1</v>
      </c>
      <c r="G35" s="70"/>
      <c r="H35" s="147">
        <f t="shared" ref="H35" si="6">ROUNDDOWN(F35*(1+G35),1)</f>
        <v>1</v>
      </c>
      <c r="I35" s="70">
        <v>15</v>
      </c>
      <c r="J35" s="147">
        <f t="shared" ref="J35" si="7">ROUNDDOWN(F35*I35,2)</f>
        <v>15</v>
      </c>
      <c r="K35" s="68"/>
    </row>
    <row r="36" spans="1:11" ht="18" customHeight="1">
      <c r="A36" s="68">
        <v>3</v>
      </c>
      <c r="B36" s="148" t="s">
        <v>196</v>
      </c>
      <c r="C36" s="145" t="s">
        <v>197</v>
      </c>
      <c r="D36" s="80" t="s">
        <v>132</v>
      </c>
      <c r="E36" s="146">
        <v>1</v>
      </c>
      <c r="F36" s="70">
        <f t="shared" si="5"/>
        <v>1</v>
      </c>
      <c r="G36" s="70"/>
      <c r="H36" s="147">
        <f t="shared" ref="H36" si="8">ROUNDDOWN(F36*(1+G36),1)</f>
        <v>1</v>
      </c>
      <c r="I36" s="70">
        <v>12.5</v>
      </c>
      <c r="J36" s="147">
        <f t="shared" ref="J36" si="9">ROUNDDOWN(F36*I36,2)</f>
        <v>12.5</v>
      </c>
      <c r="K36" s="68"/>
    </row>
    <row r="37" spans="1:11" ht="18" customHeight="1">
      <c r="A37" s="68">
        <v>4</v>
      </c>
      <c r="B37" s="148" t="s">
        <v>196</v>
      </c>
      <c r="C37" s="145" t="s">
        <v>198</v>
      </c>
      <c r="D37" s="80" t="s">
        <v>132</v>
      </c>
      <c r="E37" s="146">
        <v>1</v>
      </c>
      <c r="F37" s="70">
        <f t="shared" si="5"/>
        <v>1</v>
      </c>
      <c r="G37" s="70"/>
      <c r="H37" s="147">
        <f t="shared" ref="H37:H38" si="10">ROUNDDOWN(F37*(1+G37),1)</f>
        <v>1</v>
      </c>
      <c r="I37" s="70">
        <v>10</v>
      </c>
      <c r="J37" s="147">
        <f t="shared" ref="J37:J38" si="11">ROUNDDOWN(F37*I37,2)</f>
        <v>10</v>
      </c>
      <c r="K37" s="68"/>
    </row>
    <row r="38" spans="1:11" ht="18" customHeight="1">
      <c r="A38" s="68">
        <v>5</v>
      </c>
      <c r="B38" s="148" t="s">
        <v>196</v>
      </c>
      <c r="C38" s="145" t="s">
        <v>199</v>
      </c>
      <c r="D38" s="80" t="s">
        <v>132</v>
      </c>
      <c r="E38" s="146">
        <v>7</v>
      </c>
      <c r="F38" s="70">
        <f t="shared" si="5"/>
        <v>7</v>
      </c>
      <c r="G38" s="70"/>
      <c r="H38" s="147">
        <f t="shared" si="10"/>
        <v>7</v>
      </c>
      <c r="I38" s="70">
        <v>12.5</v>
      </c>
      <c r="J38" s="147">
        <f t="shared" si="11"/>
        <v>87.5</v>
      </c>
      <c r="K38" s="68"/>
    </row>
    <row r="39" spans="1:11" ht="18" customHeight="1">
      <c r="A39" s="68">
        <v>6</v>
      </c>
      <c r="B39" s="210" t="s">
        <v>134</v>
      </c>
      <c r="C39" s="145" t="s">
        <v>149</v>
      </c>
      <c r="D39" s="212" t="s">
        <v>136</v>
      </c>
      <c r="E39" s="213" t="s">
        <v>200</v>
      </c>
      <c r="F39" s="207">
        <f>(10+7.5)*8</f>
        <v>140</v>
      </c>
      <c r="G39" s="207"/>
      <c r="H39" s="147">
        <f t="shared" ref="H39" si="12">ROUNDDOWN(F39*(1+G39),1)</f>
        <v>140</v>
      </c>
      <c r="I39" s="70">
        <v>0.17</v>
      </c>
      <c r="J39" s="147">
        <f t="shared" ref="J39" si="13">ROUNDDOWN(F39*I39,2)</f>
        <v>23.8</v>
      </c>
      <c r="K39" s="215"/>
    </row>
    <row r="40" spans="1:11" ht="18" customHeight="1">
      <c r="A40" s="68">
        <v>7</v>
      </c>
      <c r="B40" s="210" t="s">
        <v>138</v>
      </c>
      <c r="C40" s="211" t="s">
        <v>139</v>
      </c>
      <c r="D40" s="212" t="s">
        <v>140</v>
      </c>
      <c r="E40" s="146" t="s">
        <v>143</v>
      </c>
      <c r="F40" s="207"/>
      <c r="G40" s="207"/>
      <c r="H40" s="147">
        <f>J40/1000</f>
        <v>0.39879999999999999</v>
      </c>
      <c r="I40" s="149"/>
      <c r="J40" s="147">
        <f>SUM(J34:J39)</f>
        <v>398.8</v>
      </c>
      <c r="K40" s="215"/>
    </row>
    <row r="41" spans="1:11" ht="18" customHeight="1">
      <c r="A41" s="215"/>
      <c r="B41" s="143" t="s">
        <v>137</v>
      </c>
      <c r="C41" s="211"/>
      <c r="D41" s="212"/>
      <c r="E41" s="213"/>
      <c r="F41" s="207"/>
      <c r="G41" s="207"/>
      <c r="H41" s="230"/>
      <c r="I41" s="214"/>
      <c r="J41" s="230"/>
      <c r="K41" s="215"/>
    </row>
    <row r="42" spans="1:11" ht="18" customHeight="1">
      <c r="A42" s="215">
        <v>1</v>
      </c>
      <c r="B42" s="210" t="s">
        <v>141</v>
      </c>
      <c r="C42" s="218" t="s">
        <v>142</v>
      </c>
      <c r="D42" s="212" t="s">
        <v>140</v>
      </c>
      <c r="E42" s="146" t="s">
        <v>462</v>
      </c>
      <c r="F42" s="207"/>
      <c r="G42" s="207"/>
      <c r="H42" s="147">
        <f>J42/1000</f>
        <v>0.19900000000000001</v>
      </c>
      <c r="I42" s="149"/>
      <c r="J42" s="147">
        <f>TRUNC(SUM(J34:J39)*0.5,0)</f>
        <v>199</v>
      </c>
      <c r="K42" s="215"/>
    </row>
    <row r="43" spans="1:11" ht="18" customHeight="1">
      <c r="A43" s="215">
        <v>2</v>
      </c>
      <c r="B43" s="210" t="s">
        <v>144</v>
      </c>
      <c r="C43" s="218"/>
      <c r="D43" s="212" t="s">
        <v>145</v>
      </c>
      <c r="E43" s="146" t="s">
        <v>146</v>
      </c>
      <c r="F43" s="207"/>
      <c r="G43" s="207"/>
      <c r="H43" s="147">
        <f>J43</f>
        <v>125</v>
      </c>
      <c r="I43" s="214"/>
      <c r="J43" s="147">
        <f>SUM(J35:J38)</f>
        <v>125</v>
      </c>
      <c r="K43" s="215"/>
    </row>
    <row r="44" spans="1:11" ht="18" customHeight="1">
      <c r="A44" s="215"/>
      <c r="B44" s="143" t="s">
        <v>118</v>
      </c>
      <c r="C44" s="211"/>
      <c r="D44" s="212"/>
      <c r="E44" s="213"/>
      <c r="F44" s="207"/>
      <c r="G44" s="207"/>
      <c r="H44" s="230"/>
      <c r="I44" s="214"/>
      <c r="J44" s="230"/>
      <c r="K44" s="215"/>
    </row>
    <row r="45" spans="1:11" ht="18" customHeight="1">
      <c r="A45" s="70">
        <v>-1</v>
      </c>
      <c r="B45" s="33" t="s">
        <v>153</v>
      </c>
      <c r="C45" s="11"/>
      <c r="D45" s="11" t="s">
        <v>227</v>
      </c>
      <c r="E45" s="151">
        <v>1</v>
      </c>
      <c r="F45" s="11">
        <v>1</v>
      </c>
      <c r="G45" s="11"/>
      <c r="H45" s="147">
        <f t="shared" ref="H45" si="14">ROUNDDOWN(F45*(1+G45),1)</f>
        <v>1</v>
      </c>
      <c r="I45" s="11">
        <v>50</v>
      </c>
      <c r="J45" s="147">
        <f t="shared" ref="J45" si="15">ROUNDDOWN(F45*I45,2)</f>
        <v>50</v>
      </c>
      <c r="K45" s="215"/>
    </row>
    <row r="46" spans="1:11" s="53" customFormat="1" ht="18" customHeight="1">
      <c r="A46" s="68">
        <v>-2</v>
      </c>
      <c r="B46" s="210" t="s">
        <v>150</v>
      </c>
      <c r="C46" s="211" t="s">
        <v>151</v>
      </c>
      <c r="D46" s="212" t="s">
        <v>152</v>
      </c>
      <c r="E46" s="213" t="s">
        <v>201</v>
      </c>
      <c r="F46" s="207">
        <f>(8.55*7.5)*2.5</f>
        <v>160.3125</v>
      </c>
      <c r="G46" s="207"/>
      <c r="H46" s="147">
        <f>ROUNDDOWN(F46*(1+G46),1)</f>
        <v>160.30000000000001</v>
      </c>
      <c r="I46" s="70">
        <v>0.45</v>
      </c>
      <c r="J46" s="147">
        <f>ROUNDDOWN(F46*I46,2)</f>
        <v>72.14</v>
      </c>
      <c r="K46" s="216"/>
    </row>
    <row r="47" spans="1:11" s="53" customFormat="1" ht="18" customHeight="1">
      <c r="A47" s="155">
        <v>1</v>
      </c>
      <c r="B47" s="153" t="s">
        <v>117</v>
      </c>
      <c r="C47" s="154" t="s">
        <v>118</v>
      </c>
      <c r="D47" s="155" t="s">
        <v>119</v>
      </c>
      <c r="E47" s="156" t="s">
        <v>147</v>
      </c>
      <c r="F47" s="11"/>
      <c r="G47" s="11"/>
      <c r="H47" s="147">
        <f>ROUNDDOWN(J47/1000,3)</f>
        <v>0.122</v>
      </c>
      <c r="I47" s="11"/>
      <c r="J47" s="147">
        <f>SUM(J45:J46)</f>
        <v>122.14</v>
      </c>
      <c r="K47" s="216"/>
    </row>
    <row r="48" spans="1:11" s="53" customFormat="1" ht="18" customHeight="1">
      <c r="A48" s="143"/>
      <c r="B48" s="143"/>
      <c r="C48" s="216"/>
      <c r="D48" s="216"/>
      <c r="E48" s="217"/>
      <c r="F48" s="230"/>
      <c r="G48" s="230"/>
      <c r="H48" s="230"/>
      <c r="I48" s="150"/>
      <c r="J48" s="230"/>
      <c r="K48" s="216"/>
    </row>
    <row r="49" spans="1:11" s="53" customFormat="1" ht="18" customHeight="1">
      <c r="A49" s="143"/>
      <c r="B49" s="143"/>
      <c r="C49" s="269"/>
      <c r="D49" s="269"/>
      <c r="E49" s="270"/>
      <c r="F49" s="268"/>
      <c r="G49" s="268"/>
      <c r="H49" s="268"/>
      <c r="I49" s="150"/>
      <c r="J49" s="268"/>
      <c r="K49" s="269"/>
    </row>
    <row r="50" spans="1:11" s="53" customFormat="1" ht="18" customHeight="1">
      <c r="A50" s="143"/>
      <c r="B50" s="143"/>
      <c r="C50" s="269"/>
      <c r="D50" s="269"/>
      <c r="E50" s="270"/>
      <c r="F50" s="268"/>
      <c r="G50" s="268"/>
      <c r="H50" s="268"/>
      <c r="I50" s="150"/>
      <c r="J50" s="268"/>
      <c r="K50" s="269"/>
    </row>
    <row r="51" spans="1:11" s="53" customFormat="1" ht="18" customHeight="1">
      <c r="A51" s="143"/>
      <c r="B51" s="143"/>
      <c r="C51" s="269"/>
      <c r="D51" s="269"/>
      <c r="E51" s="270"/>
      <c r="F51" s="268"/>
      <c r="G51" s="268"/>
      <c r="H51" s="268"/>
      <c r="I51" s="150"/>
      <c r="J51" s="268"/>
      <c r="K51" s="269"/>
    </row>
    <row r="52" spans="1:11" s="53" customFormat="1" ht="18" customHeight="1">
      <c r="A52" s="143"/>
      <c r="B52" s="143"/>
      <c r="C52" s="269"/>
      <c r="D52" s="269"/>
      <c r="E52" s="270"/>
      <c r="F52" s="268"/>
      <c r="G52" s="268"/>
      <c r="H52" s="268"/>
      <c r="I52" s="150"/>
      <c r="J52" s="268"/>
      <c r="K52" s="269"/>
    </row>
    <row r="53" spans="1:11" s="53" customFormat="1" ht="18" customHeight="1">
      <c r="A53" s="70"/>
      <c r="B53" s="33"/>
      <c r="C53" s="11"/>
      <c r="D53" s="11"/>
      <c r="E53" s="151"/>
      <c r="F53" s="11"/>
      <c r="G53" s="11"/>
      <c r="H53" s="147"/>
      <c r="I53" s="11"/>
      <c r="J53" s="147"/>
      <c r="K53" s="216"/>
    </row>
    <row r="54" spans="1:11" s="53" customFormat="1" ht="18" customHeight="1">
      <c r="A54" s="70"/>
      <c r="B54" s="153"/>
      <c r="C54" s="154"/>
      <c r="D54" s="155"/>
      <c r="E54" s="144"/>
      <c r="F54" s="11"/>
      <c r="G54" s="70"/>
      <c r="H54" s="147"/>
      <c r="I54" s="70"/>
      <c r="J54" s="147"/>
      <c r="K54" s="216"/>
    </row>
    <row r="55" spans="1:11" s="53" customFormat="1" ht="18" customHeight="1">
      <c r="A55" s="70"/>
      <c r="B55" s="153"/>
      <c r="C55" s="11"/>
      <c r="D55" s="80"/>
      <c r="E55" s="144"/>
      <c r="F55" s="70"/>
      <c r="G55" s="70"/>
      <c r="H55" s="147"/>
      <c r="I55" s="70"/>
      <c r="J55" s="147"/>
      <c r="K55" s="216"/>
    </row>
    <row r="56" spans="1:11" s="53" customFormat="1" ht="18" customHeight="1">
      <c r="A56" s="70"/>
      <c r="B56" s="153"/>
      <c r="C56" s="11"/>
      <c r="D56" s="80"/>
      <c r="E56" s="144"/>
      <c r="F56" s="70"/>
      <c r="G56" s="70"/>
      <c r="H56" s="147"/>
      <c r="I56" s="70"/>
      <c r="J56" s="147"/>
      <c r="K56" s="216"/>
    </row>
    <row r="57" spans="1:11" ht="18" customHeight="1">
      <c r="A57" s="70"/>
      <c r="B57" s="153"/>
      <c r="C57" s="11"/>
      <c r="D57" s="80"/>
      <c r="E57" s="144"/>
      <c r="F57" s="70"/>
      <c r="G57" s="70"/>
      <c r="H57" s="147"/>
      <c r="I57" s="70"/>
      <c r="J57" s="147"/>
      <c r="K57" s="68"/>
    </row>
    <row r="58" spans="1:11" ht="18" customHeight="1">
      <c r="A58" s="155"/>
      <c r="B58" s="153"/>
      <c r="C58" s="154"/>
      <c r="D58" s="155"/>
      <c r="E58" s="156"/>
      <c r="F58" s="11"/>
      <c r="G58" s="11"/>
      <c r="H58" s="147"/>
      <c r="I58" s="11"/>
      <c r="J58" s="147"/>
    </row>
    <row r="59" spans="1:11" s="53" customFormat="1" ht="18" customHeight="1">
      <c r="A59" s="142" t="s">
        <v>304</v>
      </c>
      <c r="B59" s="142"/>
      <c r="C59" s="118"/>
      <c r="D59" s="119"/>
      <c r="E59" s="120"/>
      <c r="F59" s="58"/>
      <c r="G59" s="58"/>
      <c r="H59" s="58"/>
      <c r="I59" s="122"/>
      <c r="J59" s="58"/>
      <c r="K59" s="398" t="s">
        <v>13</v>
      </c>
    </row>
    <row r="60" spans="1:11" s="53" customFormat="1" ht="18" customHeight="1">
      <c r="A60" s="398" t="s">
        <v>22</v>
      </c>
      <c r="B60" s="398" t="s">
        <v>26</v>
      </c>
      <c r="C60" s="398" t="s">
        <v>27</v>
      </c>
      <c r="D60" s="398" t="s">
        <v>11</v>
      </c>
      <c r="E60" s="400" t="s">
        <v>28</v>
      </c>
      <c r="F60" s="402" t="s">
        <v>29</v>
      </c>
      <c r="G60" s="402" t="s">
        <v>14</v>
      </c>
      <c r="H60" s="402" t="s">
        <v>30</v>
      </c>
      <c r="I60" s="229" t="s">
        <v>111</v>
      </c>
      <c r="J60" s="229" t="s">
        <v>95</v>
      </c>
      <c r="K60" s="399"/>
    </row>
    <row r="61" spans="1:11" ht="18" customHeight="1">
      <c r="A61" s="399"/>
      <c r="B61" s="399"/>
      <c r="C61" s="399"/>
      <c r="D61" s="399"/>
      <c r="E61" s="401"/>
      <c r="F61" s="403"/>
      <c r="G61" s="403"/>
      <c r="H61" s="403"/>
      <c r="I61" s="230" t="s">
        <v>112</v>
      </c>
      <c r="J61" s="230" t="s">
        <v>94</v>
      </c>
      <c r="K61" s="68"/>
    </row>
    <row r="62" spans="1:11" ht="18" customHeight="1">
      <c r="A62" s="143"/>
      <c r="B62" s="143" t="s">
        <v>128</v>
      </c>
      <c r="C62" s="145"/>
      <c r="D62" s="80"/>
      <c r="E62" s="146"/>
      <c r="F62" s="70"/>
      <c r="G62" s="70"/>
      <c r="H62" s="147"/>
      <c r="I62" s="149"/>
      <c r="J62" s="147"/>
      <c r="K62" s="68"/>
    </row>
    <row r="63" spans="1:11" ht="18" customHeight="1">
      <c r="A63" s="68">
        <v>1</v>
      </c>
      <c r="B63" s="157" t="s">
        <v>318</v>
      </c>
      <c r="C63" s="145" t="s">
        <v>148</v>
      </c>
      <c r="D63" s="80" t="s">
        <v>131</v>
      </c>
      <c r="E63" s="146">
        <v>1</v>
      </c>
      <c r="F63" s="70">
        <f>E63</f>
        <v>1</v>
      </c>
      <c r="G63" s="70"/>
      <c r="H63" s="147">
        <f>ROUNDDOWN(F63*(1+G63),1)</f>
        <v>1</v>
      </c>
      <c r="I63" s="70">
        <v>250</v>
      </c>
      <c r="J63" s="147">
        <f>ROUNDDOWN(F63*I63,2)</f>
        <v>250</v>
      </c>
      <c r="K63" s="68"/>
    </row>
    <row r="64" spans="1:11" ht="18" customHeight="1">
      <c r="A64" s="215">
        <v>2</v>
      </c>
      <c r="B64" s="210" t="s">
        <v>129</v>
      </c>
      <c r="C64" s="145" t="s">
        <v>130</v>
      </c>
      <c r="D64" s="212" t="s">
        <v>131</v>
      </c>
      <c r="E64" s="213">
        <v>1</v>
      </c>
      <c r="F64" s="70">
        <f t="shared" ref="F64:F65" si="16">E64</f>
        <v>1</v>
      </c>
      <c r="G64" s="207"/>
      <c r="H64" s="147">
        <f t="shared" ref="H64:H67" si="17">ROUNDDOWN(F64*(1+G64),1)</f>
        <v>1</v>
      </c>
      <c r="I64" s="70">
        <v>12.5</v>
      </c>
      <c r="J64" s="147">
        <f t="shared" ref="J64:J67" si="18">ROUNDDOWN(F64*I64,2)</f>
        <v>12.5</v>
      </c>
      <c r="K64" s="215"/>
    </row>
    <row r="65" spans="1:11" ht="18" customHeight="1">
      <c r="A65" s="215">
        <v>3</v>
      </c>
      <c r="B65" s="210" t="s">
        <v>129</v>
      </c>
      <c r="C65" s="145" t="s">
        <v>133</v>
      </c>
      <c r="D65" s="212" t="s">
        <v>131</v>
      </c>
      <c r="E65" s="213">
        <v>3</v>
      </c>
      <c r="F65" s="70">
        <f t="shared" si="16"/>
        <v>3</v>
      </c>
      <c r="G65" s="207"/>
      <c r="H65" s="147">
        <f t="shared" si="17"/>
        <v>3</v>
      </c>
      <c r="I65" s="70">
        <v>7.5</v>
      </c>
      <c r="J65" s="147">
        <f t="shared" si="18"/>
        <v>22.5</v>
      </c>
      <c r="K65" s="215"/>
    </row>
    <row r="66" spans="1:11" ht="18" customHeight="1">
      <c r="A66" s="215">
        <v>4</v>
      </c>
      <c r="B66" s="210" t="s">
        <v>134</v>
      </c>
      <c r="C66" s="145" t="s">
        <v>135</v>
      </c>
      <c r="D66" s="212" t="s">
        <v>136</v>
      </c>
      <c r="E66" s="213" t="s">
        <v>202</v>
      </c>
      <c r="F66" s="207">
        <f>(7.5+7)*4</f>
        <v>58</v>
      </c>
      <c r="G66" s="207"/>
      <c r="H66" s="147">
        <f t="shared" si="17"/>
        <v>58</v>
      </c>
      <c r="I66" s="70">
        <v>0.17</v>
      </c>
      <c r="J66" s="147">
        <f t="shared" si="18"/>
        <v>9.86</v>
      </c>
      <c r="K66" s="215"/>
    </row>
    <row r="67" spans="1:11" ht="18" customHeight="1">
      <c r="A67" s="267">
        <v>5</v>
      </c>
      <c r="B67" s="210" t="s">
        <v>203</v>
      </c>
      <c r="C67" s="211"/>
      <c r="D67" s="212" t="s">
        <v>102</v>
      </c>
      <c r="E67" s="213">
        <v>4</v>
      </c>
      <c r="F67" s="70">
        <f t="shared" ref="F67" si="19">E67</f>
        <v>4</v>
      </c>
      <c r="G67" s="207"/>
      <c r="H67" s="147">
        <f t="shared" si="17"/>
        <v>4</v>
      </c>
      <c r="I67" s="70">
        <v>12</v>
      </c>
      <c r="J67" s="147">
        <f t="shared" si="18"/>
        <v>48</v>
      </c>
      <c r="K67" s="267"/>
    </row>
    <row r="68" spans="1:11" ht="18" customHeight="1">
      <c r="A68" s="215">
        <v>6</v>
      </c>
      <c r="B68" s="210" t="s">
        <v>138</v>
      </c>
      <c r="C68" s="211" t="s">
        <v>139</v>
      </c>
      <c r="D68" s="212" t="s">
        <v>140</v>
      </c>
      <c r="E68" s="146" t="s">
        <v>143</v>
      </c>
      <c r="F68" s="207"/>
      <c r="G68" s="207"/>
      <c r="H68" s="147">
        <f>J68/1000</f>
        <v>0.29486000000000001</v>
      </c>
      <c r="I68" s="149"/>
      <c r="J68" s="147">
        <f>SUM(J63:J66)</f>
        <v>294.86</v>
      </c>
      <c r="K68" s="215"/>
    </row>
    <row r="69" spans="1:11" ht="18" customHeight="1">
      <c r="A69" s="215"/>
      <c r="B69" s="143" t="s">
        <v>137</v>
      </c>
      <c r="C69" s="211"/>
      <c r="D69" s="212"/>
      <c r="E69" s="213"/>
      <c r="F69" s="207"/>
      <c r="G69" s="207"/>
      <c r="H69" s="230"/>
      <c r="I69" s="214"/>
      <c r="J69" s="230"/>
      <c r="K69" s="215"/>
    </row>
    <row r="70" spans="1:11" ht="18" customHeight="1">
      <c r="A70" s="215">
        <v>1</v>
      </c>
      <c r="B70" s="210" t="s">
        <v>141</v>
      </c>
      <c r="C70" s="218" t="s">
        <v>142</v>
      </c>
      <c r="D70" s="212" t="s">
        <v>140</v>
      </c>
      <c r="E70" s="146" t="s">
        <v>462</v>
      </c>
      <c r="F70" s="207"/>
      <c r="G70" s="207"/>
      <c r="H70" s="147">
        <f>J70/1000</f>
        <v>0.17100000000000001</v>
      </c>
      <c r="I70" s="149"/>
      <c r="J70" s="147">
        <f>TRUNC(SUM(J63:J67)*0.5,0)</f>
        <v>171</v>
      </c>
      <c r="K70" s="215"/>
    </row>
    <row r="71" spans="1:11" ht="18" customHeight="1">
      <c r="A71" s="215">
        <v>2</v>
      </c>
      <c r="B71" s="210" t="s">
        <v>144</v>
      </c>
      <c r="C71" s="218"/>
      <c r="D71" s="212" t="s">
        <v>145</v>
      </c>
      <c r="E71" s="146" t="s">
        <v>146</v>
      </c>
      <c r="F71" s="207"/>
      <c r="G71" s="207"/>
      <c r="H71" s="147">
        <f>J71</f>
        <v>35</v>
      </c>
      <c r="I71" s="214"/>
      <c r="J71" s="147">
        <f>SUM(J64:J65)</f>
        <v>35</v>
      </c>
      <c r="K71" s="215"/>
    </row>
    <row r="72" spans="1:11" ht="18" customHeight="1">
      <c r="A72" s="215"/>
      <c r="B72" s="143" t="s">
        <v>118</v>
      </c>
      <c r="C72" s="211"/>
      <c r="D72" s="212"/>
      <c r="E72" s="213"/>
      <c r="F72" s="207"/>
      <c r="G72" s="207"/>
      <c r="H72" s="230"/>
      <c r="I72" s="214"/>
      <c r="J72" s="230"/>
      <c r="K72" s="215"/>
    </row>
    <row r="73" spans="1:11" ht="18" customHeight="1">
      <c r="A73" s="70">
        <v>-1</v>
      </c>
      <c r="B73" s="33" t="s">
        <v>113</v>
      </c>
      <c r="C73" s="11" t="s">
        <v>114</v>
      </c>
      <c r="D73" s="11" t="s">
        <v>115</v>
      </c>
      <c r="E73" s="151">
        <v>7.5</v>
      </c>
      <c r="F73" s="11">
        <f>E73</f>
        <v>7.5</v>
      </c>
      <c r="G73" s="11"/>
      <c r="H73" s="147">
        <f t="shared" ref="H73:H74" si="20">ROUNDDOWN(F73*(1+G73),1)</f>
        <v>7.5</v>
      </c>
      <c r="I73" s="11">
        <v>3.63</v>
      </c>
      <c r="J73" s="147">
        <f t="shared" ref="J73:J74" si="21">ROUNDDOWN(F73*I73,2)</f>
        <v>27.22</v>
      </c>
      <c r="K73" s="215"/>
    </row>
    <row r="74" spans="1:11" ht="18" customHeight="1">
      <c r="A74" s="70">
        <v>-2</v>
      </c>
      <c r="B74" s="33" t="s">
        <v>206</v>
      </c>
      <c r="C74" s="11"/>
      <c r="D74" s="80" t="s">
        <v>102</v>
      </c>
      <c r="E74" s="151">
        <v>1</v>
      </c>
      <c r="F74" s="11">
        <v>1</v>
      </c>
      <c r="G74" s="11"/>
      <c r="H74" s="147">
        <f t="shared" si="20"/>
        <v>1</v>
      </c>
      <c r="I74" s="11">
        <v>250</v>
      </c>
      <c r="J74" s="147">
        <f t="shared" si="21"/>
        <v>250</v>
      </c>
      <c r="K74" s="267"/>
    </row>
    <row r="75" spans="1:11" s="53" customFormat="1" ht="18" customHeight="1">
      <c r="A75" s="155">
        <v>1</v>
      </c>
      <c r="B75" s="153" t="s">
        <v>117</v>
      </c>
      <c r="C75" s="154" t="s">
        <v>118</v>
      </c>
      <c r="D75" s="155" t="s">
        <v>119</v>
      </c>
      <c r="E75" s="156" t="s">
        <v>147</v>
      </c>
      <c r="F75" s="11"/>
      <c r="G75" s="11"/>
      <c r="H75" s="147">
        <f>ROUNDDOWN(J75/1000,3)</f>
        <v>0.27700000000000002</v>
      </c>
      <c r="I75" s="11"/>
      <c r="J75" s="147">
        <f>SUM(J73:J74)</f>
        <v>277.22000000000003</v>
      </c>
      <c r="K75" s="216"/>
    </row>
    <row r="76" spans="1:11" s="53" customFormat="1" ht="18" customHeight="1">
      <c r="A76" s="143"/>
      <c r="B76" s="143"/>
      <c r="C76" s="216"/>
      <c r="D76" s="216"/>
      <c r="E76" s="217"/>
      <c r="F76" s="230"/>
      <c r="G76" s="230"/>
      <c r="H76" s="230"/>
      <c r="I76" s="150"/>
      <c r="J76" s="230"/>
      <c r="K76" s="216"/>
    </row>
    <row r="77" spans="1:11" s="53" customFormat="1" ht="18" customHeight="1">
      <c r="A77" s="70"/>
      <c r="B77" s="33"/>
      <c r="C77" s="11"/>
      <c r="D77" s="11"/>
      <c r="E77" s="151"/>
      <c r="F77" s="11"/>
      <c r="G77" s="11"/>
      <c r="H77" s="147"/>
      <c r="I77" s="11"/>
      <c r="J77" s="147"/>
      <c r="K77" s="216"/>
    </row>
    <row r="78" spans="1:11" s="53" customFormat="1" ht="18" customHeight="1">
      <c r="A78" s="70"/>
      <c r="B78" s="33"/>
      <c r="C78" s="11"/>
      <c r="D78" s="11"/>
      <c r="E78" s="151"/>
      <c r="F78" s="11"/>
      <c r="G78" s="11"/>
      <c r="H78" s="147"/>
      <c r="I78" s="11"/>
      <c r="J78" s="147"/>
      <c r="K78" s="216"/>
    </row>
    <row r="79" spans="1:11" s="53" customFormat="1" ht="18" customHeight="1">
      <c r="A79" s="70"/>
      <c r="B79" s="153"/>
      <c r="C79" s="154"/>
      <c r="D79" s="155"/>
      <c r="E79" s="144"/>
      <c r="F79" s="11"/>
      <c r="G79" s="70"/>
      <c r="H79" s="147"/>
      <c r="I79" s="70"/>
      <c r="J79" s="147"/>
      <c r="K79" s="216"/>
    </row>
    <row r="80" spans="1:11" s="53" customFormat="1" ht="18" customHeight="1">
      <c r="A80" s="70"/>
      <c r="B80" s="153"/>
      <c r="C80" s="11"/>
      <c r="D80" s="80"/>
      <c r="E80" s="144"/>
      <c r="F80" s="70"/>
      <c r="G80" s="70"/>
      <c r="H80" s="147"/>
      <c r="I80" s="70"/>
      <c r="J80" s="147"/>
      <c r="K80" s="216"/>
    </row>
    <row r="81" spans="1:11" s="53" customFormat="1" ht="18" customHeight="1">
      <c r="A81" s="70"/>
      <c r="B81" s="153"/>
      <c r="C81" s="11"/>
      <c r="D81" s="80"/>
      <c r="E81" s="144"/>
      <c r="F81" s="70"/>
      <c r="G81" s="70"/>
      <c r="H81" s="147"/>
      <c r="I81" s="70"/>
      <c r="J81" s="147"/>
      <c r="K81" s="216"/>
    </row>
    <row r="82" spans="1:11" ht="18" customHeight="1">
      <c r="A82" s="70"/>
      <c r="B82" s="153"/>
      <c r="C82" s="11"/>
      <c r="D82" s="80"/>
      <c r="E82" s="144"/>
      <c r="F82" s="70"/>
      <c r="G82" s="70"/>
      <c r="H82" s="147"/>
      <c r="I82" s="70"/>
      <c r="J82" s="147"/>
      <c r="K82" s="68"/>
    </row>
    <row r="83" spans="1:11" ht="18" customHeight="1">
      <c r="A83" s="155"/>
      <c r="B83" s="153"/>
      <c r="C83" s="154"/>
      <c r="D83" s="155"/>
      <c r="E83" s="156"/>
      <c r="F83" s="11"/>
      <c r="G83" s="11"/>
      <c r="H83" s="147"/>
      <c r="I83" s="11"/>
      <c r="J83" s="147"/>
      <c r="K83" s="68"/>
    </row>
    <row r="84" spans="1:11" ht="18" customHeight="1">
      <c r="A84" s="155"/>
      <c r="B84" s="153"/>
      <c r="C84" s="154"/>
      <c r="D84" s="155"/>
      <c r="E84" s="156"/>
      <c r="F84" s="11"/>
      <c r="G84" s="11"/>
      <c r="H84" s="147"/>
      <c r="I84" s="11"/>
      <c r="J84" s="147"/>
      <c r="K84" s="68"/>
    </row>
    <row r="85" spans="1:11" ht="18" customHeight="1">
      <c r="A85" s="155"/>
      <c r="B85" s="153"/>
      <c r="C85" s="154"/>
      <c r="D85" s="155"/>
      <c r="E85" s="156"/>
      <c r="F85" s="11"/>
      <c r="G85" s="11"/>
      <c r="H85" s="147"/>
      <c r="I85" s="11"/>
      <c r="J85" s="147"/>
      <c r="K85" s="68"/>
    </row>
    <row r="86" spans="1:11" ht="18" customHeight="1">
      <c r="A86" s="155"/>
      <c r="B86" s="153"/>
      <c r="C86" s="154"/>
      <c r="D86" s="155"/>
      <c r="E86" s="156"/>
      <c r="F86" s="11"/>
      <c r="G86" s="11"/>
      <c r="H86" s="147"/>
      <c r="I86" s="11"/>
      <c r="J86" s="147"/>
      <c r="K86" s="68"/>
    </row>
    <row r="87" spans="1:11" ht="18" customHeight="1">
      <c r="A87" s="155"/>
      <c r="B87" s="153"/>
      <c r="C87" s="154"/>
      <c r="D87" s="155"/>
      <c r="E87" s="156"/>
      <c r="F87" s="11"/>
      <c r="G87" s="11"/>
      <c r="H87" s="147"/>
      <c r="I87" s="11"/>
      <c r="J87" s="147"/>
    </row>
    <row r="88" spans="1:11" s="53" customFormat="1" ht="18" customHeight="1">
      <c r="A88" s="142" t="s">
        <v>306</v>
      </c>
      <c r="B88" s="142"/>
      <c r="C88" s="118"/>
      <c r="D88" s="119"/>
      <c r="E88" s="120"/>
      <c r="F88" s="58"/>
      <c r="G88" s="58"/>
      <c r="H88" s="58"/>
      <c r="I88" s="122"/>
      <c r="J88" s="58"/>
      <c r="K88" s="398" t="s">
        <v>13</v>
      </c>
    </row>
    <row r="89" spans="1:11" s="53" customFormat="1" ht="18" customHeight="1">
      <c r="A89" s="398" t="s">
        <v>22</v>
      </c>
      <c r="B89" s="398" t="s">
        <v>26</v>
      </c>
      <c r="C89" s="398" t="s">
        <v>27</v>
      </c>
      <c r="D89" s="398" t="s">
        <v>11</v>
      </c>
      <c r="E89" s="400" t="s">
        <v>28</v>
      </c>
      <c r="F89" s="402" t="s">
        <v>29</v>
      </c>
      <c r="G89" s="402" t="s">
        <v>14</v>
      </c>
      <c r="H89" s="402" t="s">
        <v>30</v>
      </c>
      <c r="I89" s="229" t="s">
        <v>111</v>
      </c>
      <c r="J89" s="229" t="s">
        <v>95</v>
      </c>
      <c r="K89" s="399"/>
    </row>
    <row r="90" spans="1:11" ht="18" customHeight="1">
      <c r="A90" s="399"/>
      <c r="B90" s="399"/>
      <c r="C90" s="399"/>
      <c r="D90" s="399"/>
      <c r="E90" s="401"/>
      <c r="F90" s="403"/>
      <c r="G90" s="403"/>
      <c r="H90" s="403"/>
      <c r="I90" s="230" t="s">
        <v>112</v>
      </c>
      <c r="J90" s="230" t="s">
        <v>94</v>
      </c>
      <c r="K90" s="68"/>
    </row>
    <row r="91" spans="1:11" ht="18" customHeight="1">
      <c r="A91" s="143"/>
      <c r="B91" s="143" t="s">
        <v>128</v>
      </c>
      <c r="C91" s="145"/>
      <c r="D91" s="80"/>
      <c r="E91" s="146"/>
      <c r="F91" s="70"/>
      <c r="G91" s="70"/>
      <c r="H91" s="147"/>
      <c r="I91" s="149"/>
      <c r="J91" s="147"/>
      <c r="K91" s="68"/>
    </row>
    <row r="92" spans="1:11" ht="18" customHeight="1">
      <c r="A92" s="68">
        <v>1</v>
      </c>
      <c r="B92" s="157" t="s">
        <v>483</v>
      </c>
      <c r="C92" s="145" t="s">
        <v>148</v>
      </c>
      <c r="D92" s="80" t="s">
        <v>102</v>
      </c>
      <c r="E92" s="146">
        <v>1</v>
      </c>
      <c r="F92" s="70">
        <f>E92</f>
        <v>1</v>
      </c>
      <c r="G92" s="70"/>
      <c r="H92" s="147">
        <f>ROUNDDOWN(F92*(1+G92),1)</f>
        <v>1</v>
      </c>
      <c r="I92" s="70">
        <v>250</v>
      </c>
      <c r="J92" s="147">
        <f>ROUNDDOWN(F92*I92,2)</f>
        <v>250</v>
      </c>
      <c r="K92" s="68"/>
    </row>
    <row r="93" spans="1:11" ht="18" customHeight="1">
      <c r="A93" s="267">
        <v>2</v>
      </c>
      <c r="B93" s="210" t="s">
        <v>129</v>
      </c>
      <c r="C93" s="145" t="s">
        <v>130</v>
      </c>
      <c r="D93" s="212" t="s">
        <v>102</v>
      </c>
      <c r="E93" s="213">
        <v>1</v>
      </c>
      <c r="F93" s="70">
        <f t="shared" ref="F93:F94" si="22">E93</f>
        <v>1</v>
      </c>
      <c r="G93" s="207"/>
      <c r="H93" s="147">
        <f t="shared" ref="H93:H96" si="23">ROUNDDOWN(F93*(1+G93),1)</f>
        <v>1</v>
      </c>
      <c r="I93" s="70">
        <v>12.5</v>
      </c>
      <c r="J93" s="147">
        <f t="shared" ref="J93:J96" si="24">ROUNDDOWN(F93*I93,2)</f>
        <v>12.5</v>
      </c>
      <c r="K93" s="215"/>
    </row>
    <row r="94" spans="1:11" ht="18" customHeight="1">
      <c r="A94" s="267">
        <v>3</v>
      </c>
      <c r="B94" s="210" t="s">
        <v>129</v>
      </c>
      <c r="C94" s="145" t="s">
        <v>133</v>
      </c>
      <c r="D94" s="212" t="s">
        <v>102</v>
      </c>
      <c r="E94" s="213">
        <v>3</v>
      </c>
      <c r="F94" s="70">
        <f t="shared" si="22"/>
        <v>3</v>
      </c>
      <c r="G94" s="207"/>
      <c r="H94" s="147">
        <f t="shared" si="23"/>
        <v>3</v>
      </c>
      <c r="I94" s="70">
        <v>7.5</v>
      </c>
      <c r="J94" s="147">
        <f t="shared" si="24"/>
        <v>22.5</v>
      </c>
      <c r="K94" s="215"/>
    </row>
    <row r="95" spans="1:11" ht="18" customHeight="1">
      <c r="A95" s="267">
        <v>4</v>
      </c>
      <c r="B95" s="210" t="s">
        <v>134</v>
      </c>
      <c r="C95" s="145" t="s">
        <v>135</v>
      </c>
      <c r="D95" s="212" t="s">
        <v>136</v>
      </c>
      <c r="E95" s="213" t="s">
        <v>202</v>
      </c>
      <c r="F95" s="207">
        <f>(7.5+7)*4</f>
        <v>58</v>
      </c>
      <c r="G95" s="207"/>
      <c r="H95" s="147">
        <f t="shared" si="23"/>
        <v>58</v>
      </c>
      <c r="I95" s="70">
        <v>0.17</v>
      </c>
      <c r="J95" s="147">
        <f t="shared" si="24"/>
        <v>9.86</v>
      </c>
      <c r="K95" s="215"/>
    </row>
    <row r="96" spans="1:11" ht="18" customHeight="1">
      <c r="A96" s="267">
        <v>5</v>
      </c>
      <c r="B96" s="210" t="s">
        <v>203</v>
      </c>
      <c r="C96" s="211"/>
      <c r="D96" s="212" t="s">
        <v>102</v>
      </c>
      <c r="E96" s="213">
        <v>4</v>
      </c>
      <c r="F96" s="70">
        <f t="shared" ref="F96" si="25">E96</f>
        <v>4</v>
      </c>
      <c r="G96" s="207"/>
      <c r="H96" s="147">
        <f t="shared" si="23"/>
        <v>4</v>
      </c>
      <c r="I96" s="70">
        <v>12</v>
      </c>
      <c r="J96" s="147">
        <f t="shared" si="24"/>
        <v>48</v>
      </c>
      <c r="K96" s="267"/>
    </row>
    <row r="97" spans="1:11" ht="18" customHeight="1">
      <c r="A97" s="267">
        <v>6</v>
      </c>
      <c r="B97" s="210" t="s">
        <v>110</v>
      </c>
      <c r="C97" s="211" t="s">
        <v>139</v>
      </c>
      <c r="D97" s="212" t="s">
        <v>140</v>
      </c>
      <c r="E97" s="146" t="s">
        <v>143</v>
      </c>
      <c r="F97" s="207"/>
      <c r="G97" s="207"/>
      <c r="H97" s="147">
        <f>J97/1000</f>
        <v>0.34286</v>
      </c>
      <c r="I97" s="149"/>
      <c r="J97" s="147">
        <f>SUM(J92:J96)</f>
        <v>342.86</v>
      </c>
      <c r="K97" s="215"/>
    </row>
    <row r="98" spans="1:11" ht="18" customHeight="1">
      <c r="A98" s="215"/>
      <c r="B98" s="143" t="s">
        <v>137</v>
      </c>
      <c r="C98" s="211"/>
      <c r="D98" s="212"/>
      <c r="E98" s="213"/>
      <c r="F98" s="207"/>
      <c r="G98" s="207"/>
      <c r="H98" s="230"/>
      <c r="I98" s="214"/>
      <c r="J98" s="230"/>
      <c r="K98" s="215"/>
    </row>
    <row r="99" spans="1:11" ht="18" customHeight="1">
      <c r="A99" s="215">
        <v>1</v>
      </c>
      <c r="B99" s="210" t="s">
        <v>141</v>
      </c>
      <c r="C99" s="218" t="s">
        <v>142</v>
      </c>
      <c r="D99" s="212" t="s">
        <v>140</v>
      </c>
      <c r="E99" s="146" t="s">
        <v>462</v>
      </c>
      <c r="F99" s="207"/>
      <c r="G99" s="207"/>
      <c r="H99" s="147">
        <f>J99/1000</f>
        <v>0.17100000000000001</v>
      </c>
      <c r="I99" s="149"/>
      <c r="J99" s="147">
        <f>TRUNC(SUM(J92:J96)*0.5,0)</f>
        <v>171</v>
      </c>
      <c r="K99" s="215"/>
    </row>
    <row r="100" spans="1:11" ht="18" customHeight="1">
      <c r="A100" s="215">
        <v>2</v>
      </c>
      <c r="B100" s="210" t="s">
        <v>144</v>
      </c>
      <c r="C100" s="218"/>
      <c r="D100" s="212" t="s">
        <v>145</v>
      </c>
      <c r="E100" s="146" t="s">
        <v>146</v>
      </c>
      <c r="F100" s="207"/>
      <c r="G100" s="207"/>
      <c r="H100" s="147">
        <f>J100</f>
        <v>35</v>
      </c>
      <c r="I100" s="214"/>
      <c r="J100" s="147">
        <f>SUM(J93:J94)</f>
        <v>35</v>
      </c>
      <c r="K100" s="215"/>
    </row>
    <row r="101" spans="1:11" ht="18" customHeight="1">
      <c r="A101" s="215"/>
      <c r="B101" s="143" t="s">
        <v>118</v>
      </c>
      <c r="C101" s="211"/>
      <c r="D101" s="212"/>
      <c r="E101" s="213"/>
      <c r="F101" s="207"/>
      <c r="G101" s="207"/>
      <c r="H101" s="230"/>
      <c r="I101" s="214"/>
      <c r="J101" s="230"/>
      <c r="K101" s="215"/>
    </row>
    <row r="102" spans="1:11" ht="18" customHeight="1">
      <c r="A102" s="70">
        <v>-1</v>
      </c>
      <c r="B102" s="33" t="s">
        <v>113</v>
      </c>
      <c r="C102" s="11" t="s">
        <v>114</v>
      </c>
      <c r="D102" s="11" t="s">
        <v>115</v>
      </c>
      <c r="E102" s="151" t="s">
        <v>211</v>
      </c>
      <c r="F102" s="11">
        <f>7.5*2</f>
        <v>15</v>
      </c>
      <c r="G102" s="11"/>
      <c r="H102" s="147">
        <f t="shared" ref="H102" si="26">ROUNDDOWN(F102*(1+G102),1)</f>
        <v>15</v>
      </c>
      <c r="I102" s="11">
        <v>3.63</v>
      </c>
      <c r="J102" s="147">
        <f t="shared" ref="J102" si="27">ROUNDDOWN(F102*I102,2)</f>
        <v>54.45</v>
      </c>
      <c r="K102" s="215"/>
    </row>
    <row r="103" spans="1:11" s="53" customFormat="1" ht="18" customHeight="1">
      <c r="A103" s="70">
        <v>-2</v>
      </c>
      <c r="B103" s="153" t="s">
        <v>205</v>
      </c>
      <c r="C103" s="11"/>
      <c r="D103" s="80" t="s">
        <v>102</v>
      </c>
      <c r="E103" s="144">
        <v>1</v>
      </c>
      <c r="F103" s="70">
        <f>E103</f>
        <v>1</v>
      </c>
      <c r="G103" s="70"/>
      <c r="H103" s="147">
        <f>F103</f>
        <v>1</v>
      </c>
      <c r="I103" s="70">
        <v>250</v>
      </c>
      <c r="J103" s="147">
        <f>I103*H103</f>
        <v>250</v>
      </c>
      <c r="K103" s="216"/>
    </row>
    <row r="104" spans="1:11" s="53" customFormat="1" ht="18" customHeight="1">
      <c r="A104" s="155">
        <v>1</v>
      </c>
      <c r="B104" s="153" t="s">
        <v>117</v>
      </c>
      <c r="C104" s="154" t="s">
        <v>118</v>
      </c>
      <c r="D104" s="155" t="s">
        <v>119</v>
      </c>
      <c r="E104" s="156" t="s">
        <v>147</v>
      </c>
      <c r="F104" s="11"/>
      <c r="G104" s="11"/>
      <c r="H104" s="147">
        <f>ROUNDDOWN(J104/1000,3)</f>
        <v>0.30399999999999999</v>
      </c>
      <c r="I104" s="11"/>
      <c r="J104" s="147">
        <f>SUM(J102:J103)</f>
        <v>304.45</v>
      </c>
      <c r="K104" s="216"/>
    </row>
    <row r="105" spans="1:11" s="53" customFormat="1" ht="18" customHeight="1">
      <c r="A105" s="143"/>
      <c r="B105" s="143"/>
      <c r="C105" s="216"/>
      <c r="D105" s="216"/>
      <c r="E105" s="217"/>
      <c r="F105" s="230"/>
      <c r="G105" s="230"/>
      <c r="H105" s="230"/>
      <c r="I105" s="150"/>
      <c r="J105" s="230"/>
      <c r="K105" s="216"/>
    </row>
    <row r="106" spans="1:11" s="53" customFormat="1" ht="18" customHeight="1">
      <c r="A106" s="70"/>
      <c r="B106" s="33"/>
      <c r="C106" s="11"/>
      <c r="D106" s="11"/>
      <c r="E106" s="151"/>
      <c r="F106" s="11"/>
      <c r="G106" s="11"/>
      <c r="H106" s="147"/>
      <c r="I106" s="11"/>
      <c r="J106" s="147"/>
      <c r="K106" s="216"/>
    </row>
    <row r="107" spans="1:11" s="53" customFormat="1" ht="18" customHeight="1">
      <c r="A107" s="70"/>
      <c r="B107" s="33"/>
      <c r="C107" s="11"/>
      <c r="D107" s="11"/>
      <c r="E107" s="151"/>
      <c r="F107" s="11"/>
      <c r="G107" s="11"/>
      <c r="H107" s="147"/>
      <c r="I107" s="11"/>
      <c r="J107" s="147"/>
      <c r="K107" s="216"/>
    </row>
    <row r="108" spans="1:11" s="53" customFormat="1" ht="18" customHeight="1">
      <c r="A108" s="70"/>
      <c r="B108" s="153"/>
      <c r="C108" s="154"/>
      <c r="D108" s="155"/>
      <c r="E108" s="144"/>
      <c r="F108" s="11"/>
      <c r="G108" s="70"/>
      <c r="H108" s="147"/>
      <c r="I108" s="70"/>
      <c r="J108" s="147"/>
      <c r="K108" s="216"/>
    </row>
    <row r="109" spans="1:11" s="53" customFormat="1" ht="18" customHeight="1">
      <c r="A109" s="70"/>
      <c r="B109" s="153"/>
      <c r="C109" s="11"/>
      <c r="D109" s="80"/>
      <c r="E109" s="144"/>
      <c r="F109" s="70"/>
      <c r="G109" s="70"/>
      <c r="H109" s="147"/>
      <c r="I109" s="70"/>
      <c r="J109" s="147"/>
      <c r="K109" s="216"/>
    </row>
    <row r="110" spans="1:11" s="53" customFormat="1" ht="18" customHeight="1">
      <c r="A110" s="70"/>
      <c r="B110" s="153"/>
      <c r="C110" s="11"/>
      <c r="D110" s="80"/>
      <c r="E110" s="144"/>
      <c r="F110" s="70"/>
      <c r="G110" s="70"/>
      <c r="H110" s="147"/>
      <c r="I110" s="70"/>
      <c r="J110" s="147"/>
      <c r="K110" s="216"/>
    </row>
    <row r="111" spans="1:11" ht="18" customHeight="1">
      <c r="A111" s="70"/>
      <c r="B111" s="153"/>
      <c r="C111" s="11"/>
      <c r="D111" s="80"/>
      <c r="E111" s="144"/>
      <c r="F111" s="70"/>
      <c r="G111" s="70"/>
      <c r="H111" s="147"/>
      <c r="I111" s="70"/>
      <c r="J111" s="147"/>
      <c r="K111" s="68"/>
    </row>
    <row r="112" spans="1:11" ht="18" customHeight="1">
      <c r="A112" s="155"/>
      <c r="B112" s="153"/>
      <c r="C112" s="154"/>
      <c r="D112" s="155"/>
      <c r="E112" s="156"/>
      <c r="F112" s="11"/>
      <c r="G112" s="11"/>
      <c r="H112" s="147"/>
      <c r="I112" s="11"/>
      <c r="J112" s="147"/>
      <c r="K112" s="68"/>
    </row>
    <row r="113" spans="1:11" ht="18" customHeight="1">
      <c r="A113" s="155"/>
      <c r="B113" s="153"/>
      <c r="C113" s="154"/>
      <c r="D113" s="155"/>
      <c r="E113" s="156"/>
      <c r="F113" s="11"/>
      <c r="G113" s="11"/>
      <c r="H113" s="147"/>
      <c r="I113" s="11"/>
      <c r="J113" s="147"/>
      <c r="K113" s="68"/>
    </row>
    <row r="114" spans="1:11" ht="18" customHeight="1">
      <c r="A114" s="155"/>
      <c r="B114" s="153"/>
      <c r="C114" s="154"/>
      <c r="D114" s="155"/>
      <c r="E114" s="156"/>
      <c r="F114" s="11"/>
      <c r="G114" s="11"/>
      <c r="H114" s="147"/>
      <c r="I114" s="11"/>
      <c r="J114" s="147"/>
      <c r="K114" s="68"/>
    </row>
    <row r="115" spans="1:11" ht="18" customHeight="1">
      <c r="A115" s="155"/>
      <c r="B115" s="153"/>
      <c r="C115" s="154"/>
      <c r="D115" s="155"/>
      <c r="E115" s="156"/>
      <c r="F115" s="11"/>
      <c r="G115" s="11"/>
      <c r="H115" s="147"/>
      <c r="I115" s="11"/>
      <c r="J115" s="147"/>
      <c r="K115" s="68"/>
    </row>
    <row r="116" spans="1:11" ht="18" customHeight="1">
      <c r="A116" s="155"/>
      <c r="B116" s="153"/>
      <c r="C116" s="154"/>
      <c r="D116" s="155"/>
      <c r="E116" s="156"/>
      <c r="F116" s="11"/>
      <c r="G116" s="11"/>
      <c r="H116" s="147"/>
      <c r="I116" s="11"/>
      <c r="J116" s="147"/>
    </row>
    <row r="117" spans="1:11" s="53" customFormat="1" ht="18" customHeight="1">
      <c r="A117" s="142" t="s">
        <v>308</v>
      </c>
      <c r="B117" s="142"/>
      <c r="C117" s="118"/>
      <c r="D117" s="119"/>
      <c r="E117" s="120"/>
      <c r="F117" s="58"/>
      <c r="G117" s="58"/>
      <c r="H117" s="58"/>
      <c r="I117" s="122"/>
      <c r="J117" s="58"/>
      <c r="K117" s="398" t="s">
        <v>13</v>
      </c>
    </row>
    <row r="118" spans="1:11" s="53" customFormat="1" ht="18" customHeight="1">
      <c r="A118" s="398" t="s">
        <v>22</v>
      </c>
      <c r="B118" s="398" t="s">
        <v>26</v>
      </c>
      <c r="C118" s="398" t="s">
        <v>27</v>
      </c>
      <c r="D118" s="398" t="s">
        <v>11</v>
      </c>
      <c r="E118" s="400" t="s">
        <v>28</v>
      </c>
      <c r="F118" s="402" t="s">
        <v>29</v>
      </c>
      <c r="G118" s="402" t="s">
        <v>14</v>
      </c>
      <c r="H118" s="402" t="s">
        <v>30</v>
      </c>
      <c r="I118" s="229" t="s">
        <v>111</v>
      </c>
      <c r="J118" s="229" t="s">
        <v>95</v>
      </c>
      <c r="K118" s="399"/>
    </row>
    <row r="119" spans="1:11" ht="18" customHeight="1">
      <c r="A119" s="399"/>
      <c r="B119" s="399"/>
      <c r="C119" s="399"/>
      <c r="D119" s="399"/>
      <c r="E119" s="401"/>
      <c r="F119" s="403"/>
      <c r="G119" s="403"/>
      <c r="H119" s="403"/>
      <c r="I119" s="268" t="s">
        <v>94</v>
      </c>
      <c r="J119" s="268" t="s">
        <v>94</v>
      </c>
      <c r="K119" s="68"/>
    </row>
    <row r="120" spans="1:11" ht="18" customHeight="1">
      <c r="A120" s="143"/>
      <c r="B120" s="143" t="s">
        <v>128</v>
      </c>
      <c r="C120" s="145"/>
      <c r="D120" s="80"/>
      <c r="E120" s="146"/>
      <c r="F120" s="70"/>
      <c r="G120" s="70"/>
      <c r="H120" s="147"/>
      <c r="I120" s="149"/>
      <c r="J120" s="147"/>
      <c r="K120" s="68"/>
    </row>
    <row r="121" spans="1:11" ht="18" customHeight="1">
      <c r="A121" s="68">
        <v>1</v>
      </c>
      <c r="B121" s="157" t="s">
        <v>483</v>
      </c>
      <c r="C121" s="145" t="s">
        <v>148</v>
      </c>
      <c r="D121" s="80" t="s">
        <v>102</v>
      </c>
      <c r="E121" s="146">
        <v>1</v>
      </c>
      <c r="F121" s="70">
        <f>E121</f>
        <v>1</v>
      </c>
      <c r="G121" s="70"/>
      <c r="H121" s="147">
        <f>ROUNDDOWN(F121*(1+G121),1)</f>
        <v>1</v>
      </c>
      <c r="I121" s="70">
        <v>250</v>
      </c>
      <c r="J121" s="147">
        <f>ROUNDDOWN(F121*I121,2)</f>
        <v>250</v>
      </c>
      <c r="K121" s="68"/>
    </row>
    <row r="122" spans="1:11" ht="18" customHeight="1">
      <c r="A122" s="267">
        <v>2</v>
      </c>
      <c r="B122" s="210" t="s">
        <v>129</v>
      </c>
      <c r="C122" s="145" t="s">
        <v>130</v>
      </c>
      <c r="D122" s="212" t="s">
        <v>102</v>
      </c>
      <c r="E122" s="213">
        <v>1</v>
      </c>
      <c r="F122" s="70">
        <f t="shared" ref="F122:F123" si="28">E122</f>
        <v>1</v>
      </c>
      <c r="G122" s="207"/>
      <c r="H122" s="147">
        <f t="shared" ref="H122:H125" si="29">ROUNDDOWN(F122*(1+G122),1)</f>
        <v>1</v>
      </c>
      <c r="I122" s="70">
        <v>12.5</v>
      </c>
      <c r="J122" s="147">
        <f t="shared" ref="J122:J125" si="30">ROUNDDOWN(F122*I122,2)</f>
        <v>12.5</v>
      </c>
      <c r="K122" s="267"/>
    </row>
    <row r="123" spans="1:11" ht="18" customHeight="1">
      <c r="A123" s="267">
        <v>3</v>
      </c>
      <c r="B123" s="210" t="s">
        <v>129</v>
      </c>
      <c r="C123" s="145" t="s">
        <v>133</v>
      </c>
      <c r="D123" s="212" t="s">
        <v>102</v>
      </c>
      <c r="E123" s="213">
        <v>3</v>
      </c>
      <c r="F123" s="70">
        <f t="shared" si="28"/>
        <v>3</v>
      </c>
      <c r="G123" s="207"/>
      <c r="H123" s="147">
        <f t="shared" si="29"/>
        <v>3</v>
      </c>
      <c r="I123" s="70">
        <v>7.5</v>
      </c>
      <c r="J123" s="147">
        <f t="shared" si="30"/>
        <v>22.5</v>
      </c>
      <c r="K123" s="267"/>
    </row>
    <row r="124" spans="1:11" ht="18" customHeight="1">
      <c r="A124" s="267">
        <v>4</v>
      </c>
      <c r="B124" s="210" t="s">
        <v>134</v>
      </c>
      <c r="C124" s="145" t="s">
        <v>135</v>
      </c>
      <c r="D124" s="212" t="s">
        <v>136</v>
      </c>
      <c r="E124" s="213" t="s">
        <v>202</v>
      </c>
      <c r="F124" s="207">
        <f>(7.5+7)*4</f>
        <v>58</v>
      </c>
      <c r="G124" s="207"/>
      <c r="H124" s="147">
        <f t="shared" si="29"/>
        <v>58</v>
      </c>
      <c r="I124" s="70">
        <v>0.17</v>
      </c>
      <c r="J124" s="147">
        <f t="shared" si="30"/>
        <v>9.86</v>
      </c>
      <c r="K124" s="267"/>
    </row>
    <row r="125" spans="1:11" ht="18" customHeight="1">
      <c r="A125" s="267">
        <v>5</v>
      </c>
      <c r="B125" s="210" t="s">
        <v>203</v>
      </c>
      <c r="C125" s="211"/>
      <c r="D125" s="212" t="s">
        <v>102</v>
      </c>
      <c r="E125" s="213">
        <v>4</v>
      </c>
      <c r="F125" s="70">
        <f t="shared" ref="F125" si="31">E125</f>
        <v>4</v>
      </c>
      <c r="G125" s="207"/>
      <c r="H125" s="147">
        <f t="shared" si="29"/>
        <v>4</v>
      </c>
      <c r="I125" s="70">
        <v>12</v>
      </c>
      <c r="J125" s="147">
        <f t="shared" si="30"/>
        <v>48</v>
      </c>
      <c r="K125" s="267"/>
    </row>
    <row r="126" spans="1:11" ht="18" customHeight="1">
      <c r="A126" s="267">
        <v>6</v>
      </c>
      <c r="B126" s="210" t="s">
        <v>110</v>
      </c>
      <c r="C126" s="211" t="s">
        <v>139</v>
      </c>
      <c r="D126" s="212" t="s">
        <v>140</v>
      </c>
      <c r="E126" s="146" t="s">
        <v>143</v>
      </c>
      <c r="F126" s="207"/>
      <c r="G126" s="207"/>
      <c r="H126" s="147">
        <f>J126/1000</f>
        <v>0.34286</v>
      </c>
      <c r="I126" s="149"/>
      <c r="J126" s="147">
        <f>SUM(J121:J125)</f>
        <v>342.86</v>
      </c>
      <c r="K126" s="267"/>
    </row>
    <row r="127" spans="1:11" ht="18" customHeight="1">
      <c r="A127" s="267"/>
      <c r="B127" s="143" t="s">
        <v>137</v>
      </c>
      <c r="C127" s="211"/>
      <c r="D127" s="212"/>
      <c r="E127" s="213"/>
      <c r="F127" s="207"/>
      <c r="G127" s="207"/>
      <c r="H127" s="268"/>
      <c r="I127" s="214"/>
      <c r="J127" s="268"/>
      <c r="K127" s="267"/>
    </row>
    <row r="128" spans="1:11" ht="18" customHeight="1">
      <c r="A128" s="267">
        <v>1</v>
      </c>
      <c r="B128" s="210" t="s">
        <v>141</v>
      </c>
      <c r="C128" s="218" t="s">
        <v>142</v>
      </c>
      <c r="D128" s="212" t="s">
        <v>140</v>
      </c>
      <c r="E128" s="146" t="s">
        <v>462</v>
      </c>
      <c r="F128" s="207"/>
      <c r="G128" s="207"/>
      <c r="H128" s="147">
        <f>J128/1000</f>
        <v>0.17100000000000001</v>
      </c>
      <c r="I128" s="149"/>
      <c r="J128" s="147">
        <f>TRUNC(SUM(J121:J125)*0.5,0)</f>
        <v>171</v>
      </c>
      <c r="K128" s="267"/>
    </row>
    <row r="129" spans="1:11" ht="18" customHeight="1">
      <c r="A129" s="267">
        <v>2</v>
      </c>
      <c r="B129" s="210" t="s">
        <v>144</v>
      </c>
      <c r="C129" s="218"/>
      <c r="D129" s="212" t="s">
        <v>145</v>
      </c>
      <c r="E129" s="146" t="s">
        <v>146</v>
      </c>
      <c r="F129" s="207"/>
      <c r="G129" s="207"/>
      <c r="H129" s="147">
        <f>J129</f>
        <v>35</v>
      </c>
      <c r="I129" s="214"/>
      <c r="J129" s="147">
        <f>SUM(J122:J123)</f>
        <v>35</v>
      </c>
      <c r="K129" s="267"/>
    </row>
    <row r="130" spans="1:11" ht="18" customHeight="1">
      <c r="A130" s="267"/>
      <c r="B130" s="143" t="s">
        <v>118</v>
      </c>
      <c r="C130" s="211"/>
      <c r="D130" s="212"/>
      <c r="E130" s="213"/>
      <c r="F130" s="207"/>
      <c r="G130" s="207"/>
      <c r="H130" s="268"/>
      <c r="I130" s="214"/>
      <c r="J130" s="268"/>
      <c r="K130" s="267"/>
    </row>
    <row r="131" spans="1:11" ht="18" customHeight="1">
      <c r="A131" s="70">
        <v>-1</v>
      </c>
      <c r="B131" s="33" t="s">
        <v>113</v>
      </c>
      <c r="C131" s="11" t="s">
        <v>114</v>
      </c>
      <c r="D131" s="11" t="s">
        <v>115</v>
      </c>
      <c r="E131" s="151" t="s">
        <v>211</v>
      </c>
      <c r="F131" s="11">
        <f>7.5*2</f>
        <v>15</v>
      </c>
      <c r="G131" s="11"/>
      <c r="H131" s="147">
        <f t="shared" ref="H131" si="32">ROUNDDOWN(F131*(1+G131),1)</f>
        <v>15</v>
      </c>
      <c r="I131" s="11">
        <v>3.63</v>
      </c>
      <c r="J131" s="147">
        <f t="shared" ref="J131" si="33">ROUNDDOWN(F131*I131,2)</f>
        <v>54.45</v>
      </c>
      <c r="K131" s="267"/>
    </row>
    <row r="132" spans="1:11" s="53" customFormat="1" ht="18" customHeight="1">
      <c r="A132" s="70">
        <v>-2</v>
      </c>
      <c r="B132" s="153" t="s">
        <v>205</v>
      </c>
      <c r="C132" s="11"/>
      <c r="D132" s="80" t="s">
        <v>102</v>
      </c>
      <c r="E132" s="144">
        <v>1</v>
      </c>
      <c r="F132" s="70">
        <f>E132</f>
        <v>1</v>
      </c>
      <c r="G132" s="70"/>
      <c r="H132" s="147">
        <f>F132</f>
        <v>1</v>
      </c>
      <c r="I132" s="70">
        <v>250</v>
      </c>
      <c r="J132" s="147">
        <f>I132*H132</f>
        <v>250</v>
      </c>
      <c r="K132" s="269"/>
    </row>
    <row r="133" spans="1:11" s="53" customFormat="1" ht="18" customHeight="1">
      <c r="A133" s="155">
        <v>1</v>
      </c>
      <c r="B133" s="153" t="s">
        <v>117</v>
      </c>
      <c r="C133" s="154" t="s">
        <v>118</v>
      </c>
      <c r="D133" s="155" t="s">
        <v>119</v>
      </c>
      <c r="E133" s="156" t="s">
        <v>147</v>
      </c>
      <c r="F133" s="11"/>
      <c r="G133" s="11"/>
      <c r="H133" s="147">
        <f>ROUNDDOWN(J133/1000,3)</f>
        <v>0.30399999999999999</v>
      </c>
      <c r="I133" s="11"/>
      <c r="J133" s="147">
        <f>SUM(J131:J132)</f>
        <v>304.45</v>
      </c>
      <c r="K133" s="269"/>
    </row>
    <row r="134" spans="1:11" s="53" customFormat="1" ht="18" customHeight="1">
      <c r="A134" s="143"/>
      <c r="B134" s="143"/>
      <c r="C134" s="269"/>
      <c r="D134" s="269"/>
      <c r="E134" s="270"/>
      <c r="F134" s="268"/>
      <c r="G134" s="268"/>
      <c r="H134" s="268"/>
      <c r="I134" s="150"/>
      <c r="J134" s="268"/>
      <c r="K134" s="269"/>
    </row>
    <row r="135" spans="1:11" s="53" customFormat="1" ht="18" customHeight="1">
      <c r="A135" s="70"/>
      <c r="B135" s="33"/>
      <c r="C135" s="11"/>
      <c r="D135" s="11"/>
      <c r="E135" s="151"/>
      <c r="F135" s="11"/>
      <c r="G135" s="11"/>
      <c r="H135" s="147"/>
      <c r="I135" s="11"/>
      <c r="J135" s="147"/>
      <c r="K135" s="269"/>
    </row>
    <row r="136" spans="1:11" s="53" customFormat="1" ht="18" customHeight="1">
      <c r="A136" s="70"/>
      <c r="B136" s="33"/>
      <c r="C136" s="11"/>
      <c r="D136" s="11"/>
      <c r="E136" s="151"/>
      <c r="F136" s="11"/>
      <c r="G136" s="11"/>
      <c r="H136" s="147"/>
      <c r="I136" s="11"/>
      <c r="J136" s="147"/>
      <c r="K136" s="269"/>
    </row>
    <row r="137" spans="1:11" s="53" customFormat="1" ht="18" customHeight="1">
      <c r="A137" s="70"/>
      <c r="B137" s="153"/>
      <c r="C137" s="154"/>
      <c r="D137" s="155"/>
      <c r="E137" s="144"/>
      <c r="F137" s="11"/>
      <c r="G137" s="70"/>
      <c r="H137" s="147"/>
      <c r="I137" s="70"/>
      <c r="J137" s="147"/>
      <c r="K137" s="269"/>
    </row>
    <row r="138" spans="1:11" s="53" customFormat="1" ht="18" customHeight="1">
      <c r="A138" s="70"/>
      <c r="B138" s="153"/>
      <c r="C138" s="11"/>
      <c r="D138" s="80"/>
      <c r="E138" s="144"/>
      <c r="F138" s="70"/>
      <c r="G138" s="70"/>
      <c r="H138" s="147"/>
      <c r="I138" s="70"/>
      <c r="J138" s="147"/>
      <c r="K138" s="269"/>
    </row>
    <row r="139" spans="1:11" s="53" customFormat="1" ht="18" customHeight="1">
      <c r="A139" s="70"/>
      <c r="B139" s="153"/>
      <c r="C139" s="11"/>
      <c r="D139" s="80"/>
      <c r="E139" s="144"/>
      <c r="F139" s="70"/>
      <c r="G139" s="70"/>
      <c r="H139" s="147"/>
      <c r="I139" s="70"/>
      <c r="J139" s="147"/>
      <c r="K139" s="269"/>
    </row>
    <row r="140" spans="1:11" ht="18" customHeight="1">
      <c r="A140" s="70"/>
      <c r="B140" s="153"/>
      <c r="C140" s="11"/>
      <c r="D140" s="80"/>
      <c r="E140" s="144"/>
      <c r="F140" s="70"/>
      <c r="G140" s="70"/>
      <c r="H140" s="147"/>
      <c r="I140" s="70"/>
      <c r="J140" s="147"/>
      <c r="K140" s="68"/>
    </row>
    <row r="141" spans="1:11" ht="18" customHeight="1">
      <c r="A141" s="155"/>
      <c r="B141" s="153"/>
      <c r="C141" s="154"/>
      <c r="D141" s="155"/>
      <c r="E141" s="156"/>
      <c r="F141" s="11"/>
      <c r="G141" s="11"/>
      <c r="H141" s="147"/>
      <c r="I141" s="11"/>
      <c r="J141" s="147"/>
      <c r="K141" s="68"/>
    </row>
    <row r="142" spans="1:11" ht="18" customHeight="1">
      <c r="A142" s="155"/>
      <c r="B142" s="153"/>
      <c r="C142" s="154"/>
      <c r="D142" s="155"/>
      <c r="E142" s="156"/>
      <c r="F142" s="11"/>
      <c r="G142" s="11"/>
      <c r="H142" s="147"/>
      <c r="I142" s="11"/>
      <c r="J142" s="147"/>
      <c r="K142" s="68"/>
    </row>
    <row r="143" spans="1:11" ht="18" customHeight="1">
      <c r="A143" s="155"/>
      <c r="B143" s="153"/>
      <c r="C143" s="154"/>
      <c r="D143" s="155"/>
      <c r="E143" s="156"/>
      <c r="F143" s="11"/>
      <c r="G143" s="11"/>
      <c r="H143" s="147"/>
      <c r="I143" s="11"/>
      <c r="J143" s="147"/>
      <c r="K143" s="68"/>
    </row>
    <row r="144" spans="1:11" ht="18" customHeight="1">
      <c r="A144" s="155"/>
      <c r="B144" s="153"/>
      <c r="C144" s="154"/>
      <c r="D144" s="155"/>
      <c r="E144" s="156"/>
      <c r="F144" s="11"/>
      <c r="G144" s="11"/>
      <c r="H144" s="147"/>
      <c r="I144" s="11"/>
      <c r="J144" s="147"/>
      <c r="K144" s="68"/>
    </row>
    <row r="145" spans="1:11" ht="18" customHeight="1">
      <c r="A145" s="155"/>
      <c r="B145" s="153"/>
      <c r="C145" s="154"/>
      <c r="D145" s="155"/>
      <c r="E145" s="156"/>
      <c r="F145" s="11"/>
      <c r="G145" s="11"/>
      <c r="H145" s="147"/>
      <c r="I145" s="11"/>
      <c r="J145" s="147"/>
    </row>
    <row r="146" spans="1:11" s="53" customFormat="1" ht="18" customHeight="1">
      <c r="A146" s="142" t="s">
        <v>310</v>
      </c>
      <c r="B146" s="142"/>
      <c r="C146" s="118"/>
      <c r="D146" s="119"/>
      <c r="E146" s="120"/>
      <c r="F146" s="58"/>
      <c r="G146" s="58"/>
      <c r="H146" s="58"/>
      <c r="I146" s="122"/>
      <c r="J146" s="58"/>
      <c r="K146" s="398" t="s">
        <v>13</v>
      </c>
    </row>
    <row r="147" spans="1:11" s="53" customFormat="1" ht="18" customHeight="1">
      <c r="A147" s="398" t="s">
        <v>22</v>
      </c>
      <c r="B147" s="398" t="s">
        <v>26</v>
      </c>
      <c r="C147" s="398" t="s">
        <v>27</v>
      </c>
      <c r="D147" s="398" t="s">
        <v>11</v>
      </c>
      <c r="E147" s="400" t="s">
        <v>28</v>
      </c>
      <c r="F147" s="402" t="s">
        <v>29</v>
      </c>
      <c r="G147" s="402" t="s">
        <v>14</v>
      </c>
      <c r="H147" s="402" t="s">
        <v>30</v>
      </c>
      <c r="I147" s="229" t="s">
        <v>111</v>
      </c>
      <c r="J147" s="229" t="s">
        <v>95</v>
      </c>
      <c r="K147" s="399"/>
    </row>
    <row r="148" spans="1:11" ht="18" customHeight="1">
      <c r="A148" s="399"/>
      <c r="B148" s="399"/>
      <c r="C148" s="399"/>
      <c r="D148" s="399"/>
      <c r="E148" s="401"/>
      <c r="F148" s="403"/>
      <c r="G148" s="403"/>
      <c r="H148" s="403"/>
      <c r="I148" s="268" t="s">
        <v>94</v>
      </c>
      <c r="J148" s="268" t="s">
        <v>94</v>
      </c>
      <c r="K148" s="68"/>
    </row>
    <row r="149" spans="1:11" ht="18" customHeight="1">
      <c r="A149" s="143"/>
      <c r="B149" s="143" t="s">
        <v>128</v>
      </c>
      <c r="C149" s="145"/>
      <c r="D149" s="80"/>
      <c r="E149" s="146"/>
      <c r="F149" s="70"/>
      <c r="G149" s="70"/>
      <c r="H149" s="147"/>
      <c r="I149" s="149"/>
      <c r="J149" s="147"/>
      <c r="K149" s="68"/>
    </row>
    <row r="150" spans="1:11" ht="18" customHeight="1">
      <c r="A150" s="68">
        <v>1</v>
      </c>
      <c r="B150" s="157" t="s">
        <v>320</v>
      </c>
      <c r="C150" s="145" t="s">
        <v>204</v>
      </c>
      <c r="D150" s="80" t="s">
        <v>102</v>
      </c>
      <c r="E150" s="146">
        <v>1</v>
      </c>
      <c r="F150" s="70">
        <f>E150</f>
        <v>1</v>
      </c>
      <c r="G150" s="70"/>
      <c r="H150" s="147">
        <f>ROUNDDOWN(F150*(1+G150),1)</f>
        <v>1</v>
      </c>
      <c r="I150" s="70">
        <v>200</v>
      </c>
      <c r="J150" s="147">
        <f>ROUNDDOWN(F150*I150,2)</f>
        <v>200</v>
      </c>
      <c r="K150" s="68"/>
    </row>
    <row r="151" spans="1:11" ht="18" customHeight="1">
      <c r="A151" s="267">
        <v>2</v>
      </c>
      <c r="B151" s="210" t="s">
        <v>129</v>
      </c>
      <c r="C151" s="145" t="s">
        <v>130</v>
      </c>
      <c r="D151" s="212" t="s">
        <v>102</v>
      </c>
      <c r="E151" s="213">
        <v>1</v>
      </c>
      <c r="F151" s="70">
        <f t="shared" ref="F151:F152" si="34">E151</f>
        <v>1</v>
      </c>
      <c r="G151" s="207"/>
      <c r="H151" s="147">
        <f t="shared" ref="H151:H154" si="35">ROUNDDOWN(F151*(1+G151),1)</f>
        <v>1</v>
      </c>
      <c r="I151" s="70">
        <v>12.5</v>
      </c>
      <c r="J151" s="147">
        <f t="shared" ref="J151:J154" si="36">ROUNDDOWN(F151*I151,2)</f>
        <v>12.5</v>
      </c>
      <c r="K151" s="267"/>
    </row>
    <row r="152" spans="1:11" ht="18" customHeight="1">
      <c r="A152" s="267">
        <v>3</v>
      </c>
      <c r="B152" s="210" t="s">
        <v>129</v>
      </c>
      <c r="C152" s="145" t="s">
        <v>133</v>
      </c>
      <c r="D152" s="212" t="s">
        <v>102</v>
      </c>
      <c r="E152" s="213">
        <v>3</v>
      </c>
      <c r="F152" s="70">
        <f t="shared" si="34"/>
        <v>3</v>
      </c>
      <c r="G152" s="207"/>
      <c r="H152" s="147">
        <f t="shared" si="35"/>
        <v>3</v>
      </c>
      <c r="I152" s="70">
        <v>7.5</v>
      </c>
      <c r="J152" s="147">
        <f t="shared" si="36"/>
        <v>22.5</v>
      </c>
      <c r="K152" s="267"/>
    </row>
    <row r="153" spans="1:11" ht="18" customHeight="1">
      <c r="A153" s="267">
        <v>4</v>
      </c>
      <c r="B153" s="210" t="s">
        <v>134</v>
      </c>
      <c r="C153" s="145" t="s">
        <v>135</v>
      </c>
      <c r="D153" s="212" t="s">
        <v>136</v>
      </c>
      <c r="E153" s="213" t="s">
        <v>202</v>
      </c>
      <c r="F153" s="207">
        <f>(7.5+7)*4</f>
        <v>58</v>
      </c>
      <c r="G153" s="207"/>
      <c r="H153" s="147">
        <f t="shared" si="35"/>
        <v>58</v>
      </c>
      <c r="I153" s="70">
        <v>0.17</v>
      </c>
      <c r="J153" s="147">
        <f t="shared" si="36"/>
        <v>9.86</v>
      </c>
      <c r="K153" s="267"/>
    </row>
    <row r="154" spans="1:11" ht="18" customHeight="1">
      <c r="A154" s="267">
        <v>5</v>
      </c>
      <c r="B154" s="210" t="s">
        <v>203</v>
      </c>
      <c r="C154" s="211"/>
      <c r="D154" s="212" t="s">
        <v>102</v>
      </c>
      <c r="E154" s="213">
        <v>4</v>
      </c>
      <c r="F154" s="70">
        <f t="shared" ref="F154" si="37">E154</f>
        <v>4</v>
      </c>
      <c r="G154" s="207"/>
      <c r="H154" s="147">
        <f t="shared" si="35"/>
        <v>4</v>
      </c>
      <c r="I154" s="70">
        <v>12</v>
      </c>
      <c r="J154" s="147">
        <f t="shared" si="36"/>
        <v>48</v>
      </c>
      <c r="K154" s="267"/>
    </row>
    <row r="155" spans="1:11" ht="18" customHeight="1">
      <c r="A155" s="267">
        <v>6</v>
      </c>
      <c r="B155" s="210" t="s">
        <v>110</v>
      </c>
      <c r="C155" s="211" t="s">
        <v>139</v>
      </c>
      <c r="D155" s="212" t="s">
        <v>140</v>
      </c>
      <c r="E155" s="146" t="s">
        <v>143</v>
      </c>
      <c r="F155" s="207"/>
      <c r="G155" s="207"/>
      <c r="H155" s="147">
        <f>J155/1000</f>
        <v>0.29286000000000001</v>
      </c>
      <c r="I155" s="149"/>
      <c r="J155" s="147">
        <f>SUM(J150:J154)</f>
        <v>292.86</v>
      </c>
      <c r="K155" s="267"/>
    </row>
    <row r="156" spans="1:11" ht="18" customHeight="1">
      <c r="A156" s="267"/>
      <c r="B156" s="143" t="s">
        <v>137</v>
      </c>
      <c r="C156" s="211"/>
      <c r="D156" s="212"/>
      <c r="E156" s="213"/>
      <c r="F156" s="207"/>
      <c r="G156" s="207"/>
      <c r="H156" s="268"/>
      <c r="I156" s="214"/>
      <c r="J156" s="268"/>
      <c r="K156" s="267"/>
    </row>
    <row r="157" spans="1:11" ht="18" customHeight="1">
      <c r="A157" s="267">
        <v>1</v>
      </c>
      <c r="B157" s="210" t="s">
        <v>141</v>
      </c>
      <c r="C157" s="218" t="s">
        <v>142</v>
      </c>
      <c r="D157" s="212" t="s">
        <v>140</v>
      </c>
      <c r="E157" s="146" t="s">
        <v>462</v>
      </c>
      <c r="F157" s="207"/>
      <c r="G157" s="207"/>
      <c r="H157" s="147">
        <f>J157/1000</f>
        <v>0.14599999999999999</v>
      </c>
      <c r="I157" s="149"/>
      <c r="J157" s="147">
        <f>TRUNC(SUM(J150:J154)*0.5,0)</f>
        <v>146</v>
      </c>
      <c r="K157" s="267"/>
    </row>
    <row r="158" spans="1:11" ht="18" customHeight="1">
      <c r="A158" s="267">
        <v>2</v>
      </c>
      <c r="B158" s="210" t="s">
        <v>144</v>
      </c>
      <c r="C158" s="218"/>
      <c r="D158" s="212" t="s">
        <v>145</v>
      </c>
      <c r="E158" s="146" t="s">
        <v>146</v>
      </c>
      <c r="F158" s="207"/>
      <c r="G158" s="207"/>
      <c r="H158" s="147">
        <f>J158</f>
        <v>35</v>
      </c>
      <c r="I158" s="214"/>
      <c r="J158" s="147">
        <f>SUM(J151:J152)</f>
        <v>35</v>
      </c>
      <c r="K158" s="267"/>
    </row>
    <row r="159" spans="1:11" ht="18" customHeight="1">
      <c r="A159" s="267"/>
      <c r="B159" s="143" t="s">
        <v>118</v>
      </c>
      <c r="C159" s="211"/>
      <c r="D159" s="212"/>
      <c r="E159" s="213"/>
      <c r="F159" s="207"/>
      <c r="G159" s="207"/>
      <c r="H159" s="268"/>
      <c r="I159" s="214"/>
      <c r="J159" s="268"/>
      <c r="K159" s="267"/>
    </row>
    <row r="160" spans="1:11" ht="18" customHeight="1">
      <c r="A160" s="70">
        <v>-1</v>
      </c>
      <c r="B160" s="33" t="s">
        <v>208</v>
      </c>
      <c r="C160" s="11"/>
      <c r="D160" s="80" t="s">
        <v>102</v>
      </c>
      <c r="E160" s="151">
        <v>1</v>
      </c>
      <c r="F160" s="11">
        <v>1</v>
      </c>
      <c r="G160" s="11"/>
      <c r="H160" s="147">
        <f t="shared" ref="H160" si="38">ROUNDDOWN(F160*(1+G160),1)</f>
        <v>1</v>
      </c>
      <c r="I160" s="11">
        <v>100</v>
      </c>
      <c r="J160" s="147">
        <f t="shared" ref="J160" si="39">ROUNDDOWN(F160*I160,2)</f>
        <v>100</v>
      </c>
      <c r="K160" s="267"/>
    </row>
    <row r="161" spans="1:11" s="53" customFormat="1" ht="18" customHeight="1">
      <c r="A161" s="155">
        <v>1</v>
      </c>
      <c r="B161" s="153" t="s">
        <v>117</v>
      </c>
      <c r="C161" s="154" t="s">
        <v>118</v>
      </c>
      <c r="D161" s="155" t="s">
        <v>119</v>
      </c>
      <c r="E161" s="156" t="s">
        <v>147</v>
      </c>
      <c r="F161" s="11"/>
      <c r="G161" s="11"/>
      <c r="H161" s="147">
        <f>ROUNDDOWN(J161/1000,3)</f>
        <v>0.1</v>
      </c>
      <c r="I161" s="11"/>
      <c r="J161" s="147">
        <f>SUM(J160:J160)</f>
        <v>100</v>
      </c>
      <c r="K161" s="269"/>
    </row>
    <row r="162" spans="1:11" s="53" customFormat="1" ht="18" customHeight="1">
      <c r="A162" s="143"/>
      <c r="B162" s="143"/>
      <c r="C162" s="269"/>
      <c r="D162" s="269"/>
      <c r="E162" s="270"/>
      <c r="F162" s="268"/>
      <c r="G162" s="268"/>
      <c r="H162" s="268"/>
      <c r="I162" s="150"/>
      <c r="J162" s="268"/>
      <c r="K162" s="269"/>
    </row>
    <row r="163" spans="1:11" s="53" customFormat="1" ht="18" customHeight="1">
      <c r="A163" s="143"/>
      <c r="B163" s="143"/>
      <c r="C163" s="269"/>
      <c r="D163" s="269"/>
      <c r="E163" s="270"/>
      <c r="F163" s="268"/>
      <c r="G163" s="268"/>
      <c r="H163" s="268"/>
      <c r="I163" s="150"/>
      <c r="J163" s="268"/>
      <c r="K163" s="269"/>
    </row>
    <row r="164" spans="1:11" s="53" customFormat="1" ht="18" customHeight="1">
      <c r="A164" s="70"/>
      <c r="B164" s="33"/>
      <c r="C164" s="11"/>
      <c r="D164" s="11"/>
      <c r="E164" s="151"/>
      <c r="F164" s="11"/>
      <c r="G164" s="11"/>
      <c r="H164" s="147"/>
      <c r="I164" s="11"/>
      <c r="J164" s="147"/>
      <c r="K164" s="269"/>
    </row>
    <row r="165" spans="1:11" s="53" customFormat="1" ht="18" customHeight="1">
      <c r="A165" s="70"/>
      <c r="B165" s="33"/>
      <c r="C165" s="11"/>
      <c r="D165" s="11"/>
      <c r="E165" s="151"/>
      <c r="F165" s="11"/>
      <c r="G165" s="11"/>
      <c r="H165" s="147"/>
      <c r="I165" s="11"/>
      <c r="J165" s="147"/>
      <c r="K165" s="269"/>
    </row>
    <row r="166" spans="1:11" s="53" customFormat="1" ht="18" customHeight="1">
      <c r="A166" s="70"/>
      <c r="B166" s="153"/>
      <c r="C166" s="154"/>
      <c r="D166" s="155"/>
      <c r="E166" s="144"/>
      <c r="F166" s="11"/>
      <c r="G166" s="70"/>
      <c r="H166" s="147"/>
      <c r="I166" s="70"/>
      <c r="J166" s="147"/>
      <c r="K166" s="269"/>
    </row>
    <row r="167" spans="1:11" s="53" customFormat="1" ht="18" customHeight="1">
      <c r="A167" s="70"/>
      <c r="B167" s="153"/>
      <c r="C167" s="11"/>
      <c r="D167" s="80"/>
      <c r="E167" s="144"/>
      <c r="F167" s="70"/>
      <c r="G167" s="70"/>
      <c r="H167" s="147"/>
      <c r="I167" s="70"/>
      <c r="J167" s="147"/>
      <c r="K167" s="269"/>
    </row>
    <row r="168" spans="1:11" s="53" customFormat="1" ht="18" customHeight="1">
      <c r="A168" s="70"/>
      <c r="B168" s="153"/>
      <c r="C168" s="11"/>
      <c r="D168" s="80"/>
      <c r="E168" s="144"/>
      <c r="F168" s="70"/>
      <c r="G168" s="70"/>
      <c r="H168" s="147"/>
      <c r="I168" s="70"/>
      <c r="J168" s="147"/>
      <c r="K168" s="269"/>
    </row>
    <row r="169" spans="1:11" ht="18" customHeight="1">
      <c r="A169" s="70"/>
      <c r="B169" s="153"/>
      <c r="C169" s="11"/>
      <c r="D169" s="80"/>
      <c r="E169" s="144"/>
      <c r="F169" s="70"/>
      <c r="G169" s="70"/>
      <c r="H169" s="147"/>
      <c r="I169" s="70"/>
      <c r="J169" s="147"/>
      <c r="K169" s="68"/>
    </row>
    <row r="170" spans="1:11" ht="18" customHeight="1">
      <c r="A170" s="155"/>
      <c r="B170" s="153"/>
      <c r="C170" s="154"/>
      <c r="D170" s="155"/>
      <c r="E170" s="156"/>
      <c r="F170" s="11"/>
      <c r="G170" s="11"/>
      <c r="H170" s="147"/>
      <c r="I170" s="11"/>
      <c r="J170" s="147"/>
      <c r="K170" s="68"/>
    </row>
    <row r="171" spans="1:11" ht="18" customHeight="1">
      <c r="A171" s="155"/>
      <c r="B171" s="153"/>
      <c r="C171" s="154"/>
      <c r="D171" s="155"/>
      <c r="E171" s="156"/>
      <c r="F171" s="11"/>
      <c r="G171" s="11"/>
      <c r="H171" s="147"/>
      <c r="I171" s="11"/>
      <c r="J171" s="147"/>
      <c r="K171" s="68"/>
    </row>
    <row r="172" spans="1:11" ht="18" customHeight="1">
      <c r="A172" s="155"/>
      <c r="B172" s="153"/>
      <c r="C172" s="154"/>
      <c r="D172" s="155"/>
      <c r="E172" s="156"/>
      <c r="F172" s="11"/>
      <c r="G172" s="11"/>
      <c r="H172" s="147"/>
      <c r="I172" s="11"/>
      <c r="J172" s="147"/>
      <c r="K172" s="68"/>
    </row>
    <row r="173" spans="1:11" ht="18" customHeight="1">
      <c r="A173" s="155"/>
      <c r="B173" s="153"/>
      <c r="C173" s="154"/>
      <c r="D173" s="155"/>
      <c r="E173" s="156"/>
      <c r="F173" s="11"/>
      <c r="G173" s="11"/>
      <c r="H173" s="147"/>
      <c r="I173" s="11"/>
      <c r="J173" s="147"/>
      <c r="K173" s="68"/>
    </row>
    <row r="174" spans="1:11" ht="18" customHeight="1">
      <c r="A174" s="155"/>
      <c r="B174" s="153"/>
      <c r="C174" s="154"/>
      <c r="D174" s="155"/>
      <c r="E174" s="156"/>
      <c r="F174" s="11"/>
      <c r="G174" s="11"/>
      <c r="H174" s="147"/>
      <c r="I174" s="11"/>
      <c r="J174" s="147"/>
    </row>
    <row r="175" spans="1:11" s="53" customFormat="1" ht="18" customHeight="1">
      <c r="A175" s="142" t="s">
        <v>312</v>
      </c>
      <c r="B175" s="142"/>
      <c r="C175" s="118"/>
      <c r="D175" s="119"/>
      <c r="E175" s="120"/>
      <c r="F175" s="58"/>
      <c r="G175" s="58"/>
      <c r="H175" s="58"/>
      <c r="I175" s="122"/>
      <c r="J175" s="58"/>
      <c r="K175" s="398" t="s">
        <v>13</v>
      </c>
    </row>
    <row r="176" spans="1:11" s="53" customFormat="1" ht="18" customHeight="1">
      <c r="A176" s="398" t="s">
        <v>22</v>
      </c>
      <c r="B176" s="398" t="s">
        <v>26</v>
      </c>
      <c r="C176" s="398" t="s">
        <v>27</v>
      </c>
      <c r="D176" s="398" t="s">
        <v>11</v>
      </c>
      <c r="E176" s="400" t="s">
        <v>28</v>
      </c>
      <c r="F176" s="402" t="s">
        <v>29</v>
      </c>
      <c r="G176" s="402" t="s">
        <v>14</v>
      </c>
      <c r="H176" s="402" t="s">
        <v>30</v>
      </c>
      <c r="I176" s="229" t="s">
        <v>111</v>
      </c>
      <c r="J176" s="229" t="s">
        <v>95</v>
      </c>
      <c r="K176" s="399"/>
    </row>
    <row r="177" spans="1:11" ht="18" customHeight="1">
      <c r="A177" s="399"/>
      <c r="B177" s="399"/>
      <c r="C177" s="399"/>
      <c r="D177" s="399"/>
      <c r="E177" s="401"/>
      <c r="F177" s="403"/>
      <c r="G177" s="403"/>
      <c r="H177" s="403"/>
      <c r="I177" s="268" t="s">
        <v>94</v>
      </c>
      <c r="J177" s="268" t="s">
        <v>94</v>
      </c>
      <c r="K177" s="68"/>
    </row>
    <row r="178" spans="1:11" ht="18" customHeight="1">
      <c r="A178" s="143"/>
      <c r="B178" s="143" t="s">
        <v>128</v>
      </c>
      <c r="C178" s="145"/>
      <c r="D178" s="80"/>
      <c r="E178" s="146"/>
      <c r="F178" s="70"/>
      <c r="G178" s="70"/>
      <c r="H178" s="147"/>
      <c r="I178" s="149"/>
      <c r="J178" s="147"/>
      <c r="K178" s="68"/>
    </row>
    <row r="179" spans="1:11" ht="18" customHeight="1">
      <c r="A179" s="68">
        <v>1</v>
      </c>
      <c r="B179" s="157" t="s">
        <v>483</v>
      </c>
      <c r="C179" s="145" t="s">
        <v>148</v>
      </c>
      <c r="D179" s="80" t="s">
        <v>102</v>
      </c>
      <c r="E179" s="146">
        <v>1</v>
      </c>
      <c r="F179" s="70">
        <f>E179</f>
        <v>1</v>
      </c>
      <c r="G179" s="70"/>
      <c r="H179" s="147">
        <f>ROUNDDOWN(F179*(1+G179),1)</f>
        <v>1</v>
      </c>
      <c r="I179" s="70">
        <v>250</v>
      </c>
      <c r="J179" s="147">
        <f>ROUNDDOWN(F179*I179,2)</f>
        <v>250</v>
      </c>
      <c r="K179" s="68"/>
    </row>
    <row r="180" spans="1:11" ht="18" customHeight="1">
      <c r="A180" s="267">
        <v>2</v>
      </c>
      <c r="B180" s="210" t="s">
        <v>129</v>
      </c>
      <c r="C180" s="145" t="s">
        <v>130</v>
      </c>
      <c r="D180" s="212" t="s">
        <v>102</v>
      </c>
      <c r="E180" s="213">
        <v>1</v>
      </c>
      <c r="F180" s="70">
        <f t="shared" ref="F180:F181" si="40">E180</f>
        <v>1</v>
      </c>
      <c r="G180" s="207"/>
      <c r="H180" s="147">
        <f t="shared" ref="H180:H183" si="41">ROUNDDOWN(F180*(1+G180),1)</f>
        <v>1</v>
      </c>
      <c r="I180" s="70">
        <v>12.5</v>
      </c>
      <c r="J180" s="147">
        <f t="shared" ref="J180:J183" si="42">ROUNDDOWN(F180*I180,2)</f>
        <v>12.5</v>
      </c>
      <c r="K180" s="267"/>
    </row>
    <row r="181" spans="1:11" ht="18" customHeight="1">
      <c r="A181" s="267">
        <v>3</v>
      </c>
      <c r="B181" s="210" t="s">
        <v>129</v>
      </c>
      <c r="C181" s="145" t="s">
        <v>133</v>
      </c>
      <c r="D181" s="212" t="s">
        <v>102</v>
      </c>
      <c r="E181" s="213">
        <v>3</v>
      </c>
      <c r="F181" s="70">
        <f t="shared" si="40"/>
        <v>3</v>
      </c>
      <c r="G181" s="207"/>
      <c r="H181" s="147">
        <f t="shared" si="41"/>
        <v>3</v>
      </c>
      <c r="I181" s="70">
        <v>7.5</v>
      </c>
      <c r="J181" s="147">
        <f t="shared" si="42"/>
        <v>22.5</v>
      </c>
      <c r="K181" s="267"/>
    </row>
    <row r="182" spans="1:11" ht="18" customHeight="1">
      <c r="A182" s="267">
        <v>4</v>
      </c>
      <c r="B182" s="210" t="s">
        <v>134</v>
      </c>
      <c r="C182" s="145" t="s">
        <v>135</v>
      </c>
      <c r="D182" s="212" t="s">
        <v>136</v>
      </c>
      <c r="E182" s="213" t="s">
        <v>209</v>
      </c>
      <c r="F182" s="207">
        <f>(9+7)*4</f>
        <v>64</v>
      </c>
      <c r="G182" s="207"/>
      <c r="H182" s="147">
        <f t="shared" si="41"/>
        <v>64</v>
      </c>
      <c r="I182" s="70">
        <v>0.17</v>
      </c>
      <c r="J182" s="147">
        <f t="shared" si="42"/>
        <v>10.88</v>
      </c>
      <c r="K182" s="267"/>
    </row>
    <row r="183" spans="1:11" ht="18" customHeight="1">
      <c r="A183" s="267">
        <v>5</v>
      </c>
      <c r="B183" s="210" t="s">
        <v>203</v>
      </c>
      <c r="C183" s="211"/>
      <c r="D183" s="212" t="s">
        <v>102</v>
      </c>
      <c r="E183" s="213">
        <v>4</v>
      </c>
      <c r="F183" s="70">
        <f t="shared" ref="F183" si="43">E183</f>
        <v>4</v>
      </c>
      <c r="G183" s="207"/>
      <c r="H183" s="147">
        <f t="shared" si="41"/>
        <v>4</v>
      </c>
      <c r="I183" s="70">
        <v>12</v>
      </c>
      <c r="J183" s="147">
        <f t="shared" si="42"/>
        <v>48</v>
      </c>
      <c r="K183" s="267"/>
    </row>
    <row r="184" spans="1:11" ht="18" customHeight="1">
      <c r="A184" s="267">
        <v>6</v>
      </c>
      <c r="B184" s="210" t="s">
        <v>110</v>
      </c>
      <c r="C184" s="211" t="s">
        <v>139</v>
      </c>
      <c r="D184" s="212" t="s">
        <v>140</v>
      </c>
      <c r="E184" s="146" t="s">
        <v>143</v>
      </c>
      <c r="F184" s="207"/>
      <c r="G184" s="207"/>
      <c r="H184" s="147">
        <f>J184/1000</f>
        <v>0.34388000000000002</v>
      </c>
      <c r="I184" s="149"/>
      <c r="J184" s="147">
        <f>SUM(J179:J183)</f>
        <v>343.88</v>
      </c>
      <c r="K184" s="267"/>
    </row>
    <row r="185" spans="1:11" ht="18" customHeight="1">
      <c r="A185" s="267"/>
      <c r="B185" s="143" t="s">
        <v>137</v>
      </c>
      <c r="C185" s="211"/>
      <c r="D185" s="212"/>
      <c r="E185" s="213"/>
      <c r="F185" s="207"/>
      <c r="G185" s="207"/>
      <c r="H185" s="268"/>
      <c r="I185" s="214"/>
      <c r="J185" s="268"/>
      <c r="K185" s="267"/>
    </row>
    <row r="186" spans="1:11" ht="18" customHeight="1">
      <c r="A186" s="267">
        <v>1</v>
      </c>
      <c r="B186" s="210" t="s">
        <v>141</v>
      </c>
      <c r="C186" s="218" t="s">
        <v>142</v>
      </c>
      <c r="D186" s="212" t="s">
        <v>140</v>
      </c>
      <c r="E186" s="146" t="s">
        <v>462</v>
      </c>
      <c r="F186" s="207"/>
      <c r="G186" s="207"/>
      <c r="H186" s="147">
        <f>J186/1000</f>
        <v>0.17100000000000001</v>
      </c>
      <c r="I186" s="149"/>
      <c r="J186" s="147">
        <f>TRUNC(SUM(J179:J183)*0.5,0)</f>
        <v>171</v>
      </c>
      <c r="K186" s="267"/>
    </row>
    <row r="187" spans="1:11" ht="18" customHeight="1">
      <c r="A187" s="267">
        <v>2</v>
      </c>
      <c r="B187" s="210" t="s">
        <v>144</v>
      </c>
      <c r="C187" s="218"/>
      <c r="D187" s="212" t="s">
        <v>145</v>
      </c>
      <c r="E187" s="146" t="s">
        <v>146</v>
      </c>
      <c r="F187" s="207"/>
      <c r="G187" s="207"/>
      <c r="H187" s="147">
        <f>J187</f>
        <v>35</v>
      </c>
      <c r="I187" s="214"/>
      <c r="J187" s="147">
        <f>SUM(J180:J181)</f>
        <v>35</v>
      </c>
      <c r="K187" s="267"/>
    </row>
    <row r="188" spans="1:11" ht="18" customHeight="1">
      <c r="A188" s="267"/>
      <c r="B188" s="143" t="s">
        <v>118</v>
      </c>
      <c r="C188" s="211"/>
      <c r="D188" s="212"/>
      <c r="E188" s="213"/>
      <c r="F188" s="207"/>
      <c r="G188" s="207"/>
      <c r="H188" s="268"/>
      <c r="I188" s="214"/>
      <c r="J188" s="268"/>
      <c r="K188" s="267"/>
    </row>
    <row r="189" spans="1:11" ht="18" customHeight="1">
      <c r="A189" s="70">
        <v>-1</v>
      </c>
      <c r="B189" s="33" t="s">
        <v>113</v>
      </c>
      <c r="C189" s="11" t="s">
        <v>114</v>
      </c>
      <c r="D189" s="11" t="s">
        <v>115</v>
      </c>
      <c r="E189" s="151" t="s">
        <v>210</v>
      </c>
      <c r="F189" s="11">
        <f>9*2</f>
        <v>18</v>
      </c>
      <c r="G189" s="11"/>
      <c r="H189" s="147">
        <f t="shared" ref="H189" si="44">ROUNDDOWN(F189*(1+G189),1)</f>
        <v>18</v>
      </c>
      <c r="I189" s="11">
        <v>3.63</v>
      </c>
      <c r="J189" s="147">
        <f t="shared" ref="J189" si="45">ROUNDDOWN(F189*I189,2)</f>
        <v>65.34</v>
      </c>
      <c r="K189" s="267"/>
    </row>
    <row r="190" spans="1:11" s="53" customFormat="1" ht="18" customHeight="1">
      <c r="A190" s="70">
        <v>-2</v>
      </c>
      <c r="B190" s="153" t="s">
        <v>205</v>
      </c>
      <c r="C190" s="11"/>
      <c r="D190" s="80" t="s">
        <v>102</v>
      </c>
      <c r="E190" s="144">
        <v>1</v>
      </c>
      <c r="F190" s="70">
        <f>E190</f>
        <v>1</v>
      </c>
      <c r="G190" s="70"/>
      <c r="H190" s="147">
        <f>F190</f>
        <v>1</v>
      </c>
      <c r="I190" s="70">
        <v>250</v>
      </c>
      <c r="J190" s="147">
        <f>I190*H190</f>
        <v>250</v>
      </c>
      <c r="K190" s="269"/>
    </row>
    <row r="191" spans="1:11" s="53" customFormat="1" ht="18" customHeight="1">
      <c r="A191" s="155">
        <v>1</v>
      </c>
      <c r="B191" s="153" t="s">
        <v>117</v>
      </c>
      <c r="C191" s="154" t="s">
        <v>118</v>
      </c>
      <c r="D191" s="155" t="s">
        <v>119</v>
      </c>
      <c r="E191" s="156" t="s">
        <v>147</v>
      </c>
      <c r="F191" s="11"/>
      <c r="G191" s="11"/>
      <c r="H191" s="147">
        <f>ROUNDDOWN(J191/1000,3)</f>
        <v>0.315</v>
      </c>
      <c r="I191" s="11"/>
      <c r="J191" s="147">
        <f>SUM(J189:J190)</f>
        <v>315.34000000000003</v>
      </c>
      <c r="K191" s="269"/>
    </row>
    <row r="192" spans="1:11" s="53" customFormat="1" ht="18" customHeight="1">
      <c r="A192" s="143"/>
      <c r="B192" s="143"/>
      <c r="C192" s="269"/>
      <c r="D192" s="269"/>
      <c r="E192" s="270"/>
      <c r="F192" s="268"/>
      <c r="G192" s="268"/>
      <c r="H192" s="268"/>
      <c r="I192" s="150"/>
      <c r="J192" s="268"/>
      <c r="K192" s="269"/>
    </row>
    <row r="193" spans="1:11" s="53" customFormat="1" ht="18" customHeight="1">
      <c r="A193" s="70"/>
      <c r="B193" s="33"/>
      <c r="C193" s="11"/>
      <c r="D193" s="11"/>
      <c r="E193" s="151"/>
      <c r="F193" s="11"/>
      <c r="G193" s="11"/>
      <c r="H193" s="147"/>
      <c r="I193" s="11"/>
      <c r="J193" s="147"/>
      <c r="K193" s="269"/>
    </row>
    <row r="194" spans="1:11" s="53" customFormat="1" ht="18" customHeight="1">
      <c r="A194" s="70"/>
      <c r="B194" s="33"/>
      <c r="C194" s="11"/>
      <c r="D194" s="11"/>
      <c r="E194" s="151"/>
      <c r="F194" s="11"/>
      <c r="G194" s="11"/>
      <c r="H194" s="147"/>
      <c r="I194" s="11"/>
      <c r="J194" s="147"/>
      <c r="K194" s="269"/>
    </row>
    <row r="195" spans="1:11" s="53" customFormat="1" ht="18" customHeight="1">
      <c r="A195" s="70"/>
      <c r="B195" s="153"/>
      <c r="C195" s="154"/>
      <c r="D195" s="155"/>
      <c r="E195" s="144"/>
      <c r="F195" s="11"/>
      <c r="G195" s="70"/>
      <c r="H195" s="147"/>
      <c r="I195" s="70"/>
      <c r="J195" s="147"/>
      <c r="K195" s="269"/>
    </row>
    <row r="196" spans="1:11" s="53" customFormat="1" ht="18" customHeight="1">
      <c r="A196" s="70"/>
      <c r="B196" s="153"/>
      <c r="C196" s="11"/>
      <c r="D196" s="80"/>
      <c r="E196" s="144"/>
      <c r="F196" s="70"/>
      <c r="G196" s="70"/>
      <c r="H196" s="147"/>
      <c r="I196" s="70"/>
      <c r="J196" s="147"/>
      <c r="K196" s="269"/>
    </row>
    <row r="197" spans="1:11" s="53" customFormat="1" ht="18" customHeight="1">
      <c r="A197" s="70"/>
      <c r="B197" s="153"/>
      <c r="C197" s="11"/>
      <c r="D197" s="80"/>
      <c r="E197" s="144"/>
      <c r="F197" s="70"/>
      <c r="G197" s="70"/>
      <c r="H197" s="147"/>
      <c r="I197" s="70"/>
      <c r="J197" s="147"/>
      <c r="K197" s="269"/>
    </row>
    <row r="198" spans="1:11" ht="18" customHeight="1">
      <c r="A198" s="70"/>
      <c r="B198" s="153"/>
      <c r="C198" s="11"/>
      <c r="D198" s="80"/>
      <c r="E198" s="144"/>
      <c r="F198" s="70"/>
      <c r="G198" s="70"/>
      <c r="H198" s="147"/>
      <c r="I198" s="70"/>
      <c r="J198" s="147"/>
      <c r="K198" s="68"/>
    </row>
    <row r="199" spans="1:11" ht="18" customHeight="1">
      <c r="A199" s="155"/>
      <c r="B199" s="153"/>
      <c r="C199" s="154"/>
      <c r="D199" s="155"/>
      <c r="E199" s="156"/>
      <c r="F199" s="11"/>
      <c r="G199" s="11"/>
      <c r="H199" s="147"/>
      <c r="I199" s="11"/>
      <c r="J199" s="147"/>
      <c r="K199" s="68"/>
    </row>
    <row r="200" spans="1:11" ht="18" customHeight="1">
      <c r="A200" s="155"/>
      <c r="B200" s="153"/>
      <c r="C200" s="154"/>
      <c r="D200" s="155"/>
      <c r="E200" s="156"/>
      <c r="F200" s="11"/>
      <c r="G200" s="11"/>
      <c r="H200" s="147"/>
      <c r="I200" s="11"/>
      <c r="J200" s="147"/>
      <c r="K200" s="68"/>
    </row>
    <row r="201" spans="1:11" ht="18" customHeight="1">
      <c r="A201" s="155"/>
      <c r="B201" s="153"/>
      <c r="C201" s="154"/>
      <c r="D201" s="155"/>
      <c r="E201" s="156"/>
      <c r="F201" s="11"/>
      <c r="G201" s="11"/>
      <c r="H201" s="147"/>
      <c r="I201" s="11"/>
      <c r="J201" s="147"/>
      <c r="K201" s="68"/>
    </row>
    <row r="202" spans="1:11" ht="18" customHeight="1">
      <c r="A202" s="155"/>
      <c r="B202" s="153"/>
      <c r="C202" s="154"/>
      <c r="D202" s="155"/>
      <c r="E202" s="156"/>
      <c r="F202" s="11"/>
      <c r="G202" s="11"/>
      <c r="H202" s="147"/>
      <c r="I202" s="11"/>
      <c r="J202" s="147"/>
      <c r="K202" s="68"/>
    </row>
    <row r="203" spans="1:11" ht="18" customHeight="1">
      <c r="A203" s="155"/>
      <c r="B203" s="153"/>
      <c r="C203" s="154"/>
      <c r="D203" s="155"/>
      <c r="E203" s="156"/>
      <c r="F203" s="11"/>
      <c r="G203" s="11"/>
      <c r="H203" s="147"/>
      <c r="I203" s="11"/>
      <c r="J203" s="147"/>
    </row>
    <row r="204" spans="1:11" s="53" customFormat="1" ht="18" customHeight="1">
      <c r="A204" s="142" t="s">
        <v>314</v>
      </c>
      <c r="B204" s="142"/>
      <c r="C204" s="118"/>
      <c r="D204" s="119"/>
      <c r="E204" s="120"/>
      <c r="F204" s="58"/>
      <c r="G204" s="58"/>
      <c r="H204" s="58"/>
      <c r="I204" s="122"/>
      <c r="J204" s="58"/>
      <c r="K204" s="398" t="s">
        <v>13</v>
      </c>
    </row>
    <row r="205" spans="1:11" s="53" customFormat="1" ht="18" customHeight="1">
      <c r="A205" s="398" t="s">
        <v>22</v>
      </c>
      <c r="B205" s="398" t="s">
        <v>26</v>
      </c>
      <c r="C205" s="398" t="s">
        <v>27</v>
      </c>
      <c r="D205" s="398" t="s">
        <v>11</v>
      </c>
      <c r="E205" s="400" t="s">
        <v>28</v>
      </c>
      <c r="F205" s="402" t="s">
        <v>29</v>
      </c>
      <c r="G205" s="402" t="s">
        <v>14</v>
      </c>
      <c r="H205" s="402" t="s">
        <v>30</v>
      </c>
      <c r="I205" s="229" t="s">
        <v>111</v>
      </c>
      <c r="J205" s="229" t="s">
        <v>95</v>
      </c>
      <c r="K205" s="399"/>
    </row>
    <row r="206" spans="1:11" ht="18" customHeight="1">
      <c r="A206" s="399"/>
      <c r="B206" s="399"/>
      <c r="C206" s="399"/>
      <c r="D206" s="399"/>
      <c r="E206" s="401"/>
      <c r="F206" s="403"/>
      <c r="G206" s="403"/>
      <c r="H206" s="403"/>
      <c r="I206" s="230" t="s">
        <v>112</v>
      </c>
      <c r="J206" s="230" t="s">
        <v>94</v>
      </c>
      <c r="K206" s="68"/>
    </row>
    <row r="207" spans="1:11" ht="18" customHeight="1">
      <c r="A207" s="143"/>
      <c r="B207" s="143" t="s">
        <v>212</v>
      </c>
      <c r="C207" s="145"/>
      <c r="D207" s="80"/>
      <c r="E207" s="146"/>
      <c r="F207" s="70"/>
      <c r="G207" s="70"/>
      <c r="H207" s="147"/>
      <c r="I207" s="149"/>
      <c r="J207" s="147"/>
      <c r="K207" s="68"/>
    </row>
    <row r="208" spans="1:11" ht="18" customHeight="1">
      <c r="A208" s="68">
        <v>1</v>
      </c>
      <c r="B208" s="157" t="s">
        <v>213</v>
      </c>
      <c r="C208" s="145" t="s">
        <v>214</v>
      </c>
      <c r="D208" s="80" t="s">
        <v>215</v>
      </c>
      <c r="E208" s="146" t="s">
        <v>217</v>
      </c>
      <c r="F208" s="70">
        <f>((12*4+8.1*2+3.9*2)/0.5)*1</f>
        <v>144</v>
      </c>
      <c r="G208" s="70"/>
      <c r="H208" s="147">
        <f>ROUNDDOWN(F208*(1+G208),1)</f>
        <v>144</v>
      </c>
      <c r="I208" s="70">
        <v>2.38</v>
      </c>
      <c r="J208" s="147">
        <f>ROUNDDOWN(F208*I208,2)</f>
        <v>342.72</v>
      </c>
      <c r="K208" s="68"/>
    </row>
    <row r="209" spans="1:12" ht="18" customHeight="1">
      <c r="A209" s="68">
        <v>2</v>
      </c>
      <c r="B209" s="157" t="s">
        <v>213</v>
      </c>
      <c r="C209" s="145" t="s">
        <v>216</v>
      </c>
      <c r="D209" s="80" t="s">
        <v>215</v>
      </c>
      <c r="E209" s="146" t="s">
        <v>218</v>
      </c>
      <c r="F209" s="70">
        <f>(12*4+8.1*2+3.9*2)*2</f>
        <v>144</v>
      </c>
      <c r="G209" s="70"/>
      <c r="H209" s="147">
        <f t="shared" ref="H209:H212" si="46">ROUNDDOWN(F209*(1+G209),1)</f>
        <v>144</v>
      </c>
      <c r="I209" s="70">
        <v>1.38</v>
      </c>
      <c r="J209" s="147">
        <f t="shared" ref="J209" si="47">ROUNDDOWN(F209*I209,2)</f>
        <v>198.72</v>
      </c>
      <c r="K209" s="215"/>
    </row>
    <row r="210" spans="1:12" ht="18" customHeight="1">
      <c r="A210" s="68">
        <v>3</v>
      </c>
      <c r="B210" s="360" t="s">
        <v>467</v>
      </c>
      <c r="C210" s="145" t="s">
        <v>468</v>
      </c>
      <c r="D210" s="212" t="s">
        <v>469</v>
      </c>
      <c r="E210" s="213" t="s">
        <v>470</v>
      </c>
      <c r="F210" s="361">
        <f>((3.2*0.2*5)+(1*0.2*5))/2.972</f>
        <v>1.4131897711978469</v>
      </c>
      <c r="G210" s="362"/>
      <c r="H210" s="363">
        <f>ROUNDDOWN(F210*(1+G210),1)</f>
        <v>1.4</v>
      </c>
      <c r="I210" s="361">
        <v>23.8</v>
      </c>
      <c r="J210" s="364">
        <f>ROUNDDOWN(F210*I210,2)</f>
        <v>33.630000000000003</v>
      </c>
      <c r="K210" s="358"/>
      <c r="L210" s="123">
        <f>(3.2*0.2*5)+(1*0.2*5)</f>
        <v>4.2000000000000011</v>
      </c>
    </row>
    <row r="211" spans="1:12" ht="18" customHeight="1">
      <c r="A211" s="68">
        <v>4</v>
      </c>
      <c r="B211" s="210" t="s">
        <v>219</v>
      </c>
      <c r="C211" s="145" t="s">
        <v>220</v>
      </c>
      <c r="D211" s="212" t="s">
        <v>222</v>
      </c>
      <c r="E211" s="213" t="s">
        <v>471</v>
      </c>
      <c r="F211" s="70">
        <f>(0.2*114)+(0.12*114)+(0.2*4.2)</f>
        <v>37.320000000000007</v>
      </c>
      <c r="G211" s="207"/>
      <c r="H211" s="147">
        <f t="shared" si="46"/>
        <v>37.299999999999997</v>
      </c>
      <c r="I211" s="70"/>
      <c r="J211" s="147"/>
      <c r="K211" s="215"/>
    </row>
    <row r="212" spans="1:12" ht="18" customHeight="1">
      <c r="A212" s="68">
        <v>5</v>
      </c>
      <c r="B212" s="210" t="s">
        <v>219</v>
      </c>
      <c r="C212" s="145" t="s">
        <v>221</v>
      </c>
      <c r="D212" s="212" t="s">
        <v>222</v>
      </c>
      <c r="E212" s="213" t="str">
        <f>E211</f>
        <v>(0.2*114)+(0.12*114)+(0.2*4.2)</v>
      </c>
      <c r="F212" s="70">
        <f>F211</f>
        <v>37.320000000000007</v>
      </c>
      <c r="G212" s="207"/>
      <c r="H212" s="147">
        <f t="shared" si="46"/>
        <v>37.299999999999997</v>
      </c>
      <c r="I212" s="70"/>
      <c r="J212" s="147"/>
      <c r="K212" s="215"/>
    </row>
    <row r="213" spans="1:12" ht="18" customHeight="1">
      <c r="A213" s="68">
        <v>6</v>
      </c>
      <c r="B213" s="210" t="s">
        <v>138</v>
      </c>
      <c r="C213" s="211" t="s">
        <v>223</v>
      </c>
      <c r="D213" s="212" t="s">
        <v>140</v>
      </c>
      <c r="E213" s="146" t="s">
        <v>213</v>
      </c>
      <c r="F213" s="207"/>
      <c r="G213" s="207"/>
      <c r="H213" s="147">
        <f>J213/1000</f>
        <v>0.57507000000000008</v>
      </c>
      <c r="I213" s="149"/>
      <c r="J213" s="147">
        <f>SUM(J208:J212)</f>
        <v>575.07000000000005</v>
      </c>
      <c r="K213" s="215"/>
    </row>
    <row r="214" spans="1:12" ht="18" customHeight="1">
      <c r="A214" s="215"/>
      <c r="B214" s="143" t="s">
        <v>224</v>
      </c>
      <c r="C214" s="211"/>
      <c r="D214" s="212"/>
      <c r="E214" s="213"/>
      <c r="F214" s="207"/>
      <c r="G214" s="207"/>
      <c r="H214" s="230"/>
      <c r="I214" s="214"/>
      <c r="J214" s="230"/>
      <c r="K214" s="215"/>
    </row>
    <row r="215" spans="1:12" ht="18" customHeight="1">
      <c r="A215" s="215">
        <v>1</v>
      </c>
      <c r="B215" s="210" t="s">
        <v>225</v>
      </c>
      <c r="C215" s="218"/>
      <c r="D215" s="212" t="s">
        <v>226</v>
      </c>
      <c r="E215" s="146">
        <v>1</v>
      </c>
      <c r="F215" s="207">
        <v>1</v>
      </c>
      <c r="G215" s="207"/>
      <c r="H215" s="147">
        <v>1</v>
      </c>
      <c r="I215" s="70">
        <v>80</v>
      </c>
      <c r="J215" s="147">
        <f>ROUNDDOWN(F215*I215,2)</f>
        <v>80</v>
      </c>
      <c r="K215" s="215"/>
    </row>
    <row r="216" spans="1:12" ht="18" customHeight="1">
      <c r="A216" s="267">
        <v>2</v>
      </c>
      <c r="B216" s="210" t="s">
        <v>110</v>
      </c>
      <c r="C216" s="211" t="s">
        <v>223</v>
      </c>
      <c r="D216" s="212" t="s">
        <v>140</v>
      </c>
      <c r="E216" s="146"/>
      <c r="F216" s="207"/>
      <c r="G216" s="207"/>
      <c r="H216" s="147">
        <f>J216/1000</f>
        <v>0.08</v>
      </c>
      <c r="I216" s="149"/>
      <c r="J216" s="147">
        <f>SUM(J215)</f>
        <v>80</v>
      </c>
      <c r="K216" s="215"/>
    </row>
    <row r="217" spans="1:12" ht="18" customHeight="1">
      <c r="A217" s="215"/>
      <c r="B217" s="143"/>
      <c r="C217" s="211"/>
      <c r="D217" s="212"/>
      <c r="E217" s="213"/>
      <c r="F217" s="207"/>
      <c r="G217" s="207"/>
      <c r="H217" s="230"/>
      <c r="I217" s="214"/>
      <c r="J217" s="230"/>
      <c r="K217" s="215"/>
    </row>
    <row r="218" spans="1:12" ht="18" customHeight="1">
      <c r="A218" s="70"/>
      <c r="B218" s="33"/>
      <c r="C218" s="11"/>
      <c r="D218" s="11"/>
      <c r="E218" s="151"/>
      <c r="F218" s="11"/>
      <c r="G218" s="11"/>
      <c r="H218" s="147"/>
      <c r="I218" s="11"/>
      <c r="J218" s="147"/>
      <c r="K218" s="215"/>
    </row>
    <row r="219" spans="1:12" s="53" customFormat="1" ht="18" customHeight="1">
      <c r="A219" s="70"/>
      <c r="B219" s="153"/>
      <c r="C219" s="11"/>
      <c r="D219" s="80"/>
      <c r="E219" s="144"/>
      <c r="F219" s="70"/>
      <c r="G219" s="70"/>
      <c r="H219" s="147"/>
      <c r="I219" s="70"/>
      <c r="J219" s="147"/>
      <c r="K219" s="216"/>
    </row>
    <row r="220" spans="1:12" s="53" customFormat="1" ht="18" customHeight="1">
      <c r="A220" s="143"/>
      <c r="B220" s="143"/>
      <c r="C220" s="216"/>
      <c r="D220" s="216"/>
      <c r="E220" s="217"/>
      <c r="F220" s="230"/>
      <c r="G220" s="230"/>
      <c r="H220" s="230"/>
      <c r="I220" s="150"/>
      <c r="J220" s="230"/>
      <c r="K220" s="216"/>
    </row>
    <row r="221" spans="1:12" s="53" customFormat="1" ht="18" customHeight="1">
      <c r="A221" s="70"/>
      <c r="B221" s="33"/>
      <c r="C221" s="11"/>
      <c r="D221" s="11"/>
      <c r="E221" s="151"/>
      <c r="F221" s="11"/>
      <c r="G221" s="11"/>
      <c r="H221" s="147"/>
      <c r="I221" s="11"/>
      <c r="J221" s="147"/>
      <c r="K221" s="216"/>
    </row>
    <row r="222" spans="1:12" s="53" customFormat="1" ht="18" customHeight="1">
      <c r="A222" s="70"/>
      <c r="B222" s="33"/>
      <c r="C222" s="11"/>
      <c r="D222" s="11"/>
      <c r="E222" s="151"/>
      <c r="F222" s="11"/>
      <c r="G222" s="11"/>
      <c r="H222" s="147"/>
      <c r="I222" s="11"/>
      <c r="J222" s="147"/>
      <c r="K222" s="216"/>
    </row>
    <row r="223" spans="1:12" s="53" customFormat="1" ht="18" customHeight="1">
      <c r="A223" s="70"/>
      <c r="B223" s="153"/>
      <c r="C223" s="154"/>
      <c r="D223" s="155"/>
      <c r="E223" s="144"/>
      <c r="F223" s="11"/>
      <c r="G223" s="70"/>
      <c r="H223" s="147"/>
      <c r="I223" s="70"/>
      <c r="J223" s="147"/>
      <c r="K223" s="216"/>
    </row>
    <row r="224" spans="1:12" s="53" customFormat="1" ht="18" customHeight="1">
      <c r="A224" s="70"/>
      <c r="B224" s="153"/>
      <c r="C224" s="11"/>
      <c r="D224" s="80"/>
      <c r="E224" s="144"/>
      <c r="F224" s="70"/>
      <c r="G224" s="70"/>
      <c r="H224" s="147"/>
      <c r="I224" s="70"/>
      <c r="J224" s="147"/>
      <c r="K224" s="216"/>
    </row>
    <row r="225" spans="1:11" s="53" customFormat="1" ht="18" customHeight="1">
      <c r="A225" s="70"/>
      <c r="B225" s="153"/>
      <c r="C225" s="11"/>
      <c r="D225" s="80"/>
      <c r="E225" s="144"/>
      <c r="F225" s="70"/>
      <c r="G225" s="70"/>
      <c r="H225" s="147"/>
      <c r="I225" s="70"/>
      <c r="J225" s="147"/>
      <c r="K225" s="216"/>
    </row>
    <row r="226" spans="1:11" ht="18" customHeight="1">
      <c r="A226" s="70"/>
      <c r="B226" s="153"/>
      <c r="C226" s="11"/>
      <c r="D226" s="80"/>
      <c r="E226" s="144"/>
      <c r="F226" s="70"/>
      <c r="G226" s="70"/>
      <c r="H226" s="147"/>
      <c r="I226" s="70"/>
      <c r="J226" s="147"/>
      <c r="K226" s="68"/>
    </row>
    <row r="227" spans="1:11" ht="18" customHeight="1">
      <c r="A227" s="70"/>
      <c r="B227" s="153"/>
      <c r="C227" s="11"/>
      <c r="D227" s="80"/>
      <c r="E227" s="144"/>
      <c r="F227" s="70"/>
      <c r="G227" s="70"/>
      <c r="H227" s="147"/>
      <c r="I227" s="70"/>
      <c r="J227" s="147"/>
      <c r="K227" s="68"/>
    </row>
    <row r="228" spans="1:11" ht="18" customHeight="1">
      <c r="A228" s="155"/>
      <c r="B228" s="153"/>
      <c r="C228" s="154"/>
      <c r="D228" s="155"/>
      <c r="E228" s="156"/>
      <c r="F228" s="11"/>
      <c r="G228" s="11"/>
      <c r="H228" s="147"/>
      <c r="I228" s="11"/>
      <c r="J228" s="147"/>
      <c r="K228" s="68"/>
    </row>
    <row r="229" spans="1:11" ht="18" customHeight="1">
      <c r="A229" s="155"/>
      <c r="B229" s="153"/>
      <c r="C229" s="154"/>
      <c r="D229" s="155"/>
      <c r="E229" s="156"/>
      <c r="F229" s="11"/>
      <c r="G229" s="11"/>
      <c r="H229" s="147"/>
      <c r="I229" s="11"/>
      <c r="J229" s="147"/>
      <c r="K229" s="68"/>
    </row>
    <row r="230" spans="1:11" ht="18" customHeight="1">
      <c r="A230" s="155"/>
      <c r="B230" s="153"/>
      <c r="C230" s="154"/>
      <c r="D230" s="155"/>
      <c r="E230" s="156"/>
      <c r="F230" s="11"/>
      <c r="G230" s="11"/>
      <c r="H230" s="147"/>
      <c r="I230" s="11"/>
      <c r="J230" s="147"/>
      <c r="K230" s="68"/>
    </row>
    <row r="231" spans="1:11" ht="18" customHeight="1">
      <c r="A231" s="155"/>
      <c r="B231" s="153"/>
      <c r="C231" s="154"/>
      <c r="D231" s="155"/>
      <c r="E231" s="156"/>
      <c r="F231" s="11"/>
      <c r="G231" s="11"/>
      <c r="H231" s="147"/>
      <c r="I231" s="11"/>
      <c r="J231" s="147"/>
      <c r="K231" s="68"/>
    </row>
    <row r="232" spans="1:11" ht="18" customHeight="1">
      <c r="A232" s="155"/>
      <c r="B232" s="153"/>
      <c r="C232" s="154"/>
      <c r="D232" s="155"/>
      <c r="E232" s="156"/>
      <c r="F232" s="11"/>
      <c r="G232" s="11"/>
      <c r="H232" s="147"/>
      <c r="I232" s="11"/>
      <c r="J232" s="147"/>
    </row>
  </sheetData>
  <mergeCells count="72">
    <mergeCell ref="D205:D206"/>
    <mergeCell ref="E205:E206"/>
    <mergeCell ref="F205:F206"/>
    <mergeCell ref="D31:D32"/>
    <mergeCell ref="E31:E32"/>
    <mergeCell ref="F31:F32"/>
    <mergeCell ref="F60:F61"/>
    <mergeCell ref="F89:F90"/>
    <mergeCell ref="D118:D119"/>
    <mergeCell ref="E118:E119"/>
    <mergeCell ref="F118:F119"/>
    <mergeCell ref="D89:D90"/>
    <mergeCell ref="E89:E90"/>
    <mergeCell ref="D147:D148"/>
    <mergeCell ref="E147:E148"/>
    <mergeCell ref="F147:F148"/>
    <mergeCell ref="A60:A61"/>
    <mergeCell ref="B60:B61"/>
    <mergeCell ref="C60:C61"/>
    <mergeCell ref="D60:D61"/>
    <mergeCell ref="E60:E61"/>
    <mergeCell ref="A205:A206"/>
    <mergeCell ref="B205:B206"/>
    <mergeCell ref="C205:C206"/>
    <mergeCell ref="A31:A32"/>
    <mergeCell ref="B31:B32"/>
    <mergeCell ref="C31:C32"/>
    <mergeCell ref="A118:A119"/>
    <mergeCell ref="B118:B119"/>
    <mergeCell ref="C118:C119"/>
    <mergeCell ref="A89:A90"/>
    <mergeCell ref="B89:B90"/>
    <mergeCell ref="C89:C90"/>
    <mergeCell ref="A147:A148"/>
    <mergeCell ref="B147:B148"/>
    <mergeCell ref="C147:C148"/>
    <mergeCell ref="A176:A177"/>
    <mergeCell ref="G31:G32"/>
    <mergeCell ref="H31:H32"/>
    <mergeCell ref="K31:K32"/>
    <mergeCell ref="G60:G61"/>
    <mergeCell ref="H60:H61"/>
    <mergeCell ref="K59:K60"/>
    <mergeCell ref="G205:G206"/>
    <mergeCell ref="H205:H206"/>
    <mergeCell ref="K204:K205"/>
    <mergeCell ref="G89:G90"/>
    <mergeCell ref="H89:H90"/>
    <mergeCell ref="K88:K89"/>
    <mergeCell ref="K117:K118"/>
    <mergeCell ref="G118:G119"/>
    <mergeCell ref="H118:H119"/>
    <mergeCell ref="K146:K147"/>
    <mergeCell ref="G147:G148"/>
    <mergeCell ref="H147:H148"/>
    <mergeCell ref="K175:K176"/>
    <mergeCell ref="G176:G177"/>
    <mergeCell ref="H176:H177"/>
    <mergeCell ref="K1:K2"/>
    <mergeCell ref="A2:A3"/>
    <mergeCell ref="B2:B3"/>
    <mergeCell ref="C2:C3"/>
    <mergeCell ref="D2:D3"/>
    <mergeCell ref="E2:E3"/>
    <mergeCell ref="F2:F3"/>
    <mergeCell ref="G2:G3"/>
    <mergeCell ref="H2:H3"/>
    <mergeCell ref="B176:B177"/>
    <mergeCell ref="C176:C177"/>
    <mergeCell ref="D176:D177"/>
    <mergeCell ref="E176:E177"/>
    <mergeCell ref="F176:F177"/>
  </mergeCells>
  <phoneticPr fontId="31" type="noConversion"/>
  <pageMargins left="0.6692913385826772" right="0" top="0.39370078740157483" bottom="0.39370078740157483" header="0" footer="0.19685039370078741"/>
  <pageSetup paperSize="9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L58"/>
  <sheetViews>
    <sheetView view="pageBreakPreview" zoomScaleNormal="100" zoomScaleSheetLayoutView="100" workbookViewId="0">
      <selection activeCell="B6" sqref="B6:L10"/>
    </sheetView>
  </sheetViews>
  <sheetFormatPr defaultRowHeight="14.25"/>
  <cols>
    <col min="1" max="1" width="4.25" style="195" customWidth="1"/>
    <col min="2" max="2" width="18.5" style="196" customWidth="1"/>
    <col min="3" max="3" width="17.75" style="196" customWidth="1"/>
    <col min="4" max="4" width="5.75" style="195" customWidth="1"/>
    <col min="5" max="5" width="28.75" style="197" customWidth="1"/>
    <col min="6" max="6" width="6.5" style="196" customWidth="1"/>
    <col min="7" max="7" width="11.875" style="196" customWidth="1"/>
    <col min="8" max="9" width="6.5" style="196" customWidth="1"/>
    <col min="10" max="10" width="6.5" style="198" customWidth="1"/>
    <col min="11" max="11" width="6.5" style="199" customWidth="1"/>
    <col min="12" max="12" width="6.5" style="195" customWidth="1"/>
  </cols>
  <sheetData>
    <row r="1" spans="1:12" ht="18" customHeight="1">
      <c r="A1" s="142" t="s">
        <v>353</v>
      </c>
      <c r="B1" s="354"/>
      <c r="C1" s="189"/>
      <c r="D1" s="190"/>
      <c r="E1" s="191"/>
      <c r="F1" s="192"/>
      <c r="G1" s="192"/>
      <c r="H1" s="192"/>
      <c r="I1" s="192"/>
      <c r="J1" s="193"/>
      <c r="K1" s="194"/>
      <c r="L1" s="190"/>
    </row>
    <row r="2" spans="1:12" ht="18" customHeight="1">
      <c r="A2" s="408" t="s">
        <v>354</v>
      </c>
      <c r="B2" s="410" t="s">
        <v>355</v>
      </c>
      <c r="C2" s="398" t="s">
        <v>27</v>
      </c>
      <c r="D2" s="410" t="s">
        <v>356</v>
      </c>
      <c r="E2" s="412" t="s">
        <v>357</v>
      </c>
      <c r="F2" s="404" t="s">
        <v>29</v>
      </c>
      <c r="G2" s="406" t="s">
        <v>358</v>
      </c>
      <c r="H2" s="404" t="s">
        <v>123</v>
      </c>
      <c r="I2" s="404" t="s">
        <v>124</v>
      </c>
      <c r="J2" s="404" t="s">
        <v>14</v>
      </c>
      <c r="K2" s="404" t="s">
        <v>30</v>
      </c>
      <c r="L2" s="404" t="s">
        <v>13</v>
      </c>
    </row>
    <row r="3" spans="1:12" ht="18" customHeight="1">
      <c r="A3" s="409"/>
      <c r="B3" s="411"/>
      <c r="C3" s="399"/>
      <c r="D3" s="411"/>
      <c r="E3" s="413"/>
      <c r="F3" s="405"/>
      <c r="G3" s="407"/>
      <c r="H3" s="405"/>
      <c r="I3" s="405"/>
      <c r="J3" s="405"/>
      <c r="K3" s="405"/>
      <c r="L3" s="405"/>
    </row>
    <row r="4" spans="1:12" s="200" customFormat="1" ht="17.45" customHeight="1">
      <c r="A4" s="201">
        <v>1</v>
      </c>
      <c r="B4" s="223" t="s">
        <v>364</v>
      </c>
      <c r="C4" s="342" t="s">
        <v>365</v>
      </c>
      <c r="D4" s="11" t="s">
        <v>115</v>
      </c>
      <c r="E4" s="202">
        <v>10</v>
      </c>
      <c r="F4" s="11">
        <v>10</v>
      </c>
      <c r="G4" s="203"/>
      <c r="H4" s="33"/>
      <c r="I4" s="204"/>
      <c r="J4" s="152"/>
      <c r="K4" s="251">
        <f>F4*(1+J4)</f>
        <v>10</v>
      </c>
      <c r="L4" s="206"/>
    </row>
    <row r="5" spans="1:12" s="200" customFormat="1" ht="17.45" customHeight="1">
      <c r="A5" s="201"/>
      <c r="B5" s="33"/>
      <c r="C5" s="11"/>
      <c r="D5" s="11"/>
      <c r="E5" s="202"/>
      <c r="F5" s="11">
        <v>10</v>
      </c>
      <c r="G5" s="203" t="s">
        <v>361</v>
      </c>
      <c r="H5" s="33">
        <v>1.2999999999999999E-2</v>
      </c>
      <c r="I5" s="204">
        <f>H5*F5</f>
        <v>0.13</v>
      </c>
      <c r="J5" s="152"/>
      <c r="K5" s="251"/>
      <c r="L5" s="206" t="s">
        <v>363</v>
      </c>
    </row>
    <row r="6" spans="1:12" s="200" customFormat="1" ht="17.45" customHeight="1">
      <c r="A6" s="201">
        <v>2</v>
      </c>
      <c r="B6" s="252" t="s">
        <v>366</v>
      </c>
      <c r="C6" s="253" t="s">
        <v>367</v>
      </c>
      <c r="D6" s="254" t="s">
        <v>15</v>
      </c>
      <c r="E6" s="255" t="s">
        <v>368</v>
      </c>
      <c r="F6" s="256">
        <v>6</v>
      </c>
      <c r="G6" s="257" t="s">
        <v>43</v>
      </c>
      <c r="H6" s="258">
        <f>0.74*130%+0.74*130%*50%</f>
        <v>1.4430000000000001</v>
      </c>
      <c r="I6" s="258">
        <f t="shared" ref="I6:I8" si="0">F6*H6</f>
        <v>8.6580000000000013</v>
      </c>
      <c r="J6" s="259"/>
      <c r="K6" s="260">
        <f t="shared" ref="K6:K8" si="1">ROUNDDOWN(F6*(1+J6),1)</f>
        <v>6</v>
      </c>
      <c r="L6" s="261" t="s">
        <v>193</v>
      </c>
    </row>
    <row r="7" spans="1:12" s="200" customFormat="1" ht="17.45" customHeight="1">
      <c r="A7" s="201">
        <v>3</v>
      </c>
      <c r="B7" s="223" t="s">
        <v>194</v>
      </c>
      <c r="C7" s="342" t="s">
        <v>369</v>
      </c>
      <c r="D7" s="254" t="s">
        <v>15</v>
      </c>
      <c r="E7" s="255" t="s">
        <v>370</v>
      </c>
      <c r="F7" s="256">
        <v>8</v>
      </c>
      <c r="G7" s="257" t="s">
        <v>43</v>
      </c>
      <c r="H7" s="258">
        <f>0.3+0.3*50%</f>
        <v>0.44999999999999996</v>
      </c>
      <c r="I7" s="258">
        <f t="shared" si="0"/>
        <v>3.5999999999999996</v>
      </c>
      <c r="J7" s="259"/>
      <c r="K7" s="260">
        <f t="shared" si="1"/>
        <v>8</v>
      </c>
      <c r="L7" s="261" t="s">
        <v>371</v>
      </c>
    </row>
    <row r="8" spans="1:12" s="200" customFormat="1" ht="17.45" customHeight="1">
      <c r="A8" s="201">
        <v>4</v>
      </c>
      <c r="B8" s="223" t="s">
        <v>194</v>
      </c>
      <c r="C8" s="342" t="s">
        <v>372</v>
      </c>
      <c r="D8" s="254" t="s">
        <v>15</v>
      </c>
      <c r="E8" s="255" t="s">
        <v>373</v>
      </c>
      <c r="F8" s="256">
        <v>4</v>
      </c>
      <c r="G8" s="257" t="s">
        <v>43</v>
      </c>
      <c r="H8" s="258">
        <f>0.3+0.3*50%</f>
        <v>0.44999999999999996</v>
      </c>
      <c r="I8" s="258">
        <f t="shared" si="0"/>
        <v>1.7999999999999998</v>
      </c>
      <c r="J8" s="259"/>
      <c r="K8" s="260">
        <f t="shared" si="1"/>
        <v>4</v>
      </c>
      <c r="L8" s="261" t="s">
        <v>371</v>
      </c>
    </row>
    <row r="9" spans="1:12" s="200" customFormat="1" ht="17.45" customHeight="1">
      <c r="A9" s="201">
        <v>5</v>
      </c>
      <c r="B9" s="223" t="s">
        <v>478</v>
      </c>
      <c r="C9" s="359"/>
      <c r="D9" s="254" t="s">
        <v>476</v>
      </c>
      <c r="E9" s="255">
        <v>1</v>
      </c>
      <c r="F9" s="256">
        <v>1</v>
      </c>
      <c r="G9" s="257"/>
      <c r="H9" s="258"/>
      <c r="I9" s="258"/>
      <c r="J9" s="259"/>
      <c r="K9" s="260">
        <v>1</v>
      </c>
      <c r="L9" s="261"/>
    </row>
    <row r="10" spans="1:12" s="200" customFormat="1" ht="17.45" customHeight="1">
      <c r="A10" s="201">
        <v>6</v>
      </c>
      <c r="B10" s="33" t="s">
        <v>374</v>
      </c>
      <c r="C10" s="11" t="s">
        <v>361</v>
      </c>
      <c r="D10" s="11" t="s">
        <v>125</v>
      </c>
      <c r="E10" s="202"/>
      <c r="F10" s="11">
        <f>I6+I7+I8+I5</f>
        <v>14.188000000000001</v>
      </c>
      <c r="G10" s="203"/>
      <c r="H10" s="33"/>
      <c r="I10" s="204"/>
      <c r="J10" s="152"/>
      <c r="K10" s="251">
        <f>F10</f>
        <v>14.188000000000001</v>
      </c>
      <c r="L10" s="206"/>
    </row>
    <row r="11" spans="1:12" s="200" customFormat="1" ht="17.45" customHeight="1">
      <c r="A11" s="201"/>
      <c r="B11" s="33"/>
      <c r="C11" s="11"/>
      <c r="D11" s="11"/>
      <c r="E11" s="202"/>
      <c r="F11" s="11"/>
      <c r="G11" s="203"/>
      <c r="H11" s="33"/>
      <c r="I11" s="204"/>
      <c r="J11" s="152"/>
      <c r="K11" s="251"/>
      <c r="L11" s="206"/>
    </row>
    <row r="12" spans="1:12" s="200" customFormat="1" ht="17.45" customHeight="1">
      <c r="A12" s="201"/>
      <c r="B12" s="33"/>
      <c r="C12" s="11"/>
      <c r="D12" s="11"/>
      <c r="E12" s="202"/>
      <c r="F12" s="11"/>
      <c r="G12" s="203"/>
      <c r="H12" s="33"/>
      <c r="I12" s="204"/>
      <c r="J12" s="152"/>
      <c r="K12" s="251"/>
      <c r="L12" s="206"/>
    </row>
    <row r="13" spans="1:12" s="200" customFormat="1" ht="17.45" customHeight="1">
      <c r="A13" s="201"/>
      <c r="B13" s="33"/>
      <c r="C13" s="11"/>
      <c r="D13" s="11"/>
      <c r="E13" s="202"/>
      <c r="F13" s="11"/>
      <c r="G13" s="203"/>
      <c r="H13" s="33"/>
      <c r="I13" s="204"/>
      <c r="J13" s="152"/>
      <c r="K13" s="251"/>
      <c r="L13" s="206"/>
    </row>
    <row r="14" spans="1:12" s="200" customFormat="1" ht="17.45" customHeight="1">
      <c r="A14" s="201"/>
      <c r="B14" s="33"/>
      <c r="C14" s="11"/>
      <c r="D14" s="11"/>
      <c r="E14" s="202"/>
      <c r="F14" s="11"/>
      <c r="G14" s="203"/>
      <c r="H14" s="33"/>
      <c r="I14" s="204"/>
      <c r="J14" s="152"/>
      <c r="K14" s="251"/>
      <c r="L14" s="206"/>
    </row>
    <row r="15" spans="1:12" s="200" customFormat="1" ht="17.45" customHeight="1">
      <c r="A15" s="201"/>
      <c r="B15" s="33"/>
      <c r="C15" s="11"/>
      <c r="D15" s="11"/>
      <c r="E15" s="202"/>
      <c r="F15" s="11"/>
      <c r="G15" s="203"/>
      <c r="H15" s="33"/>
      <c r="I15" s="204"/>
      <c r="J15" s="152"/>
      <c r="K15" s="251"/>
      <c r="L15" s="206"/>
    </row>
    <row r="16" spans="1:12" s="200" customFormat="1" ht="17.45" customHeight="1">
      <c r="A16" s="201"/>
      <c r="B16" s="33"/>
      <c r="C16" s="11"/>
      <c r="D16" s="11"/>
      <c r="E16" s="202"/>
      <c r="F16" s="11"/>
      <c r="G16" s="203"/>
      <c r="H16" s="33"/>
      <c r="I16" s="204"/>
      <c r="J16" s="152"/>
      <c r="K16" s="251"/>
      <c r="L16" s="206"/>
    </row>
    <row r="17" spans="1:12" s="200" customFormat="1" ht="17.45" customHeight="1">
      <c r="A17" s="201"/>
      <c r="B17" s="33"/>
      <c r="C17" s="11"/>
      <c r="D17" s="11"/>
      <c r="E17" s="202"/>
      <c r="F17" s="11"/>
      <c r="G17" s="203"/>
      <c r="H17" s="33"/>
      <c r="I17" s="204"/>
      <c r="J17" s="152"/>
      <c r="K17" s="251"/>
      <c r="L17" s="206"/>
    </row>
    <row r="18" spans="1:12" s="200" customFormat="1" ht="17.45" customHeight="1">
      <c r="A18" s="201"/>
      <c r="B18" s="33"/>
      <c r="C18" s="11"/>
      <c r="D18" s="11"/>
      <c r="E18" s="202"/>
      <c r="F18" s="11"/>
      <c r="G18" s="203"/>
      <c r="H18" s="33"/>
      <c r="I18" s="204"/>
      <c r="J18" s="152"/>
      <c r="K18" s="251"/>
      <c r="L18" s="206"/>
    </row>
    <row r="19" spans="1:12" s="200" customFormat="1" ht="17.45" customHeight="1">
      <c r="A19" s="201"/>
      <c r="B19" s="33"/>
      <c r="C19" s="11"/>
      <c r="D19" s="11"/>
      <c r="E19" s="202"/>
      <c r="F19" s="11"/>
      <c r="G19" s="203"/>
      <c r="H19" s="33"/>
      <c r="I19" s="204"/>
      <c r="J19" s="152"/>
      <c r="K19" s="251"/>
      <c r="L19" s="206"/>
    </row>
    <row r="20" spans="1:12" s="200" customFormat="1" ht="17.45" customHeight="1">
      <c r="A20" s="201"/>
      <c r="B20" s="33"/>
      <c r="C20" s="11"/>
      <c r="D20" s="11"/>
      <c r="E20" s="202"/>
      <c r="F20" s="11"/>
      <c r="G20" s="203"/>
      <c r="H20" s="33"/>
      <c r="I20" s="204"/>
      <c r="J20" s="152"/>
      <c r="K20" s="205"/>
      <c r="L20" s="206"/>
    </row>
    <row r="21" spans="1:12" s="200" customFormat="1" ht="17.45" customHeight="1">
      <c r="A21" s="201"/>
      <c r="B21" s="33"/>
      <c r="C21" s="11"/>
      <c r="D21" s="11"/>
      <c r="E21" s="202"/>
      <c r="F21" s="11"/>
      <c r="G21" s="203"/>
      <c r="H21" s="33"/>
      <c r="I21" s="204"/>
      <c r="J21" s="152"/>
      <c r="K21" s="205"/>
      <c r="L21" s="206"/>
    </row>
    <row r="22" spans="1:12" s="200" customFormat="1" ht="17.45" customHeight="1">
      <c r="A22" s="201"/>
      <c r="B22" s="33"/>
      <c r="C22" s="11"/>
      <c r="D22" s="11"/>
      <c r="E22" s="202"/>
      <c r="F22" s="11"/>
      <c r="G22" s="203"/>
      <c r="H22" s="33"/>
      <c r="I22" s="204"/>
      <c r="J22" s="152"/>
      <c r="K22" s="205"/>
      <c r="L22" s="206"/>
    </row>
    <row r="23" spans="1:12" s="200" customFormat="1" ht="17.45" customHeight="1">
      <c r="A23" s="201"/>
      <c r="B23" s="33"/>
      <c r="C23" s="11"/>
      <c r="D23" s="11"/>
      <c r="E23" s="202"/>
      <c r="F23" s="11"/>
      <c r="G23" s="203"/>
      <c r="H23" s="33"/>
      <c r="I23" s="204"/>
      <c r="J23" s="152"/>
      <c r="K23" s="205"/>
      <c r="L23" s="206"/>
    </row>
    <row r="24" spans="1:12" s="200" customFormat="1" ht="17.45" customHeight="1">
      <c r="A24" s="201"/>
      <c r="B24" s="33"/>
      <c r="C24" s="11"/>
      <c r="D24" s="11"/>
      <c r="E24" s="202"/>
      <c r="F24" s="11"/>
      <c r="G24" s="203"/>
      <c r="H24" s="33"/>
      <c r="I24" s="204"/>
      <c r="J24" s="152"/>
      <c r="K24" s="205"/>
      <c r="L24" s="206"/>
    </row>
    <row r="25" spans="1:12" s="200" customFormat="1" ht="17.45" customHeight="1">
      <c r="A25" s="201"/>
      <c r="B25" s="33"/>
      <c r="C25" s="11"/>
      <c r="D25" s="11"/>
      <c r="E25" s="202"/>
      <c r="F25" s="11"/>
      <c r="G25" s="203"/>
      <c r="H25" s="33"/>
      <c r="I25" s="204"/>
      <c r="J25" s="152"/>
      <c r="K25" s="205"/>
      <c r="L25" s="206"/>
    </row>
    <row r="26" spans="1:12" s="200" customFormat="1" ht="17.45" customHeight="1">
      <c r="A26" s="201"/>
      <c r="B26" s="33"/>
      <c r="C26" s="11"/>
      <c r="D26" s="11"/>
      <c r="E26" s="202"/>
      <c r="F26" s="11"/>
      <c r="G26" s="203"/>
      <c r="H26" s="33"/>
      <c r="I26" s="204"/>
      <c r="J26" s="152"/>
      <c r="K26" s="205"/>
      <c r="L26" s="206"/>
    </row>
    <row r="27" spans="1:12" s="200" customFormat="1" ht="17.45" customHeight="1">
      <c r="A27" s="201"/>
      <c r="B27" s="33"/>
      <c r="C27" s="11"/>
      <c r="D27" s="11"/>
      <c r="E27" s="202"/>
      <c r="F27" s="11"/>
      <c r="G27" s="203"/>
      <c r="H27" s="33"/>
      <c r="I27" s="204"/>
      <c r="J27" s="152"/>
      <c r="K27" s="205"/>
      <c r="L27" s="206"/>
    </row>
    <row r="28" spans="1:12" s="200" customFormat="1" ht="17.45" customHeight="1">
      <c r="A28" s="201"/>
      <c r="B28" s="33"/>
      <c r="C28" s="11"/>
      <c r="D28" s="11"/>
      <c r="E28" s="202"/>
      <c r="F28" s="11"/>
      <c r="G28" s="203"/>
      <c r="H28" s="33"/>
      <c r="I28" s="204"/>
      <c r="J28" s="152"/>
      <c r="K28" s="205"/>
      <c r="L28" s="206"/>
    </row>
    <row r="29" spans="1:12" s="200" customFormat="1" ht="17.45" customHeight="1">
      <c r="A29" s="201"/>
      <c r="B29" s="33"/>
      <c r="C29" s="11"/>
      <c r="D29" s="11"/>
      <c r="E29" s="202"/>
      <c r="F29" s="11"/>
      <c r="G29" s="203"/>
      <c r="H29" s="33"/>
      <c r="I29" s="204"/>
      <c r="J29" s="152"/>
      <c r="K29" s="205"/>
      <c r="L29" s="206"/>
    </row>
    <row r="30" spans="1:12" ht="18" customHeight="1">
      <c r="A30" s="142" t="s">
        <v>380</v>
      </c>
      <c r="B30" s="354"/>
      <c r="C30" s="189"/>
      <c r="D30" s="190"/>
      <c r="E30" s="191"/>
      <c r="F30" s="192"/>
      <c r="G30" s="192"/>
      <c r="H30" s="192"/>
      <c r="I30" s="192"/>
      <c r="J30" s="193"/>
      <c r="K30" s="194"/>
      <c r="L30" s="190"/>
    </row>
    <row r="31" spans="1:12" ht="18" customHeight="1">
      <c r="A31" s="408" t="s">
        <v>354</v>
      </c>
      <c r="B31" s="410" t="s">
        <v>355</v>
      </c>
      <c r="C31" s="398" t="s">
        <v>27</v>
      </c>
      <c r="D31" s="410" t="s">
        <v>356</v>
      </c>
      <c r="E31" s="412" t="s">
        <v>357</v>
      </c>
      <c r="F31" s="404" t="s">
        <v>29</v>
      </c>
      <c r="G31" s="406" t="s">
        <v>358</v>
      </c>
      <c r="H31" s="404" t="s">
        <v>123</v>
      </c>
      <c r="I31" s="404" t="s">
        <v>124</v>
      </c>
      <c r="J31" s="404" t="s">
        <v>14</v>
      </c>
      <c r="K31" s="404" t="s">
        <v>30</v>
      </c>
      <c r="L31" s="404" t="s">
        <v>13</v>
      </c>
    </row>
    <row r="32" spans="1:12" ht="18" customHeight="1">
      <c r="A32" s="409"/>
      <c r="B32" s="411"/>
      <c r="C32" s="399"/>
      <c r="D32" s="411"/>
      <c r="E32" s="413"/>
      <c r="F32" s="405"/>
      <c r="G32" s="407"/>
      <c r="H32" s="405"/>
      <c r="I32" s="405"/>
      <c r="J32" s="405"/>
      <c r="K32" s="405"/>
      <c r="L32" s="405"/>
    </row>
    <row r="33" spans="1:12" ht="18" customHeight="1">
      <c r="A33" s="347"/>
      <c r="B33" s="143" t="s">
        <v>376</v>
      </c>
      <c r="C33" s="345"/>
      <c r="D33" s="348"/>
      <c r="E33" s="249"/>
      <c r="F33" s="346"/>
      <c r="G33" s="349"/>
      <c r="H33" s="346"/>
      <c r="I33" s="346"/>
      <c r="J33" s="346"/>
      <c r="K33" s="250"/>
      <c r="L33" s="346"/>
    </row>
    <row r="34" spans="1:12" ht="18" customHeight="1">
      <c r="A34" s="347">
        <v>1</v>
      </c>
      <c r="B34" s="157" t="s">
        <v>377</v>
      </c>
      <c r="C34" s="345"/>
      <c r="D34" s="348" t="s">
        <v>15</v>
      </c>
      <c r="E34" s="249">
        <v>8</v>
      </c>
      <c r="F34" s="346">
        <f>E34</f>
        <v>8</v>
      </c>
      <c r="G34" s="349"/>
      <c r="H34" s="346"/>
      <c r="I34" s="346"/>
      <c r="J34" s="346"/>
      <c r="K34" s="250">
        <f>F34</f>
        <v>8</v>
      </c>
      <c r="L34" s="346"/>
    </row>
    <row r="35" spans="1:12" s="200" customFormat="1" ht="17.45" customHeight="1">
      <c r="A35" s="347">
        <v>2</v>
      </c>
      <c r="B35" s="157" t="s">
        <v>378</v>
      </c>
      <c r="C35" s="11"/>
      <c r="D35" s="348" t="s">
        <v>15</v>
      </c>
      <c r="E35" s="202">
        <v>8</v>
      </c>
      <c r="F35" s="346">
        <f>E35</f>
        <v>8</v>
      </c>
      <c r="G35" s="203"/>
      <c r="H35" s="33"/>
      <c r="I35" s="204"/>
      <c r="J35" s="152"/>
      <c r="K35" s="250">
        <f>F35</f>
        <v>8</v>
      </c>
      <c r="L35" s="206"/>
    </row>
    <row r="36" spans="1:12" s="200" customFormat="1" ht="17.45" customHeight="1">
      <c r="A36" s="201">
        <v>3</v>
      </c>
      <c r="B36" s="157" t="s">
        <v>394</v>
      </c>
      <c r="C36" s="11"/>
      <c r="D36" s="11" t="s">
        <v>379</v>
      </c>
      <c r="E36" s="202">
        <v>1</v>
      </c>
      <c r="F36" s="11">
        <v>1</v>
      </c>
      <c r="G36" s="203"/>
      <c r="H36" s="33"/>
      <c r="I36" s="204"/>
      <c r="J36" s="152"/>
      <c r="K36" s="250">
        <v>1</v>
      </c>
      <c r="L36" s="206"/>
    </row>
    <row r="37" spans="1:12" s="200" customFormat="1" ht="17.45" customHeight="1">
      <c r="A37" s="201">
        <v>4</v>
      </c>
      <c r="B37" s="33" t="s">
        <v>190</v>
      </c>
      <c r="C37" s="11" t="s">
        <v>359</v>
      </c>
      <c r="D37" s="11" t="s">
        <v>115</v>
      </c>
      <c r="E37" s="202" t="s">
        <v>388</v>
      </c>
      <c r="F37" s="11">
        <f>(19.2+2.4+3)*2</f>
        <v>49.199999999999996</v>
      </c>
      <c r="G37" s="203"/>
      <c r="H37" s="33"/>
      <c r="I37" s="204"/>
      <c r="J37" s="152"/>
      <c r="K37" s="251">
        <f>F37*(1+J37)</f>
        <v>49.199999999999996</v>
      </c>
      <c r="L37" s="206"/>
    </row>
    <row r="38" spans="1:12" s="200" customFormat="1" ht="17.45" customHeight="1">
      <c r="A38" s="201"/>
      <c r="B38" s="33"/>
      <c r="C38" s="11"/>
      <c r="D38" s="11"/>
      <c r="E38" s="202" t="s">
        <v>360</v>
      </c>
      <c r="F38" s="11">
        <f>(19.2+2.4+3)*2</f>
        <v>49.199999999999996</v>
      </c>
      <c r="G38" s="203" t="s">
        <v>386</v>
      </c>
      <c r="H38" s="33">
        <f>0.015*130%</f>
        <v>1.95E-2</v>
      </c>
      <c r="I38" s="204">
        <f>H38*F38</f>
        <v>0.95939999999999992</v>
      </c>
      <c r="J38" s="152"/>
      <c r="K38" s="251"/>
      <c r="L38" s="206"/>
    </row>
    <row r="39" spans="1:12" s="200" customFormat="1" ht="17.45" customHeight="1">
      <c r="A39" s="201">
        <v>5</v>
      </c>
      <c r="B39" s="33" t="s">
        <v>382</v>
      </c>
      <c r="C39" s="11" t="s">
        <v>381</v>
      </c>
      <c r="D39" s="11" t="s">
        <v>383</v>
      </c>
      <c r="E39" s="202" t="s">
        <v>384</v>
      </c>
      <c r="F39" s="11">
        <f>(19.2+2.4+3)*2</f>
        <v>49.199999999999996</v>
      </c>
      <c r="G39" s="203"/>
      <c r="H39" s="33"/>
      <c r="I39" s="204"/>
      <c r="J39" s="152"/>
      <c r="K39" s="251">
        <f>F39*(1+J39)</f>
        <v>49.199999999999996</v>
      </c>
      <c r="L39" s="206"/>
    </row>
    <row r="40" spans="1:12" s="200" customFormat="1" ht="17.45" customHeight="1">
      <c r="A40" s="201"/>
      <c r="B40" s="33"/>
      <c r="C40" s="11"/>
      <c r="D40" s="11"/>
      <c r="E40" s="202" t="s">
        <v>360</v>
      </c>
      <c r="F40" s="11">
        <f>(19.2+2.4+3)*2</f>
        <v>49.199999999999996</v>
      </c>
      <c r="G40" s="203" t="s">
        <v>387</v>
      </c>
      <c r="H40" s="33">
        <f>0.015*130%</f>
        <v>1.95E-2</v>
      </c>
      <c r="I40" s="204">
        <f>H40*F40</f>
        <v>0.95939999999999992</v>
      </c>
      <c r="J40" s="152"/>
      <c r="K40" s="251"/>
      <c r="L40" s="206"/>
    </row>
    <row r="41" spans="1:12" s="200" customFormat="1" ht="17.45" customHeight="1">
      <c r="A41" s="201">
        <v>6</v>
      </c>
      <c r="B41" s="33" t="s">
        <v>110</v>
      </c>
      <c r="C41" s="203" t="s">
        <v>386</v>
      </c>
      <c r="D41" s="11" t="s">
        <v>125</v>
      </c>
      <c r="E41" s="202"/>
      <c r="F41" s="11">
        <f>I38</f>
        <v>0.95939999999999992</v>
      </c>
      <c r="G41" s="203"/>
      <c r="H41" s="33"/>
      <c r="I41" s="204"/>
      <c r="J41" s="152"/>
      <c r="K41" s="251">
        <f>F41</f>
        <v>0.95939999999999992</v>
      </c>
      <c r="L41" s="206"/>
    </row>
    <row r="42" spans="1:12" s="200" customFormat="1" ht="17.45" customHeight="1">
      <c r="A42" s="201">
        <v>7</v>
      </c>
      <c r="B42" s="33" t="s">
        <v>110</v>
      </c>
      <c r="C42" s="203" t="s">
        <v>387</v>
      </c>
      <c r="D42" s="11" t="s">
        <v>125</v>
      </c>
      <c r="E42" s="202"/>
      <c r="F42" s="11">
        <f>I40</f>
        <v>0.95939999999999992</v>
      </c>
      <c r="G42" s="203"/>
      <c r="H42" s="33"/>
      <c r="I42" s="204"/>
      <c r="J42" s="152"/>
      <c r="K42" s="251">
        <f>F42</f>
        <v>0.95939999999999992</v>
      </c>
      <c r="L42" s="206"/>
    </row>
    <row r="43" spans="1:12" s="200" customFormat="1" ht="17.45" customHeight="1">
      <c r="A43" s="201">
        <v>8</v>
      </c>
      <c r="B43" s="252" t="s">
        <v>396</v>
      </c>
      <c r="C43" s="253"/>
      <c r="D43" s="11" t="s">
        <v>379</v>
      </c>
      <c r="E43" s="202">
        <v>1</v>
      </c>
      <c r="F43" s="11">
        <v>1</v>
      </c>
      <c r="G43" s="203"/>
      <c r="H43" s="33"/>
      <c r="I43" s="204"/>
      <c r="J43" s="152"/>
      <c r="K43" s="250">
        <v>1</v>
      </c>
      <c r="L43" s="261"/>
    </row>
    <row r="44" spans="1:12" s="200" customFormat="1" ht="17.45" customHeight="1">
      <c r="A44" s="201"/>
      <c r="B44" s="223"/>
      <c r="C44" s="350"/>
      <c r="D44" s="254"/>
      <c r="E44" s="255"/>
      <c r="F44" s="256"/>
      <c r="G44" s="257"/>
      <c r="H44" s="258"/>
      <c r="I44" s="258"/>
      <c r="J44" s="259"/>
      <c r="K44" s="260"/>
      <c r="L44" s="261"/>
    </row>
    <row r="45" spans="1:12" s="200" customFormat="1" ht="17.45" customHeight="1">
      <c r="A45" s="201"/>
      <c r="B45" s="223"/>
      <c r="C45" s="350"/>
      <c r="D45" s="254"/>
      <c r="E45" s="255"/>
      <c r="F45" s="256"/>
      <c r="G45" s="257"/>
      <c r="H45" s="258"/>
      <c r="I45" s="258"/>
      <c r="J45" s="259"/>
      <c r="K45" s="260"/>
      <c r="L45" s="261"/>
    </row>
    <row r="46" spans="1:12" s="200" customFormat="1" ht="17.45" customHeight="1">
      <c r="A46" s="201"/>
      <c r="B46" s="33"/>
      <c r="C46" s="11"/>
      <c r="D46" s="11"/>
      <c r="E46" s="202"/>
      <c r="F46" s="11"/>
      <c r="G46" s="203"/>
      <c r="H46" s="33"/>
      <c r="I46" s="204"/>
      <c r="J46" s="152"/>
      <c r="K46" s="251"/>
      <c r="L46" s="206"/>
    </row>
    <row r="47" spans="1:12" s="200" customFormat="1" ht="17.45" customHeight="1">
      <c r="A47" s="201"/>
      <c r="B47" s="33"/>
      <c r="C47" s="11"/>
      <c r="D47" s="11"/>
      <c r="E47" s="202"/>
      <c r="F47" s="11"/>
      <c r="G47" s="203"/>
      <c r="H47" s="33"/>
      <c r="I47" s="204"/>
      <c r="J47" s="152"/>
      <c r="K47" s="251"/>
      <c r="L47" s="206"/>
    </row>
    <row r="48" spans="1:12" s="200" customFormat="1" ht="17.45" customHeight="1">
      <c r="A48" s="201"/>
      <c r="B48" s="33"/>
      <c r="C48" s="11"/>
      <c r="D48" s="11"/>
      <c r="E48" s="202"/>
      <c r="F48" s="11"/>
      <c r="G48" s="203"/>
      <c r="H48" s="33"/>
      <c r="I48" s="204"/>
      <c r="J48" s="152"/>
      <c r="K48" s="205"/>
      <c r="L48" s="206"/>
    </row>
    <row r="49" spans="1:12" s="200" customFormat="1" ht="17.45" customHeight="1">
      <c r="A49" s="201"/>
      <c r="B49" s="33"/>
      <c r="C49" s="11"/>
      <c r="D49" s="11"/>
      <c r="E49" s="202"/>
      <c r="F49" s="11"/>
      <c r="G49" s="203"/>
      <c r="H49" s="33"/>
      <c r="I49" s="204"/>
      <c r="J49" s="152"/>
      <c r="K49" s="205"/>
      <c r="L49" s="206"/>
    </row>
    <row r="50" spans="1:12" s="200" customFormat="1" ht="17.45" customHeight="1">
      <c r="A50" s="201"/>
      <c r="B50" s="33"/>
      <c r="C50" s="11"/>
      <c r="D50" s="11"/>
      <c r="E50" s="202"/>
      <c r="F50" s="11"/>
      <c r="G50" s="203"/>
      <c r="H50" s="33"/>
      <c r="I50" s="204"/>
      <c r="J50" s="152"/>
      <c r="K50" s="205"/>
      <c r="L50" s="206"/>
    </row>
    <row r="51" spans="1:12" s="200" customFormat="1" ht="17.45" customHeight="1">
      <c r="A51" s="201"/>
      <c r="B51" s="33"/>
      <c r="C51" s="11"/>
      <c r="D51" s="11"/>
      <c r="E51" s="202"/>
      <c r="F51" s="11"/>
      <c r="G51" s="203"/>
      <c r="H51" s="33"/>
      <c r="I51" s="204"/>
      <c r="J51" s="152"/>
      <c r="K51" s="205"/>
      <c r="L51" s="206"/>
    </row>
    <row r="52" spans="1:12" s="200" customFormat="1" ht="17.45" customHeight="1">
      <c r="A52" s="201"/>
      <c r="B52" s="33"/>
      <c r="C52" s="11"/>
      <c r="D52" s="11"/>
      <c r="E52" s="202"/>
      <c r="F52" s="11"/>
      <c r="G52" s="203"/>
      <c r="H52" s="33"/>
      <c r="I52" s="204"/>
      <c r="J52" s="152"/>
      <c r="K52" s="205"/>
      <c r="L52" s="206"/>
    </row>
    <row r="53" spans="1:12" s="200" customFormat="1" ht="17.45" customHeight="1">
      <c r="A53" s="201"/>
      <c r="B53" s="33"/>
      <c r="C53" s="11"/>
      <c r="D53" s="11"/>
      <c r="E53" s="202"/>
      <c r="F53" s="11"/>
      <c r="G53" s="203"/>
      <c r="H53" s="33"/>
      <c r="I53" s="204"/>
      <c r="J53" s="152"/>
      <c r="K53" s="205"/>
      <c r="L53" s="206"/>
    </row>
    <row r="54" spans="1:12" s="200" customFormat="1" ht="17.45" customHeight="1">
      <c r="A54" s="201"/>
      <c r="B54" s="33"/>
      <c r="C54" s="11"/>
      <c r="D54" s="11"/>
      <c r="E54" s="202"/>
      <c r="F54" s="11"/>
      <c r="G54" s="203"/>
      <c r="H54" s="33"/>
      <c r="I54" s="204"/>
      <c r="J54" s="152"/>
      <c r="K54" s="205"/>
      <c r="L54" s="206"/>
    </row>
    <row r="55" spans="1:12" s="200" customFormat="1" ht="17.45" customHeight="1">
      <c r="A55" s="201"/>
      <c r="B55" s="33"/>
      <c r="C55" s="11"/>
      <c r="D55" s="11"/>
      <c r="E55" s="202"/>
      <c r="F55" s="11"/>
      <c r="G55" s="203"/>
      <c r="H55" s="33"/>
      <c r="I55" s="204"/>
      <c r="J55" s="152"/>
      <c r="K55" s="205"/>
      <c r="L55" s="206"/>
    </row>
    <row r="56" spans="1:12" s="200" customFormat="1" ht="17.45" customHeight="1">
      <c r="A56" s="201"/>
      <c r="B56" s="33"/>
      <c r="C56" s="11"/>
      <c r="D56" s="11"/>
      <c r="E56" s="202"/>
      <c r="F56" s="11"/>
      <c r="G56" s="203"/>
      <c r="H56" s="33"/>
      <c r="I56" s="204"/>
      <c r="J56" s="152"/>
      <c r="K56" s="205"/>
      <c r="L56" s="206"/>
    </row>
    <row r="57" spans="1:12" s="200" customFormat="1" ht="17.45" customHeight="1">
      <c r="A57" s="201"/>
      <c r="B57" s="33"/>
      <c r="C57" s="11"/>
      <c r="D57" s="11"/>
      <c r="E57" s="202"/>
      <c r="F57" s="11"/>
      <c r="G57" s="203"/>
      <c r="H57" s="33"/>
      <c r="I57" s="204"/>
      <c r="J57" s="152"/>
      <c r="K57" s="205"/>
      <c r="L57" s="206"/>
    </row>
    <row r="58" spans="1:12" s="200" customFormat="1" ht="17.45" customHeight="1">
      <c r="A58" s="201"/>
      <c r="B58" s="33"/>
      <c r="C58" s="11"/>
      <c r="D58" s="11"/>
      <c r="E58" s="202"/>
      <c r="F58" s="11"/>
      <c r="G58" s="203"/>
      <c r="H58" s="33"/>
      <c r="I58" s="204"/>
      <c r="J58" s="152"/>
      <c r="K58" s="205"/>
      <c r="L58" s="206"/>
    </row>
  </sheetData>
  <mergeCells count="24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31:A32"/>
    <mergeCell ref="B31:B32"/>
    <mergeCell ref="C31:C32"/>
    <mergeCell ref="D31:D32"/>
    <mergeCell ref="E31:E32"/>
    <mergeCell ref="K31:K32"/>
    <mergeCell ref="L31:L32"/>
    <mergeCell ref="F31:F32"/>
    <mergeCell ref="G31:G32"/>
    <mergeCell ref="H31:H32"/>
    <mergeCell ref="I31:I32"/>
    <mergeCell ref="J31:J32"/>
  </mergeCells>
  <phoneticPr fontId="31" type="noConversion"/>
  <pageMargins left="0.6692913385826772" right="0" top="0.39370078740157483" bottom="0.3937007874015748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zoomScaleNormal="100" zoomScaleSheetLayoutView="100" workbookViewId="0">
      <selection activeCell="H17" sqref="H17"/>
    </sheetView>
  </sheetViews>
  <sheetFormatPr defaultRowHeight="21" customHeight="1"/>
  <cols>
    <col min="1" max="1" width="4.625" style="53" customWidth="1"/>
    <col min="2" max="2" width="17.75" style="53" customWidth="1"/>
    <col min="3" max="3" width="13.375" style="53" customWidth="1"/>
    <col min="4" max="4" width="5.625" style="53" customWidth="1"/>
    <col min="5" max="5" width="42.625" style="120" customWidth="1"/>
    <col min="6" max="8" width="7.625" style="58" customWidth="1"/>
    <col min="9" max="9" width="7.625" style="122" customWidth="1"/>
    <col min="10" max="10" width="7.625" style="58" customWidth="1"/>
    <col min="11" max="11" width="6.625" style="121" customWidth="1"/>
    <col min="12" max="12" width="9" style="123"/>
    <col min="13" max="13" width="14.625" style="123" customWidth="1"/>
    <col min="14" max="16384" width="9" style="123"/>
  </cols>
  <sheetData>
    <row r="1" spans="1:11" s="53" customFormat="1" ht="18" customHeight="1">
      <c r="A1" s="142" t="s">
        <v>339</v>
      </c>
      <c r="B1" s="142"/>
      <c r="C1" s="118"/>
      <c r="D1" s="119"/>
      <c r="E1" s="120"/>
      <c r="F1" s="58"/>
      <c r="G1" s="58"/>
      <c r="H1" s="58"/>
      <c r="I1" s="122"/>
      <c r="J1" s="58"/>
      <c r="K1" s="398" t="s">
        <v>13</v>
      </c>
    </row>
    <row r="2" spans="1:11" s="53" customFormat="1" ht="18" customHeight="1">
      <c r="A2" s="398" t="s">
        <v>22</v>
      </c>
      <c r="B2" s="398" t="s">
        <v>26</v>
      </c>
      <c r="C2" s="398" t="s">
        <v>27</v>
      </c>
      <c r="D2" s="398" t="s">
        <v>11</v>
      </c>
      <c r="E2" s="400" t="s">
        <v>28</v>
      </c>
      <c r="F2" s="402" t="s">
        <v>29</v>
      </c>
      <c r="G2" s="402" t="s">
        <v>14</v>
      </c>
      <c r="H2" s="402" t="s">
        <v>30</v>
      </c>
      <c r="I2" s="229" t="s">
        <v>111</v>
      </c>
      <c r="J2" s="229" t="s">
        <v>95</v>
      </c>
      <c r="K2" s="399"/>
    </row>
    <row r="3" spans="1:11" ht="18" customHeight="1">
      <c r="A3" s="399"/>
      <c r="B3" s="399"/>
      <c r="C3" s="399"/>
      <c r="D3" s="399"/>
      <c r="E3" s="401"/>
      <c r="F3" s="403"/>
      <c r="G3" s="403"/>
      <c r="H3" s="403"/>
      <c r="I3" s="334" t="s">
        <v>94</v>
      </c>
      <c r="J3" s="334" t="s">
        <v>94</v>
      </c>
      <c r="K3" s="68"/>
    </row>
    <row r="4" spans="1:11" ht="18" customHeight="1">
      <c r="A4" s="143"/>
      <c r="B4" s="143" t="s">
        <v>321</v>
      </c>
      <c r="C4" s="145"/>
      <c r="D4" s="80"/>
      <c r="E4" s="146"/>
      <c r="F4" s="70"/>
      <c r="G4" s="70"/>
      <c r="H4" s="147"/>
      <c r="I4" s="149"/>
      <c r="J4" s="147"/>
      <c r="K4" s="68"/>
    </row>
    <row r="5" spans="1:11" ht="18" customHeight="1">
      <c r="A5" s="68">
        <v>1</v>
      </c>
      <c r="B5" s="157" t="s">
        <v>322</v>
      </c>
      <c r="C5" s="145" t="s">
        <v>323</v>
      </c>
      <c r="D5" s="212" t="s">
        <v>326</v>
      </c>
      <c r="E5" s="146" t="s">
        <v>327</v>
      </c>
      <c r="F5" s="70">
        <f>(3.5*1+3.5*1+3.5*1+1*1)*2</f>
        <v>23</v>
      </c>
      <c r="G5" s="70"/>
      <c r="H5" s="147">
        <f>ROUNDDOWN(F5*(1+G5),1)</f>
        <v>23</v>
      </c>
      <c r="I5" s="70"/>
      <c r="J5" s="147"/>
      <c r="K5" s="68"/>
    </row>
    <row r="6" spans="1:11" ht="18" customHeight="1">
      <c r="A6" s="331">
        <v>2</v>
      </c>
      <c r="B6" s="210" t="s">
        <v>324</v>
      </c>
      <c r="C6" s="145" t="s">
        <v>325</v>
      </c>
      <c r="D6" s="212" t="s">
        <v>329</v>
      </c>
      <c r="E6" s="213" t="s">
        <v>328</v>
      </c>
      <c r="F6" s="70">
        <f>(3.5*7+1*4)/3.6</f>
        <v>7.9166666666666661</v>
      </c>
      <c r="G6" s="207"/>
      <c r="H6" s="147">
        <f t="shared" ref="H6:H7" si="0">ROUNDDOWN(F6*(1+G6),1)</f>
        <v>7.9</v>
      </c>
      <c r="I6" s="70"/>
      <c r="J6" s="147"/>
      <c r="K6" s="331"/>
    </row>
    <row r="7" spans="1:11" ht="18" customHeight="1">
      <c r="A7" s="331">
        <v>3</v>
      </c>
      <c r="B7" s="210" t="s">
        <v>110</v>
      </c>
      <c r="C7" s="218" t="s">
        <v>332</v>
      </c>
      <c r="D7" s="212" t="s">
        <v>326</v>
      </c>
      <c r="E7" s="146" t="s">
        <v>327</v>
      </c>
      <c r="F7" s="70">
        <f>(3.5*1+3.5*1+3.5*1+1*1)*2</f>
        <v>23</v>
      </c>
      <c r="G7" s="207"/>
      <c r="H7" s="147">
        <f t="shared" si="0"/>
        <v>23</v>
      </c>
      <c r="I7" s="70"/>
      <c r="J7" s="147"/>
      <c r="K7" s="331"/>
    </row>
    <row r="8" spans="1:11" ht="18" customHeight="1">
      <c r="A8" s="331"/>
      <c r="B8" s="143" t="s">
        <v>137</v>
      </c>
      <c r="C8" s="211"/>
      <c r="D8" s="212"/>
      <c r="E8" s="213"/>
      <c r="F8" s="207"/>
      <c r="G8" s="207"/>
      <c r="H8" s="334"/>
      <c r="I8" s="214"/>
      <c r="J8" s="334"/>
      <c r="K8" s="331"/>
    </row>
    <row r="9" spans="1:11" ht="18" customHeight="1">
      <c r="A9" s="331">
        <v>-1</v>
      </c>
      <c r="B9" s="210" t="s">
        <v>334</v>
      </c>
      <c r="C9" s="211"/>
      <c r="D9" s="212" t="s">
        <v>335</v>
      </c>
      <c r="E9" s="213">
        <v>1</v>
      </c>
      <c r="F9" s="207">
        <v>1</v>
      </c>
      <c r="G9" s="207"/>
      <c r="H9" s="147">
        <v>1</v>
      </c>
      <c r="I9" s="70">
        <v>200</v>
      </c>
      <c r="J9" s="147">
        <f t="shared" ref="J9" si="1">ROUNDDOWN(F9*I9,2)</f>
        <v>200</v>
      </c>
      <c r="K9" s="331"/>
    </row>
    <row r="10" spans="1:11" ht="18" customHeight="1">
      <c r="A10" s="331">
        <v>1</v>
      </c>
      <c r="B10" s="210" t="s">
        <v>141</v>
      </c>
      <c r="C10" s="218" t="s">
        <v>142</v>
      </c>
      <c r="D10" s="212" t="s">
        <v>140</v>
      </c>
      <c r="E10" s="146" t="s">
        <v>333</v>
      </c>
      <c r="F10" s="207"/>
      <c r="G10" s="207"/>
      <c r="H10" s="147">
        <f>J10/1000</f>
        <v>0.2</v>
      </c>
      <c r="I10" s="149"/>
      <c r="J10" s="147">
        <f>TRUNC(SUM(J9),0)</f>
        <v>200</v>
      </c>
      <c r="K10" s="331"/>
    </row>
    <row r="11" spans="1:11" ht="18" customHeight="1">
      <c r="A11" s="331"/>
      <c r="B11" s="143" t="s">
        <v>118</v>
      </c>
      <c r="C11" s="211"/>
      <c r="D11" s="212"/>
      <c r="E11" s="213"/>
      <c r="F11" s="207"/>
      <c r="G11" s="207"/>
      <c r="H11" s="334"/>
      <c r="I11" s="214"/>
      <c r="J11" s="334"/>
      <c r="K11" s="331"/>
    </row>
    <row r="12" spans="1:11" ht="18" customHeight="1">
      <c r="A12" s="70">
        <v>-1</v>
      </c>
      <c r="B12" s="33" t="s">
        <v>352</v>
      </c>
      <c r="C12" s="11"/>
      <c r="D12" s="80" t="s">
        <v>102</v>
      </c>
      <c r="E12" s="151">
        <v>2</v>
      </c>
      <c r="F12" s="11">
        <v>2</v>
      </c>
      <c r="G12" s="11"/>
      <c r="H12" s="147">
        <f t="shared" ref="H12" si="2">ROUNDDOWN(F12*(1+G12),1)</f>
        <v>2</v>
      </c>
      <c r="I12" s="11">
        <v>500</v>
      </c>
      <c r="J12" s="147">
        <f t="shared" ref="J12" si="3">ROUNDDOWN(F12*I12,2)</f>
        <v>1000</v>
      </c>
      <c r="K12" s="331"/>
    </row>
    <row r="13" spans="1:11" s="53" customFormat="1" ht="18" customHeight="1">
      <c r="A13" s="155">
        <v>1</v>
      </c>
      <c r="B13" s="153" t="s">
        <v>117</v>
      </c>
      <c r="C13" s="154" t="s">
        <v>118</v>
      </c>
      <c r="D13" s="155" t="s">
        <v>119</v>
      </c>
      <c r="E13" s="156" t="s">
        <v>147</v>
      </c>
      <c r="F13" s="11"/>
      <c r="G13" s="11"/>
      <c r="H13" s="147">
        <f>ROUNDDOWN(J13/1000,3)</f>
        <v>1</v>
      </c>
      <c r="I13" s="11"/>
      <c r="J13" s="147">
        <f>SUM(J12:J12)</f>
        <v>1000</v>
      </c>
      <c r="K13" s="332"/>
    </row>
    <row r="14" spans="1:11" s="53" customFormat="1" ht="18" customHeight="1">
      <c r="A14" s="143"/>
      <c r="B14" s="143" t="s">
        <v>465</v>
      </c>
      <c r="C14" s="332"/>
      <c r="D14" s="332"/>
      <c r="E14" s="333"/>
      <c r="F14" s="334"/>
      <c r="G14" s="334"/>
      <c r="H14" s="334"/>
      <c r="I14" s="150"/>
      <c r="J14" s="334"/>
      <c r="K14" s="332"/>
    </row>
    <row r="15" spans="1:11" s="53" customFormat="1" ht="18" customHeight="1">
      <c r="A15" s="358">
        <v>1</v>
      </c>
      <c r="B15" s="210" t="s">
        <v>464</v>
      </c>
      <c r="C15" s="332"/>
      <c r="D15" s="332" t="s">
        <v>463</v>
      </c>
      <c r="E15" s="213">
        <v>1</v>
      </c>
      <c r="F15" s="334">
        <v>1</v>
      </c>
      <c r="G15" s="334"/>
      <c r="H15" s="334">
        <v>1</v>
      </c>
      <c r="I15" s="150"/>
      <c r="J15" s="334"/>
      <c r="K15" s="332"/>
    </row>
    <row r="16" spans="1:11" s="53" customFormat="1" ht="18" customHeight="1">
      <c r="A16" s="143"/>
      <c r="B16" s="143" t="s">
        <v>481</v>
      </c>
      <c r="C16" s="366"/>
      <c r="D16" s="366"/>
      <c r="E16" s="367"/>
      <c r="F16" s="368"/>
      <c r="G16" s="368"/>
      <c r="H16" s="368"/>
      <c r="I16" s="150"/>
      <c r="J16" s="368"/>
      <c r="K16" s="332"/>
    </row>
    <row r="17" spans="1:11" s="53" customFormat="1" ht="18" customHeight="1">
      <c r="A17" s="365">
        <v>1</v>
      </c>
      <c r="B17" s="210" t="s">
        <v>482</v>
      </c>
      <c r="C17" s="366"/>
      <c r="D17" s="80" t="s">
        <v>102</v>
      </c>
      <c r="E17" s="213">
        <v>2</v>
      </c>
      <c r="F17" s="368">
        <v>2</v>
      </c>
      <c r="G17" s="368"/>
      <c r="H17" s="147">
        <f t="shared" ref="H17" si="4">ROUNDDOWN(F17*(1+G17),1)</f>
        <v>2</v>
      </c>
      <c r="I17" s="150"/>
      <c r="J17" s="368"/>
      <c r="K17" s="332"/>
    </row>
    <row r="18" spans="1:11" s="53" customFormat="1" ht="18" customHeight="1">
      <c r="A18" s="70"/>
      <c r="B18" s="33"/>
      <c r="C18" s="11"/>
      <c r="D18" s="11"/>
      <c r="E18" s="151"/>
      <c r="F18" s="11"/>
      <c r="G18" s="11"/>
      <c r="H18" s="147"/>
      <c r="I18" s="11"/>
      <c r="J18" s="147"/>
      <c r="K18" s="332"/>
    </row>
    <row r="19" spans="1:11" s="53" customFormat="1" ht="18" customHeight="1">
      <c r="A19" s="70"/>
      <c r="B19" s="33"/>
      <c r="C19" s="11"/>
      <c r="D19" s="11"/>
      <c r="E19" s="151"/>
      <c r="F19" s="11"/>
      <c r="G19" s="11"/>
      <c r="H19" s="147"/>
      <c r="I19" s="11"/>
      <c r="J19" s="147"/>
      <c r="K19" s="332"/>
    </row>
    <row r="20" spans="1:11" s="53" customFormat="1" ht="18" customHeight="1">
      <c r="A20" s="70"/>
      <c r="B20" s="33"/>
      <c r="C20" s="11"/>
      <c r="D20" s="11"/>
      <c r="E20" s="151"/>
      <c r="F20" s="11"/>
      <c r="G20" s="11"/>
      <c r="H20" s="147"/>
      <c r="I20" s="11"/>
      <c r="J20" s="147"/>
      <c r="K20" s="332"/>
    </row>
    <row r="21" spans="1:11" s="53" customFormat="1" ht="18" customHeight="1">
      <c r="A21" s="70"/>
      <c r="B21" s="153"/>
      <c r="C21" s="154"/>
      <c r="D21" s="155"/>
      <c r="E21" s="144"/>
      <c r="F21" s="11"/>
      <c r="G21" s="70"/>
      <c r="H21" s="147"/>
      <c r="I21" s="70"/>
      <c r="J21" s="147"/>
      <c r="K21" s="332"/>
    </row>
    <row r="22" spans="1:11" s="53" customFormat="1" ht="18" customHeight="1">
      <c r="A22" s="70"/>
      <c r="B22" s="153"/>
      <c r="C22" s="11"/>
      <c r="D22" s="80"/>
      <c r="E22" s="144"/>
      <c r="F22" s="70"/>
      <c r="G22" s="70"/>
      <c r="H22" s="147"/>
      <c r="I22" s="70"/>
      <c r="J22" s="147"/>
      <c r="K22" s="332"/>
    </row>
    <row r="23" spans="1:11" s="53" customFormat="1" ht="18" customHeight="1">
      <c r="A23" s="70"/>
      <c r="B23" s="153"/>
      <c r="C23" s="11"/>
      <c r="D23" s="80"/>
      <c r="E23" s="144"/>
      <c r="F23" s="70"/>
      <c r="G23" s="70"/>
      <c r="H23" s="147"/>
      <c r="I23" s="70"/>
      <c r="J23" s="147"/>
      <c r="K23" s="332"/>
    </row>
    <row r="24" spans="1:11" ht="18" customHeight="1">
      <c r="A24" s="70"/>
      <c r="B24" s="153"/>
      <c r="C24" s="11"/>
      <c r="D24" s="80"/>
      <c r="E24" s="144"/>
      <c r="F24" s="70"/>
      <c r="G24" s="70"/>
      <c r="H24" s="147"/>
      <c r="I24" s="70"/>
      <c r="J24" s="147"/>
      <c r="K24" s="68"/>
    </row>
    <row r="25" spans="1:11" ht="18" customHeight="1">
      <c r="A25" s="155"/>
      <c r="B25" s="153"/>
      <c r="C25" s="154"/>
      <c r="D25" s="155"/>
      <c r="E25" s="156"/>
      <c r="F25" s="11"/>
      <c r="G25" s="11"/>
      <c r="H25" s="147"/>
      <c r="I25" s="11"/>
      <c r="J25" s="147"/>
      <c r="K25" s="68"/>
    </row>
    <row r="26" spans="1:11" ht="18" customHeight="1">
      <c r="A26" s="155"/>
      <c r="B26" s="153"/>
      <c r="C26" s="154"/>
      <c r="D26" s="155"/>
      <c r="E26" s="156"/>
      <c r="F26" s="11"/>
      <c r="G26" s="11"/>
      <c r="H26" s="147"/>
      <c r="I26" s="11"/>
      <c r="J26" s="147"/>
      <c r="K26" s="68"/>
    </row>
    <row r="27" spans="1:11" ht="18" customHeight="1">
      <c r="A27" s="155"/>
      <c r="B27" s="153"/>
      <c r="C27" s="154"/>
      <c r="D27" s="155"/>
      <c r="E27" s="156"/>
      <c r="F27" s="11"/>
      <c r="G27" s="11"/>
      <c r="H27" s="147"/>
      <c r="I27" s="11"/>
      <c r="J27" s="147"/>
      <c r="K27" s="68"/>
    </row>
    <row r="28" spans="1:11" ht="18" customHeight="1">
      <c r="A28" s="155"/>
      <c r="B28" s="153"/>
      <c r="C28" s="154"/>
      <c r="D28" s="155"/>
      <c r="E28" s="156"/>
      <c r="F28" s="11"/>
      <c r="G28" s="11"/>
      <c r="H28" s="147"/>
      <c r="I28" s="11"/>
      <c r="J28" s="147"/>
      <c r="K28" s="68"/>
    </row>
    <row r="29" spans="1:11" ht="18" customHeight="1">
      <c r="A29" s="155"/>
      <c r="B29" s="153"/>
      <c r="C29" s="154"/>
      <c r="D29" s="155"/>
      <c r="E29" s="156"/>
      <c r="F29" s="11"/>
      <c r="G29" s="11"/>
      <c r="H29" s="147"/>
      <c r="I29" s="11"/>
      <c r="J29" s="147"/>
    </row>
    <row r="30" spans="1:11" s="53" customFormat="1" ht="18" customHeight="1">
      <c r="A30" s="142" t="s">
        <v>340</v>
      </c>
      <c r="B30" s="142"/>
      <c r="C30" s="118"/>
      <c r="D30" s="119"/>
      <c r="E30" s="120"/>
      <c r="F30" s="58"/>
      <c r="G30" s="58"/>
      <c r="H30" s="58"/>
      <c r="I30" s="122"/>
      <c r="J30" s="58"/>
      <c r="K30" s="398" t="s">
        <v>13</v>
      </c>
    </row>
    <row r="31" spans="1:11" s="53" customFormat="1" ht="18" customHeight="1">
      <c r="A31" s="398" t="s">
        <v>22</v>
      </c>
      <c r="B31" s="398" t="s">
        <v>26</v>
      </c>
      <c r="C31" s="398" t="s">
        <v>27</v>
      </c>
      <c r="D31" s="398" t="s">
        <v>11</v>
      </c>
      <c r="E31" s="400" t="s">
        <v>28</v>
      </c>
      <c r="F31" s="402" t="s">
        <v>29</v>
      </c>
      <c r="G31" s="402" t="s">
        <v>14</v>
      </c>
      <c r="H31" s="402" t="s">
        <v>30</v>
      </c>
      <c r="I31" s="229" t="s">
        <v>111</v>
      </c>
      <c r="J31" s="229" t="s">
        <v>95</v>
      </c>
      <c r="K31" s="399"/>
    </row>
    <row r="32" spans="1:11" ht="18" customHeight="1">
      <c r="A32" s="399"/>
      <c r="B32" s="399"/>
      <c r="C32" s="399"/>
      <c r="D32" s="399"/>
      <c r="E32" s="401"/>
      <c r="F32" s="403"/>
      <c r="G32" s="403"/>
      <c r="H32" s="403"/>
      <c r="I32" s="334" t="s">
        <v>94</v>
      </c>
      <c r="J32" s="334" t="s">
        <v>94</v>
      </c>
      <c r="K32" s="68"/>
    </row>
    <row r="33" spans="1:11" ht="18" customHeight="1">
      <c r="A33" s="143"/>
      <c r="B33" s="143" t="s">
        <v>350</v>
      </c>
      <c r="C33" s="145"/>
      <c r="D33" s="80"/>
      <c r="E33" s="146"/>
      <c r="F33" s="70"/>
      <c r="G33" s="70"/>
      <c r="H33" s="147"/>
      <c r="I33" s="149"/>
      <c r="J33" s="147"/>
      <c r="K33" s="68"/>
    </row>
    <row r="34" spans="1:11" ht="18" customHeight="1">
      <c r="A34" s="68">
        <v>1</v>
      </c>
      <c r="B34" s="157" t="s">
        <v>341</v>
      </c>
      <c r="C34" s="145" t="s">
        <v>342</v>
      </c>
      <c r="D34" s="212" t="s">
        <v>343</v>
      </c>
      <c r="E34" s="146">
        <v>1</v>
      </c>
      <c r="F34" s="70">
        <v>1</v>
      </c>
      <c r="G34" s="70"/>
      <c r="H34" s="147">
        <f>ROUNDDOWN(F34*(1+G34),1)</f>
        <v>1</v>
      </c>
      <c r="I34" s="70"/>
      <c r="J34" s="147"/>
      <c r="K34" s="68"/>
    </row>
    <row r="35" spans="1:11" ht="18" customHeight="1">
      <c r="A35" s="331">
        <v>2</v>
      </c>
      <c r="B35" s="210" t="s">
        <v>110</v>
      </c>
      <c r="C35" s="218" t="s">
        <v>349</v>
      </c>
      <c r="D35" s="212" t="s">
        <v>343</v>
      </c>
      <c r="E35" s="146">
        <v>1</v>
      </c>
      <c r="F35" s="70">
        <v>1</v>
      </c>
      <c r="G35" s="207"/>
      <c r="H35" s="147">
        <f t="shared" ref="H35" si="5">ROUNDDOWN(F35*(1+G35),1)</f>
        <v>1</v>
      </c>
      <c r="I35" s="70"/>
      <c r="J35" s="147"/>
      <c r="K35" s="331"/>
    </row>
    <row r="36" spans="1:11" ht="18" customHeight="1">
      <c r="A36" s="331">
        <v>3</v>
      </c>
      <c r="B36" s="210" t="s">
        <v>402</v>
      </c>
      <c r="C36" s="211"/>
      <c r="D36" s="212" t="s">
        <v>404</v>
      </c>
      <c r="E36" s="146">
        <v>1</v>
      </c>
      <c r="F36" s="70">
        <v>1</v>
      </c>
      <c r="G36" s="207"/>
      <c r="H36" s="147">
        <f t="shared" ref="H36" si="6">ROUNDDOWN(F36*(1+G36),1)</f>
        <v>1</v>
      </c>
      <c r="I36" s="214"/>
      <c r="J36" s="334"/>
      <c r="K36" s="331"/>
    </row>
    <row r="37" spans="1:11" ht="18" customHeight="1">
      <c r="A37" s="331">
        <v>4</v>
      </c>
      <c r="B37" s="210" t="s">
        <v>403</v>
      </c>
      <c r="C37" s="211"/>
      <c r="D37" s="212" t="s">
        <v>404</v>
      </c>
      <c r="E37" s="146">
        <v>1</v>
      </c>
      <c r="F37" s="70">
        <v>1</v>
      </c>
      <c r="G37" s="207"/>
      <c r="H37" s="147">
        <f t="shared" ref="H37" si="7">ROUNDDOWN(F37*(1+G37),1)</f>
        <v>1</v>
      </c>
      <c r="I37" s="70"/>
      <c r="J37" s="147"/>
      <c r="K37" s="331"/>
    </row>
    <row r="38" spans="1:11" ht="18" customHeight="1">
      <c r="A38" s="331"/>
      <c r="B38" s="210"/>
      <c r="C38" s="218"/>
      <c r="D38" s="212"/>
      <c r="E38" s="146"/>
      <c r="F38" s="207"/>
      <c r="G38" s="207"/>
      <c r="H38" s="147"/>
      <c r="I38" s="149"/>
      <c r="J38" s="147"/>
      <c r="K38" s="331"/>
    </row>
    <row r="39" spans="1:11" ht="18" customHeight="1">
      <c r="A39" s="331"/>
      <c r="B39" s="143"/>
      <c r="C39" s="211"/>
      <c r="D39" s="212"/>
      <c r="E39" s="213"/>
      <c r="F39" s="207"/>
      <c r="G39" s="207"/>
      <c r="H39" s="334"/>
      <c r="I39" s="214"/>
      <c r="J39" s="334"/>
      <c r="K39" s="331"/>
    </row>
    <row r="40" spans="1:11" ht="18" customHeight="1">
      <c r="A40" s="70"/>
      <c r="B40" s="33"/>
      <c r="C40" s="11"/>
      <c r="D40" s="80"/>
      <c r="E40" s="151"/>
      <c r="F40" s="11"/>
      <c r="G40" s="11"/>
      <c r="H40" s="147"/>
      <c r="I40" s="11"/>
      <c r="J40" s="147"/>
      <c r="K40" s="331"/>
    </row>
    <row r="41" spans="1:11" s="53" customFormat="1" ht="18" customHeight="1">
      <c r="A41" s="155"/>
      <c r="B41" s="153"/>
      <c r="C41" s="154"/>
      <c r="D41" s="155"/>
      <c r="E41" s="156"/>
      <c r="F41" s="11"/>
      <c r="G41" s="11"/>
      <c r="H41" s="147"/>
      <c r="I41" s="11"/>
      <c r="J41" s="147"/>
      <c r="K41" s="332"/>
    </row>
    <row r="42" spans="1:11" s="53" customFormat="1" ht="18" customHeight="1">
      <c r="A42" s="143"/>
      <c r="B42" s="143"/>
      <c r="C42" s="332"/>
      <c r="D42" s="332"/>
      <c r="E42" s="333"/>
      <c r="F42" s="334"/>
      <c r="G42" s="334"/>
      <c r="H42" s="334"/>
      <c r="I42" s="150"/>
      <c r="J42" s="334"/>
      <c r="K42" s="332"/>
    </row>
    <row r="43" spans="1:11" s="53" customFormat="1" ht="18" customHeight="1">
      <c r="A43" s="143"/>
      <c r="B43" s="143"/>
      <c r="C43" s="332"/>
      <c r="D43" s="332"/>
      <c r="E43" s="333"/>
      <c r="F43" s="334"/>
      <c r="G43" s="334"/>
      <c r="H43" s="334"/>
      <c r="I43" s="150"/>
      <c r="J43" s="334"/>
      <c r="K43" s="332"/>
    </row>
    <row r="44" spans="1:11" s="53" customFormat="1" ht="18" customHeight="1">
      <c r="A44" s="143"/>
      <c r="B44" s="143"/>
      <c r="C44" s="332"/>
      <c r="D44" s="332"/>
      <c r="E44" s="333"/>
      <c r="F44" s="334"/>
      <c r="G44" s="334"/>
      <c r="H44" s="334"/>
      <c r="I44" s="150"/>
      <c r="J44" s="334"/>
      <c r="K44" s="332"/>
    </row>
    <row r="45" spans="1:11" s="53" customFormat="1" ht="18" customHeight="1">
      <c r="A45" s="143"/>
      <c r="B45" s="143"/>
      <c r="C45" s="332"/>
      <c r="D45" s="332"/>
      <c r="E45" s="333"/>
      <c r="F45" s="334"/>
      <c r="G45" s="334"/>
      <c r="H45" s="334"/>
      <c r="I45" s="150"/>
      <c r="J45" s="334"/>
      <c r="K45" s="332"/>
    </row>
    <row r="46" spans="1:11" s="53" customFormat="1" ht="18" customHeight="1">
      <c r="A46" s="143"/>
      <c r="B46" s="143"/>
      <c r="C46" s="332"/>
      <c r="D46" s="332"/>
      <c r="E46" s="333"/>
      <c r="F46" s="334"/>
      <c r="G46" s="334"/>
      <c r="H46" s="334"/>
      <c r="I46" s="150"/>
      <c r="J46" s="334"/>
      <c r="K46" s="332"/>
    </row>
    <row r="47" spans="1:11" s="53" customFormat="1" ht="18" customHeight="1">
      <c r="A47" s="143"/>
      <c r="B47" s="143"/>
      <c r="C47" s="332"/>
      <c r="D47" s="332"/>
      <c r="E47" s="333"/>
      <c r="F47" s="334"/>
      <c r="G47" s="334"/>
      <c r="H47" s="334"/>
      <c r="I47" s="150"/>
      <c r="J47" s="334"/>
      <c r="K47" s="332"/>
    </row>
    <row r="48" spans="1:11" s="53" customFormat="1" ht="18" customHeight="1">
      <c r="A48" s="70"/>
      <c r="B48" s="33"/>
      <c r="C48" s="11"/>
      <c r="D48" s="11"/>
      <c r="E48" s="151"/>
      <c r="F48" s="11"/>
      <c r="G48" s="11"/>
      <c r="H48" s="147"/>
      <c r="I48" s="11"/>
      <c r="J48" s="147"/>
      <c r="K48" s="332"/>
    </row>
    <row r="49" spans="1:11" s="53" customFormat="1" ht="18" customHeight="1">
      <c r="A49" s="70"/>
      <c r="B49" s="33"/>
      <c r="C49" s="11"/>
      <c r="D49" s="11"/>
      <c r="E49" s="151"/>
      <c r="F49" s="11"/>
      <c r="G49" s="11"/>
      <c r="H49" s="147"/>
      <c r="I49" s="11"/>
      <c r="J49" s="147"/>
      <c r="K49" s="332"/>
    </row>
    <row r="50" spans="1:11" s="53" customFormat="1" ht="18" customHeight="1">
      <c r="A50" s="70"/>
      <c r="B50" s="153"/>
      <c r="C50" s="154"/>
      <c r="D50" s="155"/>
      <c r="E50" s="144"/>
      <c r="F50" s="11"/>
      <c r="G50" s="70"/>
      <c r="H50" s="147"/>
      <c r="I50" s="70"/>
      <c r="J50" s="147"/>
      <c r="K50" s="332"/>
    </row>
    <row r="51" spans="1:11" s="53" customFormat="1" ht="18" customHeight="1">
      <c r="A51" s="70"/>
      <c r="B51" s="153"/>
      <c r="C51" s="11"/>
      <c r="D51" s="80"/>
      <c r="E51" s="144"/>
      <c r="F51" s="70"/>
      <c r="G51" s="70"/>
      <c r="H51" s="147"/>
      <c r="I51" s="70"/>
      <c r="J51" s="147"/>
      <c r="K51" s="332"/>
    </row>
    <row r="52" spans="1:11" s="53" customFormat="1" ht="18" customHeight="1">
      <c r="A52" s="70"/>
      <c r="B52" s="153"/>
      <c r="C52" s="11"/>
      <c r="D52" s="80"/>
      <c r="E52" s="144"/>
      <c r="F52" s="70"/>
      <c r="G52" s="70"/>
      <c r="H52" s="147"/>
      <c r="I52" s="70"/>
      <c r="J52" s="147"/>
      <c r="K52" s="332"/>
    </row>
    <row r="53" spans="1:11" ht="18" customHeight="1">
      <c r="A53" s="70"/>
      <c r="B53" s="153"/>
      <c r="C53" s="11"/>
      <c r="D53" s="80"/>
      <c r="E53" s="144"/>
      <c r="F53" s="70"/>
      <c r="G53" s="70"/>
      <c r="H53" s="147"/>
      <c r="I53" s="70"/>
      <c r="J53" s="147"/>
      <c r="K53" s="68"/>
    </row>
    <row r="54" spans="1:11" ht="18" customHeight="1">
      <c r="A54" s="155"/>
      <c r="B54" s="153"/>
      <c r="C54" s="154"/>
      <c r="D54" s="155"/>
      <c r="E54" s="156"/>
      <c r="F54" s="11"/>
      <c r="G54" s="11"/>
      <c r="H54" s="147"/>
      <c r="I54" s="11"/>
      <c r="J54" s="147"/>
      <c r="K54" s="68"/>
    </row>
    <row r="55" spans="1:11" ht="18" customHeight="1">
      <c r="A55" s="155"/>
      <c r="B55" s="153"/>
      <c r="C55" s="154"/>
      <c r="D55" s="155"/>
      <c r="E55" s="156"/>
      <c r="F55" s="11"/>
      <c r="G55" s="11"/>
      <c r="H55" s="147"/>
      <c r="I55" s="11"/>
      <c r="J55" s="147"/>
      <c r="K55" s="68"/>
    </row>
    <row r="56" spans="1:11" ht="18" customHeight="1">
      <c r="A56" s="155"/>
      <c r="B56" s="153"/>
      <c r="C56" s="154"/>
      <c r="D56" s="155"/>
      <c r="E56" s="156"/>
      <c r="F56" s="11"/>
      <c r="G56" s="11"/>
      <c r="H56" s="147"/>
      <c r="I56" s="11"/>
      <c r="J56" s="147"/>
      <c r="K56" s="68"/>
    </row>
    <row r="57" spans="1:11" ht="18" customHeight="1">
      <c r="A57" s="155"/>
      <c r="B57" s="153"/>
      <c r="C57" s="154"/>
      <c r="D57" s="155"/>
      <c r="E57" s="156"/>
      <c r="F57" s="11"/>
      <c r="G57" s="11"/>
      <c r="H57" s="147"/>
      <c r="I57" s="11"/>
      <c r="J57" s="147"/>
      <c r="K57" s="68"/>
    </row>
    <row r="58" spans="1:11" ht="18" customHeight="1">
      <c r="A58" s="155"/>
      <c r="B58" s="153"/>
      <c r="C58" s="154"/>
      <c r="D58" s="155"/>
      <c r="E58" s="156"/>
      <c r="F58" s="11"/>
      <c r="G58" s="11"/>
      <c r="H58" s="147"/>
      <c r="I58" s="11"/>
      <c r="J58" s="147"/>
    </row>
  </sheetData>
  <mergeCells count="18">
    <mergeCell ref="K30:K31"/>
    <mergeCell ref="A31:A32"/>
    <mergeCell ref="B31:B32"/>
    <mergeCell ref="C31:C32"/>
    <mergeCell ref="D31:D32"/>
    <mergeCell ref="E31:E32"/>
    <mergeCell ref="F31:F32"/>
    <mergeCell ref="G31:G32"/>
    <mergeCell ref="H31:H32"/>
    <mergeCell ref="K1:K2"/>
    <mergeCell ref="A2:A3"/>
    <mergeCell ref="B2:B3"/>
    <mergeCell ref="C2:C3"/>
    <mergeCell ref="D2:D3"/>
    <mergeCell ref="E2:E3"/>
    <mergeCell ref="F2:F3"/>
    <mergeCell ref="G2:G3"/>
    <mergeCell ref="H2:H3"/>
  </mergeCells>
  <phoneticPr fontId="31" type="noConversion"/>
  <pageMargins left="0.6692913385826772" right="0" top="0.39370078740157483" bottom="0.39370078740157483" header="0" footer="0.19685039370078741"/>
  <pageSetup paperSize="9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5"/>
  <sheetViews>
    <sheetView view="pageBreakPreview" zoomScaleNormal="100" zoomScaleSheetLayoutView="100" workbookViewId="0">
      <pane ySplit="1" topLeftCell="A2" activePane="bottomLeft" state="frozen"/>
      <selection pane="bottomLeft" activeCell="P1" sqref="P1"/>
    </sheetView>
  </sheetViews>
  <sheetFormatPr defaultRowHeight="21" customHeight="1"/>
  <cols>
    <col min="1" max="1" width="4.625" style="124" customWidth="1"/>
    <col min="2" max="2" width="19" style="124" customWidth="1"/>
    <col min="3" max="3" width="16.5" style="124" customWidth="1"/>
    <col min="4" max="4" width="6.125" style="124" customWidth="1"/>
    <col min="5" max="6" width="9.625" style="124" customWidth="1"/>
    <col min="7" max="7" width="9.625" style="128" customWidth="1"/>
    <col min="8" max="8" width="11.5" style="124" customWidth="1"/>
    <col min="9" max="9" width="9.625" style="124" customWidth="1"/>
    <col min="10" max="10" width="10.875" style="124" customWidth="1"/>
    <col min="11" max="11" width="39" style="124" hidden="1" customWidth="1"/>
    <col min="12" max="12" width="11.375" style="129" customWidth="1"/>
    <col min="13" max="13" width="5.875" style="124" customWidth="1"/>
    <col min="14" max="14" width="11.25" style="124" bestFit="1" customWidth="1"/>
    <col min="15" max="15" width="9" style="124"/>
    <col min="16" max="16" width="10.25" style="124" bestFit="1" customWidth="1"/>
    <col min="17" max="16384" width="9" style="124"/>
  </cols>
  <sheetData>
    <row r="1" spans="1:15" ht="28.5" customHeight="1">
      <c r="A1" s="414" t="s">
        <v>186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</row>
    <row r="2" spans="1:15" s="125" customFormat="1" ht="21" customHeight="1">
      <c r="A2" s="415" t="s">
        <v>63</v>
      </c>
      <c r="B2" s="415" t="s">
        <v>64</v>
      </c>
      <c r="C2" s="415" t="s">
        <v>65</v>
      </c>
      <c r="D2" s="415" t="s">
        <v>66</v>
      </c>
      <c r="E2" s="415" t="s">
        <v>67</v>
      </c>
      <c r="F2" s="415"/>
      <c r="G2" s="415" t="s">
        <v>68</v>
      </c>
      <c r="H2" s="415"/>
      <c r="I2" s="415" t="s">
        <v>69</v>
      </c>
      <c r="J2" s="415"/>
      <c r="K2" s="359"/>
      <c r="L2" s="415" t="s">
        <v>70</v>
      </c>
      <c r="M2" s="415" t="s">
        <v>71</v>
      </c>
    </row>
    <row r="3" spans="1:15" s="125" customFormat="1" ht="21" customHeight="1">
      <c r="A3" s="415"/>
      <c r="B3" s="415"/>
      <c r="C3" s="415"/>
      <c r="D3" s="415"/>
      <c r="E3" s="359" t="s">
        <v>31</v>
      </c>
      <c r="F3" s="359" t="s">
        <v>32</v>
      </c>
      <c r="G3" s="359" t="s">
        <v>31</v>
      </c>
      <c r="H3" s="359" t="s">
        <v>32</v>
      </c>
      <c r="I3" s="359" t="s">
        <v>31</v>
      </c>
      <c r="J3" s="359" t="s">
        <v>32</v>
      </c>
      <c r="K3" s="159"/>
      <c r="L3" s="415"/>
      <c r="M3" s="415"/>
    </row>
    <row r="4" spans="1:15" s="355" customFormat="1" ht="21" customHeight="1">
      <c r="A4" s="359">
        <v>1</v>
      </c>
      <c r="B4" s="248" t="s">
        <v>127</v>
      </c>
      <c r="C4" s="359" t="s">
        <v>116</v>
      </c>
      <c r="D4" s="359" t="s">
        <v>115</v>
      </c>
      <c r="E4" s="126">
        <v>44</v>
      </c>
      <c r="F4" s="127">
        <v>2002</v>
      </c>
      <c r="G4" s="126">
        <v>68</v>
      </c>
      <c r="H4" s="127">
        <v>1260</v>
      </c>
      <c r="I4" s="126" t="s">
        <v>187</v>
      </c>
      <c r="J4" s="127">
        <v>2002</v>
      </c>
      <c r="K4" s="359" t="str">
        <f t="shared" ref="K4:K12" si="0">B4&amp;C4</f>
        <v>WIRE ROPEØ6</v>
      </c>
      <c r="L4" s="223">
        <f t="shared" ref="L4" si="1">MIN(F4,H4,J4)</f>
        <v>1260</v>
      </c>
      <c r="M4" s="359"/>
      <c r="O4" s="356"/>
    </row>
    <row r="5" spans="1:15" s="355" customFormat="1" ht="21" customHeight="1">
      <c r="A5" s="359">
        <v>2</v>
      </c>
      <c r="B5" s="220" t="s">
        <v>414</v>
      </c>
      <c r="C5" s="221"/>
      <c r="D5" s="221" t="s">
        <v>415</v>
      </c>
      <c r="E5" s="126">
        <v>1246</v>
      </c>
      <c r="F5" s="127">
        <v>-130</v>
      </c>
      <c r="G5" s="126" t="s">
        <v>416</v>
      </c>
      <c r="H5" s="127">
        <v>-105</v>
      </c>
      <c r="I5" s="126" t="s">
        <v>417</v>
      </c>
      <c r="J5" s="127">
        <v>-66</v>
      </c>
      <c r="K5" s="359" t="str">
        <f t="shared" si="0"/>
        <v>고철</v>
      </c>
      <c r="L5" s="223">
        <f t="shared" ref="L5:L12" si="2">MIN(F5,H5,J5)</f>
        <v>-130</v>
      </c>
      <c r="M5" s="359"/>
      <c r="O5" s="356"/>
    </row>
    <row r="6" spans="1:15" s="355" customFormat="1" ht="21" customHeight="1">
      <c r="A6" s="359">
        <v>3</v>
      </c>
      <c r="B6" s="248" t="s">
        <v>418</v>
      </c>
      <c r="C6" s="359" t="s">
        <v>419</v>
      </c>
      <c r="D6" s="359" t="s">
        <v>420</v>
      </c>
      <c r="E6" s="126">
        <v>44</v>
      </c>
      <c r="F6" s="127">
        <v>623</v>
      </c>
      <c r="G6" s="126">
        <v>75</v>
      </c>
      <c r="H6" s="127">
        <v>634</v>
      </c>
      <c r="I6" s="126" t="s">
        <v>421</v>
      </c>
      <c r="J6" s="127">
        <v>623</v>
      </c>
      <c r="K6" s="359" t="str">
        <f t="shared" si="0"/>
        <v>WIRE ROPEØ3.2</v>
      </c>
      <c r="L6" s="223">
        <f t="shared" si="2"/>
        <v>623</v>
      </c>
      <c r="M6" s="359"/>
      <c r="O6" s="356"/>
    </row>
    <row r="7" spans="1:15" s="355" customFormat="1" ht="21" customHeight="1">
      <c r="A7" s="359">
        <v>4</v>
      </c>
      <c r="B7" s="248" t="s">
        <v>422</v>
      </c>
      <c r="C7" s="359" t="s">
        <v>423</v>
      </c>
      <c r="D7" s="359" t="s">
        <v>420</v>
      </c>
      <c r="E7" s="126">
        <v>893</v>
      </c>
      <c r="F7" s="127">
        <v>2100</v>
      </c>
      <c r="G7" s="126">
        <v>1109</v>
      </c>
      <c r="H7" s="127">
        <v>2100</v>
      </c>
      <c r="I7" s="126" t="s">
        <v>424</v>
      </c>
      <c r="J7" s="127">
        <v>2100</v>
      </c>
      <c r="K7" s="359" t="str">
        <f t="shared" si="0"/>
        <v>FLEXIBLE16C</v>
      </c>
      <c r="L7" s="223">
        <f t="shared" si="2"/>
        <v>2100</v>
      </c>
      <c r="M7" s="359"/>
      <c r="O7" s="356"/>
    </row>
    <row r="8" spans="1:15" s="355" customFormat="1" ht="21" customHeight="1">
      <c r="A8" s="359">
        <v>5</v>
      </c>
      <c r="B8" s="292" t="s">
        <v>425</v>
      </c>
      <c r="C8" s="359" t="s">
        <v>423</v>
      </c>
      <c r="D8" s="359" t="s">
        <v>426</v>
      </c>
      <c r="E8" s="126">
        <v>893</v>
      </c>
      <c r="F8" s="127">
        <v>1700</v>
      </c>
      <c r="G8" s="126">
        <v>1109</v>
      </c>
      <c r="H8" s="127">
        <v>1700</v>
      </c>
      <c r="I8" s="126" t="s">
        <v>424</v>
      </c>
      <c r="J8" s="127">
        <v>1700</v>
      </c>
      <c r="K8" s="359" t="str">
        <f t="shared" si="0"/>
        <v>FLEXIBLE CONNECTOR16C</v>
      </c>
      <c r="L8" s="223">
        <f t="shared" si="2"/>
        <v>1700</v>
      </c>
      <c r="M8" s="359"/>
      <c r="O8" s="356"/>
    </row>
    <row r="9" spans="1:15" s="355" customFormat="1" ht="21" customHeight="1">
      <c r="A9" s="359">
        <v>6</v>
      </c>
      <c r="B9" s="262" t="s">
        <v>427</v>
      </c>
      <c r="C9" s="159" t="s">
        <v>428</v>
      </c>
      <c r="D9" s="359" t="s">
        <v>426</v>
      </c>
      <c r="E9" s="126">
        <v>930</v>
      </c>
      <c r="F9" s="127">
        <v>44300</v>
      </c>
      <c r="G9" s="126">
        <v>1157</v>
      </c>
      <c r="H9" s="127">
        <v>44200</v>
      </c>
      <c r="I9" s="126" t="s">
        <v>429</v>
      </c>
      <c r="J9" s="127">
        <v>44300</v>
      </c>
      <c r="K9" s="263" t="str">
        <f t="shared" si="0"/>
        <v>MCCB (배선용차단기)ABS 33c</v>
      </c>
      <c r="L9" s="223">
        <f t="shared" si="2"/>
        <v>44200</v>
      </c>
      <c r="M9" s="359"/>
      <c r="O9" s="356"/>
    </row>
    <row r="10" spans="1:15" s="355" customFormat="1" ht="21" customHeight="1">
      <c r="A10" s="359">
        <v>7</v>
      </c>
      <c r="B10" s="223" t="s">
        <v>430</v>
      </c>
      <c r="C10" s="359" t="s">
        <v>431</v>
      </c>
      <c r="D10" s="264" t="s">
        <v>426</v>
      </c>
      <c r="E10" s="126">
        <v>936</v>
      </c>
      <c r="F10" s="127">
        <v>17500</v>
      </c>
      <c r="G10" s="126">
        <v>1149</v>
      </c>
      <c r="H10" s="127">
        <v>17400</v>
      </c>
      <c r="I10" s="126" t="s">
        <v>432</v>
      </c>
      <c r="J10" s="127">
        <v>17500</v>
      </c>
      <c r="K10" s="263" t="str">
        <f t="shared" si="0"/>
        <v>MC (전자접촉기)MC 18a</v>
      </c>
      <c r="L10" s="223">
        <f t="shared" si="2"/>
        <v>17400</v>
      </c>
      <c r="M10" s="359"/>
      <c r="O10" s="356"/>
    </row>
    <row r="11" spans="1:15" s="355" customFormat="1" ht="21" customHeight="1">
      <c r="A11" s="359">
        <v>8</v>
      </c>
      <c r="B11" s="223" t="s">
        <v>430</v>
      </c>
      <c r="C11" s="359" t="s">
        <v>433</v>
      </c>
      <c r="D11" s="264" t="s">
        <v>426</v>
      </c>
      <c r="E11" s="126">
        <v>936</v>
      </c>
      <c r="F11" s="127">
        <v>12200</v>
      </c>
      <c r="G11" s="126">
        <v>1149</v>
      </c>
      <c r="H11" s="127">
        <v>12200</v>
      </c>
      <c r="I11" s="126" t="s">
        <v>432</v>
      </c>
      <c r="J11" s="127">
        <v>12200</v>
      </c>
      <c r="K11" s="263" t="str">
        <f t="shared" si="0"/>
        <v>MC (전자접촉기)MC 12a</v>
      </c>
      <c r="L11" s="223">
        <f t="shared" si="2"/>
        <v>12200</v>
      </c>
      <c r="M11" s="359"/>
      <c r="O11" s="356"/>
    </row>
    <row r="12" spans="1:15" s="355" customFormat="1" ht="21" customHeight="1">
      <c r="A12" s="359">
        <v>9</v>
      </c>
      <c r="B12" s="223" t="s">
        <v>434</v>
      </c>
      <c r="C12" s="359" t="s">
        <v>435</v>
      </c>
      <c r="D12" s="264" t="s">
        <v>420</v>
      </c>
      <c r="E12" s="126">
        <v>863</v>
      </c>
      <c r="F12" s="127">
        <v>689</v>
      </c>
      <c r="G12" s="126">
        <v>1084</v>
      </c>
      <c r="H12" s="127">
        <v>627</v>
      </c>
      <c r="I12" s="126" t="s">
        <v>436</v>
      </c>
      <c r="J12" s="127">
        <v>745</v>
      </c>
      <c r="K12" s="263" t="str">
        <f t="shared" si="0"/>
        <v>F-GV CABLE6SQ</v>
      </c>
      <c r="L12" s="223">
        <f t="shared" si="2"/>
        <v>627</v>
      </c>
      <c r="M12" s="359"/>
      <c r="O12" s="356"/>
    </row>
    <row r="13" spans="1:15" s="355" customFormat="1" ht="21" customHeight="1">
      <c r="A13" s="359">
        <v>10</v>
      </c>
      <c r="B13" s="248" t="s">
        <v>437</v>
      </c>
      <c r="C13" s="359" t="s">
        <v>438</v>
      </c>
      <c r="D13" s="359" t="s">
        <v>415</v>
      </c>
      <c r="E13" s="126">
        <v>1180</v>
      </c>
      <c r="F13" s="127">
        <v>2480</v>
      </c>
      <c r="G13" s="126">
        <v>1389</v>
      </c>
      <c r="H13" s="127">
        <v>3240</v>
      </c>
      <c r="I13" s="126" t="s">
        <v>439</v>
      </c>
      <c r="J13" s="127">
        <v>2480</v>
      </c>
      <c r="K13" s="359" t="str">
        <f>B13&amp;C13</f>
        <v>용접봉KSE-4301(Ø2.6)</v>
      </c>
      <c r="L13" s="223">
        <f t="shared" ref="L13:L22" si="3">MIN(F13,H13,J13)</f>
        <v>2480</v>
      </c>
      <c r="M13" s="359"/>
      <c r="O13" s="356"/>
    </row>
    <row r="14" spans="1:15" s="355" customFormat="1" ht="21" customHeight="1">
      <c r="A14" s="359">
        <v>11</v>
      </c>
      <c r="B14" s="248" t="s">
        <v>440</v>
      </c>
      <c r="C14" s="359"/>
      <c r="D14" s="359" t="s">
        <v>441</v>
      </c>
      <c r="E14" s="126">
        <v>1238</v>
      </c>
      <c r="F14" s="290">
        <v>2</v>
      </c>
      <c r="G14" s="126" t="s">
        <v>442</v>
      </c>
      <c r="H14" s="290">
        <v>2</v>
      </c>
      <c r="I14" s="126" t="s">
        <v>443</v>
      </c>
      <c r="J14" s="290">
        <v>2</v>
      </c>
      <c r="K14" s="359" t="str">
        <f>B14&amp;C14</f>
        <v>산소</v>
      </c>
      <c r="L14" s="223">
        <f t="shared" si="3"/>
        <v>2</v>
      </c>
      <c r="M14" s="359"/>
      <c r="O14" s="356"/>
    </row>
    <row r="15" spans="1:15" s="355" customFormat="1" ht="21" customHeight="1">
      <c r="A15" s="359">
        <v>12</v>
      </c>
      <c r="B15" s="248" t="s">
        <v>444</v>
      </c>
      <c r="C15" s="359"/>
      <c r="D15" s="359" t="s">
        <v>415</v>
      </c>
      <c r="E15" s="126">
        <v>1238</v>
      </c>
      <c r="F15" s="127">
        <v>17000</v>
      </c>
      <c r="G15" s="126" t="s">
        <v>442</v>
      </c>
      <c r="H15" s="127">
        <v>17000</v>
      </c>
      <c r="I15" s="126" t="s">
        <v>443</v>
      </c>
      <c r="J15" s="127">
        <v>13000</v>
      </c>
      <c r="K15" s="359" t="str">
        <f>B15&amp;C15</f>
        <v>아세칠렌</v>
      </c>
      <c r="L15" s="223">
        <f t="shared" si="3"/>
        <v>13000</v>
      </c>
      <c r="M15" s="359"/>
      <c r="O15" s="356"/>
    </row>
    <row r="16" spans="1:15" s="355" customFormat="1" ht="21" customHeight="1">
      <c r="A16" s="359">
        <v>13</v>
      </c>
      <c r="B16" s="248" t="s">
        <v>445</v>
      </c>
      <c r="C16" s="359"/>
      <c r="D16" s="359" t="s">
        <v>441</v>
      </c>
      <c r="E16" s="126">
        <v>473</v>
      </c>
      <c r="F16" s="127">
        <v>17683</v>
      </c>
      <c r="G16" s="126">
        <v>624</v>
      </c>
      <c r="H16" s="127">
        <v>17422</v>
      </c>
      <c r="I16" s="126" t="s">
        <v>446</v>
      </c>
      <c r="J16" s="127">
        <v>17683</v>
      </c>
      <c r="K16" s="359" t="str">
        <f>B16&amp;C16</f>
        <v>녹막이 페인트</v>
      </c>
      <c r="L16" s="223">
        <f t="shared" si="3"/>
        <v>17422</v>
      </c>
      <c r="M16" s="359"/>
      <c r="O16" s="356"/>
    </row>
    <row r="17" spans="1:15" s="355" customFormat="1" ht="21" customHeight="1">
      <c r="A17" s="359">
        <v>14</v>
      </c>
      <c r="B17" s="248" t="s">
        <v>447</v>
      </c>
      <c r="C17" s="359"/>
      <c r="D17" s="359" t="s">
        <v>441</v>
      </c>
      <c r="E17" s="126">
        <v>473</v>
      </c>
      <c r="F17" s="127">
        <v>4859</v>
      </c>
      <c r="G17" s="126">
        <v>622</v>
      </c>
      <c r="H17" s="127">
        <v>4828</v>
      </c>
      <c r="I17" s="126" t="s">
        <v>446</v>
      </c>
      <c r="J17" s="127">
        <v>4859</v>
      </c>
      <c r="K17" s="359" t="str">
        <f>B17&amp;C17</f>
        <v>조합 페인트</v>
      </c>
      <c r="L17" s="223">
        <f t="shared" si="3"/>
        <v>4828</v>
      </c>
      <c r="M17" s="359"/>
      <c r="O17" s="356"/>
    </row>
    <row r="18" spans="1:15" s="355" customFormat="1" ht="21" customHeight="1">
      <c r="A18" s="359">
        <v>15</v>
      </c>
      <c r="B18" s="248" t="s">
        <v>448</v>
      </c>
      <c r="C18" s="359"/>
      <c r="D18" s="359" t="s">
        <v>441</v>
      </c>
      <c r="E18" s="126">
        <v>477</v>
      </c>
      <c r="F18" s="127">
        <v>2766</v>
      </c>
      <c r="G18" s="126">
        <v>625</v>
      </c>
      <c r="H18" s="127">
        <v>2711</v>
      </c>
      <c r="I18" s="126" t="s">
        <v>449</v>
      </c>
      <c r="J18" s="127">
        <v>2766</v>
      </c>
      <c r="K18" s="359" t="str">
        <f t="shared" ref="K18:K21" si="4">B18&amp;C18</f>
        <v>신너</v>
      </c>
      <c r="L18" s="223">
        <f t="shared" si="3"/>
        <v>2711</v>
      </c>
      <c r="M18" s="359"/>
      <c r="O18" s="356"/>
    </row>
    <row r="19" spans="1:15" s="355" customFormat="1" ht="21" customHeight="1">
      <c r="A19" s="359">
        <v>16</v>
      </c>
      <c r="B19" s="248" t="s">
        <v>450</v>
      </c>
      <c r="C19" s="359" t="s">
        <v>451</v>
      </c>
      <c r="D19" s="359" t="s">
        <v>420</v>
      </c>
      <c r="E19" s="126"/>
      <c r="F19" s="127"/>
      <c r="G19" s="126">
        <v>64</v>
      </c>
      <c r="H19" s="127">
        <v>1418</v>
      </c>
      <c r="I19" s="126"/>
      <c r="J19" s="127"/>
      <c r="K19" s="359" t="str">
        <f t="shared" si="4"/>
        <v>SQUARE PIPE30x30x1.6t</v>
      </c>
      <c r="L19" s="223">
        <f t="shared" si="3"/>
        <v>1418</v>
      </c>
      <c r="M19" s="359"/>
      <c r="O19" s="356"/>
    </row>
    <row r="20" spans="1:15" s="355" customFormat="1" ht="21" customHeight="1">
      <c r="A20" s="359">
        <v>17</v>
      </c>
      <c r="B20" s="248" t="s">
        <v>450</v>
      </c>
      <c r="C20" s="359" t="s">
        <v>452</v>
      </c>
      <c r="D20" s="291" t="s">
        <v>420</v>
      </c>
      <c r="E20" s="126">
        <v>32</v>
      </c>
      <c r="F20" s="127">
        <v>3270</v>
      </c>
      <c r="G20" s="126">
        <v>64</v>
      </c>
      <c r="H20" s="127">
        <v>2394</v>
      </c>
      <c r="I20" s="126"/>
      <c r="J20" s="127"/>
      <c r="K20" s="263" t="str">
        <f t="shared" si="4"/>
        <v>SQUARE PIPE50X50X1.6T</v>
      </c>
      <c r="L20" s="223">
        <f t="shared" si="3"/>
        <v>2394</v>
      </c>
      <c r="M20" s="359"/>
      <c r="O20" s="356"/>
    </row>
    <row r="21" spans="1:15" s="355" customFormat="1" ht="21" customHeight="1">
      <c r="A21" s="359">
        <v>18</v>
      </c>
      <c r="B21" s="248" t="s">
        <v>453</v>
      </c>
      <c r="C21" s="359" t="s">
        <v>454</v>
      </c>
      <c r="D21" s="337" t="s">
        <v>455</v>
      </c>
      <c r="E21" s="338">
        <v>408</v>
      </c>
      <c r="F21" s="339">
        <v>25200</v>
      </c>
      <c r="G21" s="338">
        <v>677</v>
      </c>
      <c r="H21" s="339">
        <v>26500</v>
      </c>
      <c r="I21" s="338" t="s">
        <v>456</v>
      </c>
      <c r="J21" s="339">
        <v>27700</v>
      </c>
      <c r="K21" s="340" t="str">
        <f t="shared" si="4"/>
        <v>합    판4'X8'X12T</v>
      </c>
      <c r="L21" s="341">
        <f t="shared" si="3"/>
        <v>25200</v>
      </c>
      <c r="M21" s="359"/>
      <c r="O21" s="356"/>
    </row>
    <row r="22" spans="1:15" s="355" customFormat="1" ht="21" customHeight="1">
      <c r="A22" s="359">
        <v>19</v>
      </c>
      <c r="B22" s="248" t="s">
        <v>457</v>
      </c>
      <c r="C22" s="359" t="s">
        <v>458</v>
      </c>
      <c r="D22" s="293" t="s">
        <v>459</v>
      </c>
      <c r="E22" s="294">
        <v>73</v>
      </c>
      <c r="F22" s="295">
        <v>1800</v>
      </c>
      <c r="G22" s="294">
        <v>139</v>
      </c>
      <c r="H22" s="295">
        <v>1800</v>
      </c>
      <c r="I22" s="294"/>
      <c r="J22" s="295"/>
      <c r="K22" s="357" t="str">
        <f t="shared" ref="K22:K24" si="5">B22&amp;C22</f>
        <v>각     재4.5 X 4.5</v>
      </c>
      <c r="L22" s="296">
        <f t="shared" si="3"/>
        <v>1800</v>
      </c>
      <c r="M22" s="359"/>
      <c r="O22" s="356"/>
    </row>
    <row r="23" spans="1:15" s="355" customFormat="1" ht="21" customHeight="1">
      <c r="A23" s="359">
        <v>20</v>
      </c>
      <c r="B23" s="248" t="s">
        <v>460</v>
      </c>
      <c r="C23" s="359" t="s">
        <v>461</v>
      </c>
      <c r="D23" s="359" t="s">
        <v>426</v>
      </c>
      <c r="E23" s="126"/>
      <c r="F23" s="127"/>
      <c r="G23" s="294">
        <v>602</v>
      </c>
      <c r="H23" s="127">
        <v>55000</v>
      </c>
      <c r="I23" s="126"/>
      <c r="J23" s="127"/>
      <c r="K23" s="357" t="str">
        <f t="shared" si="5"/>
        <v>천정 점검구STS 600 x 600</v>
      </c>
      <c r="L23" s="296">
        <f t="shared" ref="L23:L24" si="6">MIN(F23,H23,J23)</f>
        <v>55000</v>
      </c>
      <c r="M23" s="359"/>
      <c r="O23" s="356"/>
    </row>
    <row r="24" spans="1:15" s="355" customFormat="1" ht="21" customHeight="1">
      <c r="A24" s="359">
        <v>21</v>
      </c>
      <c r="B24" s="248" t="s">
        <v>475</v>
      </c>
      <c r="C24" s="293" t="s">
        <v>472</v>
      </c>
      <c r="D24" s="293" t="s">
        <v>473</v>
      </c>
      <c r="E24" s="294">
        <v>59</v>
      </c>
      <c r="F24" s="295">
        <v>33360</v>
      </c>
      <c r="G24" s="294">
        <v>98</v>
      </c>
      <c r="H24" s="295">
        <v>33360</v>
      </c>
      <c r="I24" s="294" t="s">
        <v>474</v>
      </c>
      <c r="J24" s="295">
        <v>33360</v>
      </c>
      <c r="K24" s="357" t="str">
        <f t="shared" si="5"/>
        <v>EXPANDED METALSS #243</v>
      </c>
      <c r="L24" s="296">
        <f t="shared" si="6"/>
        <v>33360</v>
      </c>
      <c r="M24" s="359"/>
      <c r="O24" s="356"/>
    </row>
    <row r="25" spans="1:15" s="355" customFormat="1" ht="21" customHeight="1">
      <c r="A25" s="359"/>
      <c r="B25" s="248"/>
      <c r="C25" s="359"/>
      <c r="D25" s="359"/>
      <c r="E25" s="126"/>
      <c r="F25" s="127"/>
      <c r="G25" s="126"/>
      <c r="H25" s="127"/>
      <c r="I25" s="126"/>
      <c r="J25" s="127"/>
      <c r="K25" s="359"/>
      <c r="L25" s="223"/>
      <c r="M25" s="359"/>
      <c r="O25" s="356"/>
    </row>
  </sheetData>
  <dataConsolidate/>
  <mergeCells count="10">
    <mergeCell ref="A1:M1"/>
    <mergeCell ref="A2:A3"/>
    <mergeCell ref="B2:B3"/>
    <mergeCell ref="C2:C3"/>
    <mergeCell ref="D2:D3"/>
    <mergeCell ref="E2:F2"/>
    <mergeCell ref="G2:H2"/>
    <mergeCell ref="I2:J2"/>
    <mergeCell ref="L2:L3"/>
    <mergeCell ref="M2:M3"/>
  </mergeCells>
  <phoneticPr fontId="36" type="noConversion"/>
  <printOptions gridLinesSet="0"/>
  <pageMargins left="0.59055118110236227" right="0" top="0.27559055118110237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5</vt:i4>
      </vt:variant>
    </vt:vector>
  </HeadingPairs>
  <TitlesOfParts>
    <vt:vector size="17" baseType="lpstr">
      <vt:lpstr>표지</vt:lpstr>
      <vt:lpstr>총괄</vt:lpstr>
      <vt:lpstr>내역서 갑지</vt:lpstr>
      <vt:lpstr>내역서</vt:lpstr>
      <vt:lpstr>일위대가</vt:lpstr>
      <vt:lpstr>산출(기계)</vt:lpstr>
      <vt:lpstr>산출(전기)</vt:lpstr>
      <vt:lpstr>산출(기타)</vt:lpstr>
      <vt:lpstr>조사</vt:lpstr>
      <vt:lpstr>대비</vt:lpstr>
      <vt:lpstr>적용</vt:lpstr>
      <vt:lpstr>임율기준</vt:lpstr>
      <vt:lpstr>'내역서 갑지'!Print_Area</vt:lpstr>
      <vt:lpstr>대비!Print_Area</vt:lpstr>
      <vt:lpstr>'산출(기계)'!Print_Area</vt:lpstr>
      <vt:lpstr>일위대가!Print_Area</vt:lpstr>
      <vt:lpstr>조사!Print_Area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</dc:creator>
  <cp:lastModifiedBy>USER</cp:lastModifiedBy>
  <cp:lastPrinted>2016-04-06T05:32:28Z</cp:lastPrinted>
  <dcterms:created xsi:type="dcterms:W3CDTF">1999-01-16T05:17:33Z</dcterms:created>
  <dcterms:modified xsi:type="dcterms:W3CDTF">2016-04-26T07:23:38Z</dcterms:modified>
</cp:coreProperties>
</file>