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25440" windowHeight="15195"/>
  </bookViews>
  <sheets>
    <sheet name="설계내역서" sheetId="7" r:id="rId1"/>
    <sheet name="집계표" sheetId="6" r:id="rId2"/>
    <sheet name="내역서" sheetId="5" r:id="rId3"/>
    <sheet name="자재단가대비표" sheetId="4" r:id="rId4"/>
  </sheets>
  <definedNames>
    <definedName name="_xlnm.Print_Area" localSheetId="2">내역서!$A$1:$M$24</definedName>
    <definedName name="_xlnm.Print_Area" localSheetId="0">설계내역서!$A$1:$F$31</definedName>
    <definedName name="_xlnm.Print_Area" localSheetId="3">자재단가대비표!$A$1:$O$29</definedName>
    <definedName name="_xlnm.Print_Area" localSheetId="1">집계표!$A$1:$M$24</definedName>
    <definedName name="_xlnm.Print_Titles" localSheetId="2">내역서!$1:$4</definedName>
    <definedName name="_xlnm.Print_Titles" localSheetId="0">설계내역서!$1:$4</definedName>
    <definedName name="_xlnm.Print_Titles" localSheetId="3">자재단가대비표!$1:$4</definedName>
    <definedName name="_xlnm.Print_Titles" localSheetId="1">집계표!$1:$4</definedName>
  </definedNames>
  <calcPr calcId="125725" iterate="1"/>
</workbook>
</file>

<file path=xl/calcChain.xml><?xml version="1.0" encoding="utf-8"?>
<calcChain xmlns="http://schemas.openxmlformats.org/spreadsheetml/2006/main">
  <c r="D30" i="7"/>
  <c r="D27"/>
  <c r="D26"/>
  <c r="D20"/>
  <c r="D14"/>
  <c r="D13"/>
  <c r="D10"/>
  <c r="AL5" i="6"/>
  <c r="AL24" s="1"/>
  <c r="AL24" i="5"/>
  <c r="F10"/>
  <c r="J10"/>
  <c r="R10" s="1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F9"/>
  <c r="H9"/>
  <c r="J9"/>
  <c r="K9"/>
  <c r="L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H8"/>
  <c r="J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H7"/>
  <c r="J7"/>
  <c r="R7" s="1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F6"/>
  <c r="H6"/>
  <c r="J6"/>
  <c r="K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N7" i="4"/>
  <c r="G10" i="5" s="1"/>
  <c r="H10" s="1"/>
  <c r="N6" i="4"/>
  <c r="E8" i="5" s="1"/>
  <c r="F8" s="1"/>
  <c r="N5" i="4"/>
  <c r="E7" i="5" s="1"/>
  <c r="F7" s="1"/>
  <c r="L10" l="1"/>
  <c r="J24"/>
  <c r="I5" i="6" s="1"/>
  <c r="J5" s="1"/>
  <c r="J24" s="1"/>
  <c r="Y24" i="5"/>
  <c r="Y5" i="6" s="1"/>
  <c r="Y24" s="1"/>
  <c r="S24" i="5"/>
  <c r="S5" i="6" s="1"/>
  <c r="S24" s="1"/>
  <c r="L8" i="5"/>
  <c r="X24"/>
  <c r="X5" i="6" s="1"/>
  <c r="X24" s="1"/>
  <c r="E28" i="7" s="1"/>
  <c r="I28" s="1"/>
  <c r="L7" i="5"/>
  <c r="AJ24"/>
  <c r="AJ5" i="6" s="1"/>
  <c r="AJ24" s="1"/>
  <c r="AF24" i="5"/>
  <c r="AF5" i="6" s="1"/>
  <c r="AF24" s="1"/>
  <c r="AB24" i="5"/>
  <c r="AB5" i="6" s="1"/>
  <c r="AB24" s="1"/>
  <c r="T24" i="5"/>
  <c r="T5" i="6" s="1"/>
  <c r="T24" s="1"/>
  <c r="E7" i="7" s="1"/>
  <c r="I7" s="1"/>
  <c r="U24" i="5"/>
  <c r="U5" i="6" s="1"/>
  <c r="U24" s="1"/>
  <c r="R6" i="5"/>
  <c r="R24" s="1"/>
  <c r="R5" i="6" s="1"/>
  <c r="R24" s="1"/>
  <c r="E12" i="7" s="1"/>
  <c r="I12" s="1"/>
  <c r="L6" i="5"/>
  <c r="AH24"/>
  <c r="AH5" i="6" s="1"/>
  <c r="AH24" s="1"/>
  <c r="AD24" i="5"/>
  <c r="AD5" i="6" s="1"/>
  <c r="AD24" s="1"/>
  <c r="Z24" i="5"/>
  <c r="Z5" i="6" s="1"/>
  <c r="Z24" s="1"/>
  <c r="V24" i="5"/>
  <c r="V5" i="6" s="1"/>
  <c r="V24" s="1"/>
  <c r="AK24" i="5"/>
  <c r="AK5" i="6" s="1"/>
  <c r="AK24" s="1"/>
  <c r="AG24" i="5"/>
  <c r="AG5" i="6" s="1"/>
  <c r="AG24" s="1"/>
  <c r="AC24" i="5"/>
  <c r="AC5" i="6" s="1"/>
  <c r="AC24" s="1"/>
  <c r="AI24" i="5"/>
  <c r="AI5" i="6" s="1"/>
  <c r="AI24" s="1"/>
  <c r="AE24" i="5"/>
  <c r="AE5" i="6" s="1"/>
  <c r="AE24" s="1"/>
  <c r="AA24" i="5"/>
  <c r="AA5" i="6" s="1"/>
  <c r="AA24" s="1"/>
  <c r="W24" i="5"/>
  <c r="W5" i="6" s="1"/>
  <c r="W24" s="1"/>
  <c r="H24" i="5"/>
  <c r="G5" i="6" s="1"/>
  <c r="H5" s="1"/>
  <c r="H24" s="1"/>
  <c r="E9" i="7" s="1"/>
  <c r="F24" i="5"/>
  <c r="K7"/>
  <c r="K8"/>
  <c r="K10"/>
  <c r="I9" i="7" l="1"/>
  <c r="E16"/>
  <c r="E10"/>
  <c r="E11" s="1"/>
  <c r="E18"/>
  <c r="E15"/>
  <c r="E17" s="1"/>
  <c r="L24" i="5"/>
  <c r="E5" i="6"/>
  <c r="K5" l="1"/>
  <c r="F5"/>
  <c r="I18" i="7"/>
  <c r="I15"/>
  <c r="I17" s="1"/>
  <c r="I16"/>
  <c r="I10"/>
  <c r="I11"/>
  <c r="E13"/>
  <c r="E14"/>
  <c r="I13" l="1"/>
  <c r="I14"/>
  <c r="F24" i="6"/>
  <c r="L5"/>
  <c r="L24" l="1"/>
  <c r="E5" i="7"/>
  <c r="I5" l="1"/>
  <c r="E6"/>
  <c r="I6" s="1"/>
  <c r="E8" l="1"/>
  <c r="E22" s="1"/>
  <c r="E21" l="1"/>
  <c r="E23"/>
  <c r="I8"/>
  <c r="I22" s="1"/>
  <c r="E19"/>
  <c r="E20"/>
  <c r="I23"/>
  <c r="I19"/>
  <c r="I20"/>
  <c r="I21" l="1"/>
  <c r="E24"/>
  <c r="I24" s="1"/>
  <c r="E26"/>
  <c r="E25" l="1"/>
  <c r="I25" s="1"/>
  <c r="I26"/>
  <c r="I27" s="1"/>
  <c r="I29" s="1"/>
  <c r="I30" l="1"/>
  <c r="I31" s="1"/>
  <c r="E31" s="1"/>
  <c r="E29" s="1"/>
  <c r="E27" l="1"/>
  <c r="E30"/>
</calcChain>
</file>

<file path=xl/sharedStrings.xml><?xml version="1.0" encoding="utf-8"?>
<sst xmlns="http://schemas.openxmlformats.org/spreadsheetml/2006/main" count="266" uniqueCount="135">
  <si>
    <t>단 가 대 비 표</t>
  </si>
  <si>
    <t>품     명</t>
  </si>
  <si>
    <t>규     격</t>
  </si>
  <si>
    <t>단위</t>
  </si>
  <si>
    <t>물가자료</t>
  </si>
  <si>
    <t>물가정보</t>
  </si>
  <si>
    <t>유통물가</t>
  </si>
  <si>
    <t>거래가격</t>
  </si>
  <si>
    <t>가격정보</t>
  </si>
  <si>
    <t>조사단가</t>
  </si>
  <si>
    <t>적용단가</t>
  </si>
  <si>
    <t>비 고</t>
  </si>
  <si>
    <t>Page</t>
  </si>
  <si>
    <t>단   가</t>
  </si>
  <si>
    <t>H형 가이드레일</t>
  </si>
  <si>
    <t/>
  </si>
  <si>
    <t>M</t>
  </si>
  <si>
    <t>분체도장</t>
  </si>
  <si>
    <t>시공비</t>
  </si>
  <si>
    <t>SET</t>
  </si>
  <si>
    <t>내       역       서</t>
  </si>
  <si>
    <t>품      명</t>
  </si>
  <si>
    <t>규      격</t>
  </si>
  <si>
    <t>수  량</t>
  </si>
  <si>
    <t>재  료  비</t>
  </si>
  <si>
    <t>노  무  비</t>
  </si>
  <si>
    <t>경      비</t>
  </si>
  <si>
    <t>합      계</t>
  </si>
  <si>
    <t>비고</t>
  </si>
  <si>
    <t>단  가</t>
  </si>
  <si>
    <t>금   액</t>
  </si>
  <si>
    <t>손료요율</t>
  </si>
  <si>
    <t>손료구분</t>
  </si>
  <si>
    <t>적용구분</t>
  </si>
  <si>
    <t>합계구분</t>
  </si>
  <si>
    <t>기계경비</t>
  </si>
  <si>
    <t>운반비</t>
  </si>
  <si>
    <t>작업부산물</t>
  </si>
  <si>
    <t>관급</t>
  </si>
  <si>
    <t>외주비</t>
  </si>
  <si>
    <t>장비비</t>
  </si>
  <si>
    <t>폐기물처리비</t>
  </si>
  <si>
    <t>가설비</t>
  </si>
  <si>
    <t>잡비제외분</t>
  </si>
  <si>
    <t>사급자재대</t>
  </si>
  <si>
    <t>관급자재대</t>
  </si>
  <si>
    <t>사용자항목1</t>
  </si>
  <si>
    <t>사용자항목2</t>
  </si>
  <si>
    <t>사용자항목3</t>
  </si>
  <si>
    <t>사용자항목4</t>
  </si>
  <si>
    <t>사용자항목5</t>
  </si>
  <si>
    <t>사용자항목6</t>
  </si>
  <si>
    <t>사용자항목7</t>
  </si>
  <si>
    <t>사용자항목8</t>
  </si>
  <si>
    <t>사용자항목9</t>
  </si>
  <si>
    <t>간접재료비</t>
  </si>
  <si>
    <t>1. 인테리어</t>
  </si>
  <si>
    <t>원단</t>
  </si>
  <si>
    <t>블랙아웃패브릭</t>
  </si>
  <si>
    <t>M2</t>
  </si>
  <si>
    <t>01</t>
  </si>
  <si>
    <t>자재운반비</t>
  </si>
  <si>
    <t>5톤 카고</t>
  </si>
  <si>
    <t>대</t>
  </si>
  <si>
    <t>03</t>
  </si>
  <si>
    <t>02</t>
  </si>
  <si>
    <t>집      계      표</t>
  </si>
  <si>
    <t>수 량</t>
  </si>
  <si>
    <t>금    액</t>
  </si>
  <si>
    <t>식</t>
  </si>
  <si>
    <t xml:space="preserve">                 구  분
 비   목</t>
  </si>
  <si>
    <t>구    성   비</t>
  </si>
  <si>
    <t>금      액</t>
  </si>
  <si>
    <t>비    고</t>
  </si>
  <si>
    <t>직   접   재  료  비</t>
  </si>
  <si>
    <t>A1</t>
  </si>
  <si>
    <t>간   접   재  료  비</t>
  </si>
  <si>
    <t>A2</t>
  </si>
  <si>
    <t>작업설.부산물 등(△)</t>
  </si>
  <si>
    <t>A3</t>
  </si>
  <si>
    <t xml:space="preserve"> 소               계</t>
  </si>
  <si>
    <t>A</t>
  </si>
  <si>
    <t>직   접   노  무  비</t>
  </si>
  <si>
    <t>B1</t>
  </si>
  <si>
    <t>간   접   노  무  비</t>
  </si>
  <si>
    <t>B2</t>
  </si>
  <si>
    <t>소                계</t>
  </si>
  <si>
    <t>B</t>
  </si>
  <si>
    <t>기    계    경    비</t>
  </si>
  <si>
    <t>C4</t>
  </si>
  <si>
    <t>산  재  보   험   료</t>
  </si>
  <si>
    <t>C10</t>
  </si>
  <si>
    <t>고  용  보   험   료</t>
  </si>
  <si>
    <t>C11</t>
  </si>
  <si>
    <t>건  강  보   험   료</t>
  </si>
  <si>
    <t>C12</t>
  </si>
  <si>
    <t>연  금  보   험   료</t>
  </si>
  <si>
    <t>C13</t>
  </si>
  <si>
    <t>노인 장기 요양보험료</t>
  </si>
  <si>
    <t>C16</t>
  </si>
  <si>
    <t>퇴 직 공 제 부 금 비</t>
  </si>
  <si>
    <t>C14</t>
  </si>
  <si>
    <t>안  전   관   리  비</t>
  </si>
  <si>
    <t>C15</t>
  </si>
  <si>
    <t>기    타    경    비</t>
  </si>
  <si>
    <t>C26</t>
  </si>
  <si>
    <t>환  경  보   전   비</t>
  </si>
  <si>
    <t>C28</t>
  </si>
  <si>
    <t>건설하도급보증수수료</t>
  </si>
  <si>
    <t>C29</t>
  </si>
  <si>
    <t>건설기계대여보증수수료</t>
  </si>
  <si>
    <t>C31</t>
  </si>
  <si>
    <t>C</t>
  </si>
  <si>
    <t xml:space="preserve">         계</t>
  </si>
  <si>
    <t>X</t>
  </si>
  <si>
    <t>일  반   관   리  비</t>
  </si>
  <si>
    <t>D</t>
  </si>
  <si>
    <t>이                윤</t>
  </si>
  <si>
    <t>E</t>
  </si>
  <si>
    <t>폐  기  물  처 리 비</t>
  </si>
  <si>
    <t>L</t>
  </si>
  <si>
    <t>총       원       가</t>
  </si>
  <si>
    <t>F</t>
  </si>
  <si>
    <t>부   가   가  치  세</t>
  </si>
  <si>
    <t>H</t>
  </si>
  <si>
    <t>도    급    금    액</t>
  </si>
  <si>
    <t>Y</t>
  </si>
  <si>
    <t>순  공  사  원  가</t>
  </si>
  <si>
    <t>재료비</t>
  </si>
  <si>
    <t>노무비</t>
  </si>
  <si>
    <t>경  비</t>
  </si>
  <si>
    <t>[합계]</t>
    <phoneticPr fontId="3" type="noConversion"/>
  </si>
  <si>
    <t>[소계]</t>
    <phoneticPr fontId="3" type="noConversion"/>
  </si>
  <si>
    <t>설계내역서</t>
    <phoneticPr fontId="3" type="noConversion"/>
  </si>
  <si>
    <t xml:space="preserve"> : 백남준아트센터 2층 전시장 암막제작 설치</t>
    <phoneticPr fontId="3" type="noConversion"/>
  </si>
</sst>
</file>

<file path=xl/styles.xml><?xml version="1.0" encoding="utf-8"?>
<styleSheet xmlns="http://schemas.openxmlformats.org/spreadsheetml/2006/main">
  <numFmts count="4">
    <numFmt numFmtId="176" formatCode="#,###,###,##0"/>
    <numFmt numFmtId="177" formatCode="###,###,###,##0.0###"/>
    <numFmt numFmtId="178" formatCode="###,###,###,###,###"/>
    <numFmt numFmtId="179" formatCode="###,###,###,###"/>
  </numFmts>
  <fonts count="8">
    <font>
      <sz val="11"/>
      <color theme="1"/>
      <name val="맑은 고딕"/>
      <family val="2"/>
      <charset val="129"/>
      <scheme val="minor"/>
    </font>
    <font>
      <sz val="7"/>
      <color theme="1"/>
      <name val="굴림체"/>
      <family val="3"/>
      <charset val="129"/>
    </font>
    <font>
      <b/>
      <u/>
      <sz val="20"/>
      <color theme="1"/>
      <name val="굴림체"/>
      <family val="3"/>
      <charset val="129"/>
    </font>
    <font>
      <sz val="8"/>
      <name val="맑은 고딕"/>
      <family val="2"/>
      <charset val="129"/>
      <scheme val="minor"/>
    </font>
    <font>
      <sz val="8"/>
      <color theme="1"/>
      <name val="굴림체"/>
      <family val="3"/>
      <charset val="129"/>
    </font>
    <font>
      <u/>
      <sz val="20"/>
      <color theme="1"/>
      <name val="굴림체"/>
      <family val="3"/>
      <charset val="129"/>
    </font>
    <font>
      <sz val="9"/>
      <color theme="1"/>
      <name val="굴림체"/>
      <family val="3"/>
      <charset val="129"/>
    </font>
    <font>
      <b/>
      <sz val="8"/>
      <color theme="1"/>
      <name val="굴림체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EEEEEE"/>
        <bgColor indexed="64"/>
      </patternFill>
    </fill>
    <fill>
      <patternFill patternType="solid">
        <fgColor rgb="FFE6E6FA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 shrinkToFit="1"/>
    </xf>
    <xf numFmtId="0" fontId="1" fillId="0" borderId="1" xfId="0" quotePrefix="1" applyFont="1" applyBorder="1" applyAlignment="1">
      <alignment vertical="center" shrinkToFit="1"/>
    </xf>
    <xf numFmtId="0" fontId="1" fillId="0" borderId="1" xfId="0" quotePrefix="1" applyFont="1" applyBorder="1" applyAlignment="1">
      <alignment horizontal="center" vertical="center" shrinkToFit="1"/>
    </xf>
    <xf numFmtId="0" fontId="1" fillId="0" borderId="1" xfId="0" applyFont="1" applyBorder="1" applyAlignment="1">
      <alignment horizontal="right" vertical="center" shrinkToFit="1"/>
    </xf>
    <xf numFmtId="176" fontId="1" fillId="0" borderId="1" xfId="0" applyNumberFormat="1" applyFont="1" applyBorder="1" applyAlignment="1">
      <alignment horizontal="right" vertical="center" shrinkToFit="1"/>
    </xf>
    <xf numFmtId="0" fontId="1" fillId="0" borderId="1" xfId="0" quotePrefix="1" applyFont="1" applyBorder="1" applyAlignment="1">
      <alignment horizontal="left" vertical="center" shrinkToFit="1"/>
    </xf>
    <xf numFmtId="0" fontId="1" fillId="0" borderId="1" xfId="0" applyFont="1" applyBorder="1" applyAlignment="1">
      <alignment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left" vertical="center" shrinkToFi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quotePrefix="1" applyFont="1" applyAlignment="1">
      <alignment vertical="center"/>
    </xf>
    <xf numFmtId="0" fontId="4" fillId="2" borderId="1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177" fontId="4" fillId="0" borderId="1" xfId="0" applyNumberFormat="1" applyFont="1" applyBorder="1" applyAlignment="1">
      <alignment horizontal="right" vertical="center" shrinkToFit="1"/>
    </xf>
    <xf numFmtId="178" fontId="4" fillId="0" borderId="1" xfId="0" applyNumberFormat="1" applyFont="1" applyBorder="1" applyAlignment="1">
      <alignment horizontal="right" vertical="center" shrinkToFit="1"/>
    </xf>
    <xf numFmtId="0" fontId="4" fillId="0" borderId="1" xfId="0" quotePrefix="1" applyFont="1" applyBorder="1" applyAlignment="1">
      <alignment horizontal="right" vertical="center" shrinkToFit="1"/>
    </xf>
    <xf numFmtId="0" fontId="4" fillId="0" borderId="1" xfId="0" applyFont="1" applyBorder="1" applyAlignment="1">
      <alignment horizontal="right" vertical="center" shrinkToFit="1"/>
    </xf>
    <xf numFmtId="0" fontId="4" fillId="0" borderId="1" xfId="0" quotePrefix="1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4" fillId="0" borderId="0" xfId="0" applyFont="1" applyAlignment="1">
      <alignment horizontal="left" vertical="center"/>
    </xf>
    <xf numFmtId="0" fontId="4" fillId="0" borderId="1" xfId="0" quotePrefix="1" applyFont="1" applyBorder="1" applyAlignment="1">
      <alignment vertical="center" shrinkToFit="1"/>
    </xf>
    <xf numFmtId="179" fontId="4" fillId="0" borderId="1" xfId="0" applyNumberFormat="1" applyFont="1" applyBorder="1" applyAlignment="1">
      <alignment horizontal="center" vertical="center" shrinkToFit="1"/>
    </xf>
    <xf numFmtId="0" fontId="4" fillId="0" borderId="1" xfId="0" quotePrefix="1" applyFont="1" applyBorder="1" applyAlignment="1">
      <alignment horizontal="left" vertical="center" shrinkToFit="1"/>
    </xf>
    <xf numFmtId="0" fontId="4" fillId="0" borderId="1" xfId="0" applyFont="1" applyBorder="1" applyAlignment="1">
      <alignment horizontal="left" vertical="center" shrinkToFit="1"/>
    </xf>
    <xf numFmtId="0" fontId="4" fillId="0" borderId="2" xfId="0" applyFont="1" applyBorder="1" applyAlignment="1">
      <alignment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right" vertical="center" shrinkToFit="1"/>
    </xf>
    <xf numFmtId="0" fontId="4" fillId="0" borderId="2" xfId="0" applyFont="1" applyBorder="1" applyAlignment="1">
      <alignment horizontal="left" vertical="center" shrinkToFit="1"/>
    </xf>
    <xf numFmtId="0" fontId="6" fillId="0" borderId="0" xfId="0" applyFont="1" applyAlignment="1">
      <alignment vertical="center"/>
    </xf>
    <xf numFmtId="178" fontId="6" fillId="0" borderId="0" xfId="0" applyNumberFormat="1" applyFont="1" applyAlignment="1">
      <alignment vertical="center"/>
    </xf>
    <xf numFmtId="0" fontId="6" fillId="0" borderId="0" xfId="0" quotePrefix="1" applyFont="1" applyAlignment="1">
      <alignment vertical="center"/>
    </xf>
    <xf numFmtId="10" fontId="6" fillId="0" borderId="0" xfId="0" applyNumberFormat="1" applyFont="1" applyAlignment="1">
      <alignment vertical="center"/>
    </xf>
    <xf numFmtId="9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6" fillId="0" borderId="3" xfId="0" quotePrefix="1" applyFont="1" applyBorder="1" applyAlignment="1">
      <alignment horizontal="center" vertical="center" shrinkToFit="1"/>
    </xf>
    <xf numFmtId="0" fontId="6" fillId="0" borderId="3" xfId="0" quotePrefix="1" applyFont="1" applyBorder="1" applyAlignment="1">
      <alignment vertical="center" shrinkToFit="1"/>
    </xf>
    <xf numFmtId="178" fontId="6" fillId="0" borderId="3" xfId="0" applyNumberFormat="1" applyFont="1" applyBorder="1" applyAlignment="1">
      <alignment vertical="center" shrinkToFit="1"/>
    </xf>
    <xf numFmtId="0" fontId="6" fillId="0" borderId="4" xfId="0" quotePrefix="1" applyFont="1" applyBorder="1" applyAlignment="1">
      <alignment horizontal="center" vertical="center" shrinkToFit="1"/>
    </xf>
    <xf numFmtId="0" fontId="6" fillId="0" borderId="4" xfId="0" quotePrefix="1" applyFont="1" applyBorder="1" applyAlignment="1">
      <alignment vertical="center" shrinkToFit="1"/>
    </xf>
    <xf numFmtId="178" fontId="6" fillId="0" borderId="4" xfId="0" applyNumberFormat="1" applyFont="1" applyBorder="1" applyAlignment="1">
      <alignment vertical="center" shrinkToFit="1"/>
    </xf>
    <xf numFmtId="0" fontId="6" fillId="0" borderId="5" xfId="0" quotePrefix="1" applyFont="1" applyBorder="1" applyAlignment="1">
      <alignment horizontal="center" vertical="center" shrinkToFit="1"/>
    </xf>
    <xf numFmtId="0" fontId="6" fillId="0" borderId="5" xfId="0" quotePrefix="1" applyFont="1" applyBorder="1" applyAlignment="1">
      <alignment vertical="center" shrinkToFit="1"/>
    </xf>
    <xf numFmtId="178" fontId="6" fillId="0" borderId="5" xfId="0" applyNumberFormat="1" applyFont="1" applyBorder="1" applyAlignment="1">
      <alignment vertical="center" shrinkToFit="1"/>
    </xf>
    <xf numFmtId="0" fontId="6" fillId="0" borderId="1" xfId="0" quotePrefix="1" applyFont="1" applyBorder="1" applyAlignment="1">
      <alignment horizontal="center" vertical="center" shrinkToFit="1"/>
    </xf>
    <xf numFmtId="0" fontId="6" fillId="0" borderId="1" xfId="0" quotePrefix="1" applyFont="1" applyBorder="1" applyAlignment="1">
      <alignment vertical="center" shrinkToFit="1"/>
    </xf>
    <xf numFmtId="178" fontId="6" fillId="0" borderId="1" xfId="0" applyNumberFormat="1" applyFont="1" applyBorder="1" applyAlignment="1">
      <alignment vertical="center" shrinkToFit="1"/>
    </xf>
    <xf numFmtId="0" fontId="6" fillId="0" borderId="5" xfId="0" applyFont="1" applyBorder="1" applyAlignment="1">
      <alignment vertical="center" shrinkToFit="1"/>
    </xf>
    <xf numFmtId="0" fontId="6" fillId="0" borderId="4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7" fillId="3" borderId="1" xfId="0" applyFont="1" applyFill="1" applyBorder="1" applyAlignment="1">
      <alignment horizontal="distributed" vertical="center" shrinkToFit="1"/>
    </xf>
    <xf numFmtId="0" fontId="4" fillId="3" borderId="1" xfId="0" applyFont="1" applyFill="1" applyBorder="1" applyAlignment="1">
      <alignment vertical="center" shrinkToFit="1"/>
    </xf>
    <xf numFmtId="0" fontId="4" fillId="3" borderId="1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right" vertical="center" shrinkToFit="1"/>
    </xf>
    <xf numFmtId="178" fontId="4" fillId="3" borderId="1" xfId="0" applyNumberFormat="1" applyFont="1" applyFill="1" applyBorder="1" applyAlignment="1">
      <alignment horizontal="right" vertical="center" shrinkToFit="1"/>
    </xf>
    <xf numFmtId="0" fontId="4" fillId="3" borderId="1" xfId="0" applyFont="1" applyFill="1" applyBorder="1" applyAlignment="1">
      <alignment horizontal="left" vertical="center" shrinkToFit="1"/>
    </xf>
    <xf numFmtId="0" fontId="4" fillId="0" borderId="8" xfId="0" applyFont="1" applyBorder="1" applyAlignment="1">
      <alignment vertical="center" shrinkToFit="1"/>
    </xf>
    <xf numFmtId="0" fontId="4" fillId="0" borderId="7" xfId="0" applyFont="1" applyBorder="1" applyAlignment="1">
      <alignment vertical="center" shrinkToFit="1"/>
    </xf>
    <xf numFmtId="0" fontId="7" fillId="0" borderId="6" xfId="0" applyFont="1" applyBorder="1" applyAlignment="1">
      <alignment vertical="center"/>
    </xf>
    <xf numFmtId="0" fontId="6" fillId="0" borderId="6" xfId="0" quotePrefix="1" applyFont="1" applyBorder="1" applyAlignment="1">
      <alignment horizontal="center" vertical="center" shrinkToFit="1"/>
    </xf>
    <xf numFmtId="0" fontId="6" fillId="0" borderId="8" xfId="0" quotePrefix="1" applyFont="1" applyBorder="1" applyAlignment="1">
      <alignment horizontal="center" vertical="center" shrinkToFit="1"/>
    </xf>
    <xf numFmtId="0" fontId="6" fillId="0" borderId="7" xfId="0" quotePrefix="1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6" fillId="2" borderId="9" xfId="0" applyFont="1" applyFill="1" applyBorder="1" applyAlignment="1">
      <alignment horizontal="left" vertical="center" wrapText="1" shrinkToFit="1"/>
    </xf>
    <xf numFmtId="0" fontId="6" fillId="2" borderId="10" xfId="0" applyFont="1" applyFill="1" applyBorder="1" applyAlignment="1">
      <alignment horizontal="left" vertical="center" shrinkToFit="1"/>
    </xf>
    <xf numFmtId="0" fontId="6" fillId="2" borderId="11" xfId="0" applyFont="1" applyFill="1" applyBorder="1" applyAlignment="1">
      <alignment horizontal="left" vertical="center" shrinkToFit="1"/>
    </xf>
    <xf numFmtId="0" fontId="6" fillId="0" borderId="12" xfId="0" applyFont="1" applyBorder="1" applyAlignment="1">
      <alignment horizontal="left" vertical="center" shrinkToFit="1"/>
    </xf>
    <xf numFmtId="0" fontId="6" fillId="0" borderId="13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left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textRotation="255" wrapText="1" shrinkToFit="1"/>
    </xf>
    <xf numFmtId="0" fontId="6" fillId="0" borderId="4" xfId="0" applyFont="1" applyBorder="1" applyAlignment="1">
      <alignment horizontal="center" vertical="center" textRotation="255" wrapText="1" shrinkToFit="1"/>
    </xf>
    <xf numFmtId="0" fontId="6" fillId="0" borderId="5" xfId="0" applyFont="1" applyBorder="1" applyAlignment="1">
      <alignment horizontal="center" vertical="center" textRotation="255" wrapText="1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0" borderId="0" xfId="0" applyFont="1" applyAlignment="1">
      <alignment vertical="center" shrinkToFit="1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19D86"/>
    <pageSetUpPr fitToPage="1"/>
  </sheetPr>
  <dimension ref="A1:J32"/>
  <sheetViews>
    <sheetView tabSelected="1" workbookViewId="0">
      <selection activeCell="A2" sqref="A2:F2"/>
    </sheetView>
  </sheetViews>
  <sheetFormatPr defaultRowHeight="11.25"/>
  <cols>
    <col min="1" max="2" width="3.625" style="41" customWidth="1"/>
    <col min="3" max="3" width="20.625" style="41" customWidth="1"/>
    <col min="4" max="4" width="44.625" style="36" customWidth="1"/>
    <col min="5" max="5" width="28.625" style="36" customWidth="1"/>
    <col min="6" max="6" width="18.625" style="36" customWidth="1"/>
    <col min="7" max="10" width="0" style="36" hidden="1" customWidth="1"/>
    <col min="11" max="16384" width="9" style="36"/>
  </cols>
  <sheetData>
    <row r="1" spans="1:10" ht="26.1" customHeight="1">
      <c r="A1" s="71" t="s">
        <v>133</v>
      </c>
      <c r="B1" s="71"/>
      <c r="C1" s="71"/>
      <c r="D1" s="71"/>
      <c r="E1" s="71"/>
      <c r="F1" s="71"/>
    </row>
    <row r="2" spans="1:10" ht="15" customHeight="1">
      <c r="A2" s="72" t="s">
        <v>134</v>
      </c>
      <c r="B2" s="72"/>
      <c r="C2" s="72"/>
      <c r="D2" s="72"/>
      <c r="E2" s="72"/>
      <c r="F2" s="72"/>
    </row>
    <row r="3" spans="1:10" ht="15" customHeight="1">
      <c r="A3" s="73" t="s">
        <v>70</v>
      </c>
      <c r="B3" s="74"/>
      <c r="C3" s="75"/>
      <c r="D3" s="79" t="s">
        <v>71</v>
      </c>
      <c r="E3" s="79" t="s">
        <v>72</v>
      </c>
      <c r="F3" s="79" t="s">
        <v>73</v>
      </c>
    </row>
    <row r="4" spans="1:10" ht="15" customHeight="1">
      <c r="A4" s="76"/>
      <c r="B4" s="77"/>
      <c r="C4" s="78"/>
      <c r="D4" s="80"/>
      <c r="E4" s="80"/>
      <c r="F4" s="80"/>
    </row>
    <row r="5" spans="1:10" ht="15" customHeight="1">
      <c r="A5" s="81" t="s">
        <v>127</v>
      </c>
      <c r="B5" s="81" t="s">
        <v>128</v>
      </c>
      <c r="C5" s="44" t="s">
        <v>74</v>
      </c>
      <c r="D5" s="45" t="s">
        <v>15</v>
      </c>
      <c r="E5" s="46">
        <f>집계표!F24-집계표!AL24</f>
        <v>34895000</v>
      </c>
      <c r="F5" s="45" t="s">
        <v>15</v>
      </c>
      <c r="G5" s="38" t="s">
        <v>75</v>
      </c>
      <c r="I5" s="37">
        <f>E5</f>
        <v>34895000</v>
      </c>
    </row>
    <row r="6" spans="1:10" ht="15" customHeight="1">
      <c r="A6" s="82"/>
      <c r="B6" s="82"/>
      <c r="C6" s="47" t="s">
        <v>76</v>
      </c>
      <c r="D6" s="48" t="s">
        <v>15</v>
      </c>
      <c r="E6" s="49">
        <f>ROUNDDOWN(SUMIF($G$5:$G$32,"A1",$E$5:$E$32)*J6,0)</f>
        <v>0</v>
      </c>
      <c r="F6" s="48" t="s">
        <v>15</v>
      </c>
      <c r="G6" s="38" t="s">
        <v>77</v>
      </c>
      <c r="I6" s="37">
        <f>E6</f>
        <v>0</v>
      </c>
    </row>
    <row r="7" spans="1:10" ht="15" customHeight="1">
      <c r="A7" s="82"/>
      <c r="B7" s="82"/>
      <c r="C7" s="50" t="s">
        <v>78</v>
      </c>
      <c r="D7" s="51" t="s">
        <v>15</v>
      </c>
      <c r="E7" s="52">
        <f>집계표!T24</f>
        <v>0</v>
      </c>
      <c r="F7" s="51" t="s">
        <v>15</v>
      </c>
      <c r="G7" s="38" t="s">
        <v>79</v>
      </c>
      <c r="I7" s="37">
        <f>E7</f>
        <v>0</v>
      </c>
    </row>
    <row r="8" spans="1:10" ht="15" customHeight="1">
      <c r="A8" s="82"/>
      <c r="B8" s="83"/>
      <c r="C8" s="53" t="s">
        <v>80</v>
      </c>
      <c r="D8" s="54" t="s">
        <v>15</v>
      </c>
      <c r="E8" s="55">
        <f>SUM(E5:E6)-ABS(SUMIF($G$5:$G$32,"A3",$E$5:$E$32))</f>
        <v>34895000</v>
      </c>
      <c r="F8" s="54" t="s">
        <v>15</v>
      </c>
      <c r="G8" s="38" t="s">
        <v>81</v>
      </c>
      <c r="I8" s="37">
        <f>E8</f>
        <v>34895000</v>
      </c>
    </row>
    <row r="9" spans="1:10" ht="15" customHeight="1">
      <c r="A9" s="82"/>
      <c r="B9" s="81" t="s">
        <v>129</v>
      </c>
      <c r="C9" s="44" t="s">
        <v>82</v>
      </c>
      <c r="D9" s="45" t="s">
        <v>15</v>
      </c>
      <c r="E9" s="46">
        <f>집계표!H24</f>
        <v>2070000</v>
      </c>
      <c r="F9" s="45" t="s">
        <v>15</v>
      </c>
      <c r="G9" s="38" t="s">
        <v>83</v>
      </c>
      <c r="I9" s="37">
        <f>E9</f>
        <v>2070000</v>
      </c>
    </row>
    <row r="10" spans="1:10" ht="15" customHeight="1">
      <c r="A10" s="82"/>
      <c r="B10" s="82"/>
      <c r="C10" s="50" t="s">
        <v>84</v>
      </c>
      <c r="D10" s="56" t="str">
        <f>"직.노*"&amp;H10*100&amp;"%"</f>
        <v>직.노*9.9%</v>
      </c>
      <c r="E10" s="52">
        <f>ROUNDDOWN(SUMIF($G$5:$G$32,"B1",$E$5:$E$32)*J10,0)</f>
        <v>204930</v>
      </c>
      <c r="F10" s="51" t="s">
        <v>15</v>
      </c>
      <c r="G10" s="38" t="s">
        <v>85</v>
      </c>
      <c r="H10" s="39">
        <v>9.9000000000000005E-2</v>
      </c>
      <c r="I10" s="37">
        <f>ROUNDDOWN(SUMIF($G$5:$G$32,"B1",$I$5:$I$32)*H10,0)</f>
        <v>204930</v>
      </c>
      <c r="J10" s="39">
        <v>9.9000000000000005E-2</v>
      </c>
    </row>
    <row r="11" spans="1:10" ht="15" customHeight="1">
      <c r="A11" s="82"/>
      <c r="B11" s="83"/>
      <c r="C11" s="53" t="s">
        <v>86</v>
      </c>
      <c r="D11" s="54" t="s">
        <v>15</v>
      </c>
      <c r="E11" s="55">
        <f>SUM(E9:E10)</f>
        <v>2274930</v>
      </c>
      <c r="F11" s="54" t="s">
        <v>15</v>
      </c>
      <c r="G11" s="38" t="s">
        <v>87</v>
      </c>
      <c r="I11" s="37">
        <f>E11</f>
        <v>2274930</v>
      </c>
    </row>
    <row r="12" spans="1:10" ht="15" customHeight="1">
      <c r="A12" s="82"/>
      <c r="B12" s="81" t="s">
        <v>130</v>
      </c>
      <c r="C12" s="44" t="s">
        <v>88</v>
      </c>
      <c r="D12" s="45" t="s">
        <v>15</v>
      </c>
      <c r="E12" s="46">
        <f>집계표!R24</f>
        <v>600000</v>
      </c>
      <c r="F12" s="45" t="s">
        <v>15</v>
      </c>
      <c r="G12" s="38" t="s">
        <v>89</v>
      </c>
      <c r="I12" s="37">
        <f>E12</f>
        <v>600000</v>
      </c>
    </row>
    <row r="13" spans="1:10" ht="15" customHeight="1">
      <c r="A13" s="82"/>
      <c r="B13" s="82"/>
      <c r="C13" s="47" t="s">
        <v>90</v>
      </c>
      <c r="D13" s="57" t="str">
        <f>"(노)*"&amp;H13*100&amp;"%"</f>
        <v>(노)*3.8%</v>
      </c>
      <c r="E13" s="49">
        <f>ROUNDDOWN((SUMIF($G$5:$G$32,"B",$E$5:$E$32))*J13,0)</f>
        <v>86447</v>
      </c>
      <c r="F13" s="48" t="s">
        <v>15</v>
      </c>
      <c r="G13" s="38" t="s">
        <v>91</v>
      </c>
      <c r="H13" s="39">
        <v>3.7999999999999999E-2</v>
      </c>
      <c r="I13" s="37">
        <f>ROUNDDOWN((SUMIF($G$5:$G$32,"B",$I$5:$I$32))*H13,0)</f>
        <v>86447</v>
      </c>
      <c r="J13" s="39">
        <v>3.7999999999999999E-2</v>
      </c>
    </row>
    <row r="14" spans="1:10" ht="15" customHeight="1">
      <c r="A14" s="82"/>
      <c r="B14" s="82"/>
      <c r="C14" s="47" t="s">
        <v>92</v>
      </c>
      <c r="D14" s="57" t="str">
        <f>"(노)*"&amp;H14*100&amp;"%"</f>
        <v>(노)*0.87%</v>
      </c>
      <c r="E14" s="49">
        <f>ROUNDDOWN((SUMIF($G$5:$G$32,"B",$E$5:$E$32))*J14,0)</f>
        <v>19791</v>
      </c>
      <c r="F14" s="48" t="s">
        <v>15</v>
      </c>
      <c r="G14" s="38" t="s">
        <v>93</v>
      </c>
      <c r="H14" s="39">
        <v>8.6999999999999994E-3</v>
      </c>
      <c r="I14" s="37">
        <f>ROUNDDOWN((SUMIF($G$5:$G$32,"B",$I$5:$I$32))*H14,0)</f>
        <v>19791</v>
      </c>
      <c r="J14" s="39">
        <v>8.6999999999999994E-3</v>
      </c>
    </row>
    <row r="15" spans="1:10" ht="15" customHeight="1">
      <c r="A15" s="82"/>
      <c r="B15" s="82"/>
      <c r="C15" s="47" t="s">
        <v>94</v>
      </c>
      <c r="D15" s="48" t="s">
        <v>15</v>
      </c>
      <c r="E15" s="49">
        <f>ROUNDDOWN((SUMIF($G$5:$G$32,"B1",$E$5:$E$32))*J15,0)</f>
        <v>0</v>
      </c>
      <c r="F15" s="48" t="s">
        <v>15</v>
      </c>
      <c r="G15" s="38" t="s">
        <v>95</v>
      </c>
      <c r="I15" s="37">
        <f>ROUNDDOWN((SUMIF($G$5:$G$32,"B1",$I$5:$I$32))*H15,0)</f>
        <v>0</v>
      </c>
    </row>
    <row r="16" spans="1:10" ht="15" customHeight="1">
      <c r="A16" s="82"/>
      <c r="B16" s="82"/>
      <c r="C16" s="47" t="s">
        <v>96</v>
      </c>
      <c r="D16" s="48" t="s">
        <v>15</v>
      </c>
      <c r="E16" s="49">
        <f>ROUNDDOWN((SUMIF($G$5:$G$32,"B1",$E$5:$E$32))*J16,0)</f>
        <v>0</v>
      </c>
      <c r="F16" s="48" t="s">
        <v>15</v>
      </c>
      <c r="G16" s="38" t="s">
        <v>97</v>
      </c>
      <c r="I16" s="37">
        <f>ROUNDDOWN((SUMIF($G$5:$G$32,"B1",$I$5:$I$32))*H16,0)</f>
        <v>0</v>
      </c>
    </row>
    <row r="17" spans="1:10" ht="15" customHeight="1">
      <c r="A17" s="82"/>
      <c r="B17" s="82"/>
      <c r="C17" s="47" t="s">
        <v>98</v>
      </c>
      <c r="D17" s="48" t="s">
        <v>15</v>
      </c>
      <c r="E17" s="49">
        <f>ROUNDDOWN((SUMIF($G$5:$G$32,"C12",$E$5:$E$32))*J17,0)</f>
        <v>0</v>
      </c>
      <c r="F17" s="48" t="s">
        <v>15</v>
      </c>
      <c r="G17" s="38" t="s">
        <v>99</v>
      </c>
      <c r="I17" s="37">
        <f>ROUNDDOWN((SUMIF($G$5:$G$32,"C12",$I$5:$I$32))*H17,0)</f>
        <v>0</v>
      </c>
    </row>
    <row r="18" spans="1:10" ht="15" customHeight="1">
      <c r="A18" s="82"/>
      <c r="B18" s="82"/>
      <c r="C18" s="47" t="s">
        <v>100</v>
      </c>
      <c r="D18" s="48" t="s">
        <v>15</v>
      </c>
      <c r="E18" s="49">
        <f>ROUNDDOWN((SUMIF($G$5:$G$32,"B1",$E$5:$E$32))*J18,0)</f>
        <v>0</v>
      </c>
      <c r="F18" s="48" t="s">
        <v>15</v>
      </c>
      <c r="G18" s="38" t="s">
        <v>101</v>
      </c>
      <c r="I18" s="37">
        <f>ROUNDDOWN((SUMIF($G$5:$G$32,"B1",$I$5:$I$32))*H18,0)</f>
        <v>0</v>
      </c>
    </row>
    <row r="19" spans="1:10" ht="15" customHeight="1">
      <c r="A19" s="82"/>
      <c r="B19" s="82"/>
      <c r="C19" s="47" t="s">
        <v>102</v>
      </c>
      <c r="D19" s="48" t="s">
        <v>15</v>
      </c>
      <c r="E19" s="49">
        <f>ROUNDDOWN((SUMIF($G$5:$G$32,"A",$E$5:$E$32)+SUMIF($G$5:$G$32,"B1",$E$5:$E$32))*J19,0)</f>
        <v>0</v>
      </c>
      <c r="F19" s="48" t="s">
        <v>15</v>
      </c>
      <c r="G19" s="38" t="s">
        <v>103</v>
      </c>
      <c r="I19" s="37">
        <f>ROUNDDOWN((SUMIF($G$5:$G$32,"A",$I$5:$I$32)+SUMIF($G$5:$G$32,"B1",$I$5:$I$32))*H19,0)</f>
        <v>0</v>
      </c>
    </row>
    <row r="20" spans="1:10" ht="15" customHeight="1">
      <c r="A20" s="82"/>
      <c r="B20" s="82"/>
      <c r="C20" s="47" t="s">
        <v>104</v>
      </c>
      <c r="D20" s="57" t="str">
        <f>"(재+노)*"&amp;H20*100&amp;"%"</f>
        <v>(재+노)*5%</v>
      </c>
      <c r="E20" s="49">
        <f>ROUNDDOWN((SUMIF($G$5:$G$32,"A",$E$5:$E$32)+SUMIF($G$5:$G$32,"B",$E$5:$E$32))*J20,0)</f>
        <v>1858496</v>
      </c>
      <c r="F20" s="48" t="s">
        <v>15</v>
      </c>
      <c r="G20" s="38" t="s">
        <v>105</v>
      </c>
      <c r="H20" s="40">
        <v>0.05</v>
      </c>
      <c r="I20" s="37">
        <f>ROUNDDOWN((SUMIF($G$5:$G$32,"A",$I$5:$I$32)+SUMIF($G$5:$G$32,"B",$I$5:$I$32))*H20,0)</f>
        <v>1858496</v>
      </c>
      <c r="J20" s="40">
        <v>0.05</v>
      </c>
    </row>
    <row r="21" spans="1:10" ht="15" customHeight="1">
      <c r="A21" s="82"/>
      <c r="B21" s="82"/>
      <c r="C21" s="47" t="s">
        <v>106</v>
      </c>
      <c r="D21" s="48" t="s">
        <v>15</v>
      </c>
      <c r="E21" s="49">
        <f>ROUNDDOWN((SUMIF($G$5:$G$32,"A",$E$5:$E$32)+SUMIF($G$5:$G$32,"B1",$E$5:$E$32)+SUMIF($G$5:$G$32,"C4",$E$5:$E$32))*J21,0)</f>
        <v>0</v>
      </c>
      <c r="F21" s="48" t="s">
        <v>15</v>
      </c>
      <c r="G21" s="38" t="s">
        <v>107</v>
      </c>
      <c r="I21" s="37">
        <f>ROUNDDOWN((SUMIF($G$5:$G$32,"A",$I$5:$I$32)+SUMIF($G$5:$G$32,"B1",$I$5:$I$32)+SUMIF($G$5:$G$32,"C4",$I$5:$I$32))*H21,0)</f>
        <v>0</v>
      </c>
    </row>
    <row r="22" spans="1:10" ht="15" customHeight="1">
      <c r="A22" s="82"/>
      <c r="B22" s="82"/>
      <c r="C22" s="47" t="s">
        <v>108</v>
      </c>
      <c r="D22" s="48" t="s">
        <v>15</v>
      </c>
      <c r="E22" s="49">
        <f>ROUNDDOWN((SUMIF($G$5:$G$32,"A",$E$5:$E$32)+SUMIF($G$5:$G$32,"B1",$E$5:$E$32)+SUMIF($G$5:$G$32,"C4",$E$5:$E$32))*J22,0)</f>
        <v>0</v>
      </c>
      <c r="F22" s="48" t="s">
        <v>15</v>
      </c>
      <c r="G22" s="38" t="s">
        <v>109</v>
      </c>
      <c r="I22" s="37">
        <f>ROUNDDOWN((SUMIF($G$5:$G$32,"A",$I$5:$I$32)+SUMIF($G$5:$G$32,"B1",$I$5:$I$32)+SUMIF($G$5:$G$32,"C4",$I$5:$I$32))*H22,0)</f>
        <v>0</v>
      </c>
    </row>
    <row r="23" spans="1:10" ht="15" customHeight="1">
      <c r="A23" s="82"/>
      <c r="B23" s="82"/>
      <c r="C23" s="50" t="s">
        <v>110</v>
      </c>
      <c r="D23" s="51" t="s">
        <v>15</v>
      </c>
      <c r="E23" s="52">
        <f>ROUNDDOWN((SUMIF($G$5:$G$32,"A",$E$5:$E$32)+SUMIF($G$5:$G$32,"B1",$E$5:$E$32)+SUMIF($G$5:$G$32,"C4",$E$5:$E$32))*J23,0)</f>
        <v>0</v>
      </c>
      <c r="F23" s="51" t="s">
        <v>15</v>
      </c>
      <c r="G23" s="38" t="s">
        <v>111</v>
      </c>
      <c r="I23" s="37">
        <f>ROUNDDOWN((SUMIF($G$5:$G$32,"A",$I$5:$I$32)+SUMIF($G$5:$G$32,"B1",$I$5:$I$32)+SUMIF($G$5:$G$32,"C4",$I$5:$I$32))*H23,0)</f>
        <v>0</v>
      </c>
    </row>
    <row r="24" spans="1:10" ht="15" customHeight="1">
      <c r="A24" s="82"/>
      <c r="B24" s="83"/>
      <c r="C24" s="53" t="s">
        <v>86</v>
      </c>
      <c r="D24" s="54" t="s">
        <v>15</v>
      </c>
      <c r="E24" s="55">
        <f>SUM(E12:E23)</f>
        <v>2564734</v>
      </c>
      <c r="F24" s="54" t="s">
        <v>15</v>
      </c>
      <c r="G24" s="38" t="s">
        <v>112</v>
      </c>
      <c r="I24" s="37">
        <f>E24</f>
        <v>2564734</v>
      </c>
    </row>
    <row r="25" spans="1:10" ht="15" customHeight="1">
      <c r="A25" s="83"/>
      <c r="B25" s="68" t="s">
        <v>113</v>
      </c>
      <c r="C25" s="70"/>
      <c r="D25" s="54" t="s">
        <v>15</v>
      </c>
      <c r="E25" s="55">
        <f>SUMIF($G$5:$G$32,"A",$E$5:$E$32)+SUMIF($G$5:$G$32,"B",$E$5:$E$32)+SUMIF($G$5:$G$32,"C",$E$5:$E$32)</f>
        <v>39734664</v>
      </c>
      <c r="F25" s="54" t="s">
        <v>15</v>
      </c>
      <c r="G25" s="38" t="s">
        <v>114</v>
      </c>
      <c r="I25" s="37">
        <f>E25</f>
        <v>39734664</v>
      </c>
    </row>
    <row r="26" spans="1:10" ht="15" customHeight="1">
      <c r="A26" s="68" t="s">
        <v>115</v>
      </c>
      <c r="B26" s="69"/>
      <c r="C26" s="70"/>
      <c r="D26" s="58" t="str">
        <f>"(재+노+경)*"&amp;H26*100&amp;"%"</f>
        <v>(재+노+경)*6%</v>
      </c>
      <c r="E26" s="55">
        <f>ROUNDDOWN((SUMIF($G$5:$G$32,"A",$E$5:$E$32)+SUMIF($G$5:$G$32,"B",$E$5:$E$32)+SUMIF($G$5:$G$32,"C",$E$5:$E$32))*J26,0)</f>
        <v>2384079</v>
      </c>
      <c r="F26" s="54" t="s">
        <v>15</v>
      </c>
      <c r="G26" s="38" t="s">
        <v>116</v>
      </c>
      <c r="H26" s="40">
        <v>0.06</v>
      </c>
      <c r="I26" s="37">
        <f>ROUNDDOWN((SUMIF($G$5:$G$32,"A",$I$5:$I$32)+SUMIF($G$5:$G$32,"B",$I$5:$I$32)+SUMIF($G$5:$G$32,"C",$I$5:$I$32))*H26,0)</f>
        <v>2384079</v>
      </c>
      <c r="J26" s="40">
        <v>0.06</v>
      </c>
    </row>
    <row r="27" spans="1:10" ht="15" customHeight="1">
      <c r="A27" s="68" t="s">
        <v>117</v>
      </c>
      <c r="B27" s="69"/>
      <c r="C27" s="70"/>
      <c r="D27" s="58" t="str">
        <f>"(노+경+일)*"&amp;H27*100&amp;"%"</f>
        <v>(노+경+일)*15%</v>
      </c>
      <c r="E27" s="55">
        <f>ROUNDDOWN(SUMIF($G$5:$G$32,"F",$E$5:$E$32)-SUMIF($G$5:$G$32,"L",$E$5:$E$32)-SUMIF($G$5:$G$32,"D",$E$5:$E$32)-SUMIF($G$5:$G$32,"X",$E$5:$E$32),0)</f>
        <v>1083075</v>
      </c>
      <c r="F27" s="54" t="s">
        <v>15</v>
      </c>
      <c r="G27" s="38" t="s">
        <v>118</v>
      </c>
      <c r="H27" s="40">
        <v>0.15</v>
      </c>
      <c r="I27" s="37">
        <f>ROUND((SUMIF($G$5:$G$32,"B",$I$5:$I$32)+SUMIF($G$5:$G$32,"C",$I$5:$I$32)+SUMIF($G$5:$G$32,"D",$I$5:$I$32))*H27, 0)+K27</f>
        <v>1083561</v>
      </c>
      <c r="J27" s="40">
        <v>0.15</v>
      </c>
    </row>
    <row r="28" spans="1:10" ht="15" customHeight="1">
      <c r="A28" s="68" t="s">
        <v>119</v>
      </c>
      <c r="B28" s="69"/>
      <c r="C28" s="70"/>
      <c r="D28" s="54" t="s">
        <v>15</v>
      </c>
      <c r="E28" s="55">
        <f>집계표!X24</f>
        <v>0</v>
      </c>
      <c r="F28" s="54" t="s">
        <v>15</v>
      </c>
      <c r="G28" s="38" t="s">
        <v>120</v>
      </c>
      <c r="I28" s="37">
        <f>E28</f>
        <v>0</v>
      </c>
    </row>
    <row r="29" spans="1:10" ht="15" customHeight="1">
      <c r="A29" s="68" t="s">
        <v>121</v>
      </c>
      <c r="B29" s="69"/>
      <c r="C29" s="70"/>
      <c r="D29" s="54" t="s">
        <v>15</v>
      </c>
      <c r="E29" s="55">
        <f>INT((SUMIF($G$5:$G$32,"Y",$E$5:$E$32))/1.1)</f>
        <v>43201818</v>
      </c>
      <c r="F29" s="54" t="s">
        <v>15</v>
      </c>
      <c r="G29" s="38" t="s">
        <v>122</v>
      </c>
      <c r="I29" s="37">
        <f>SUM(I25:I28)</f>
        <v>43202304</v>
      </c>
    </row>
    <row r="30" spans="1:10" ht="15" customHeight="1">
      <c r="A30" s="68" t="s">
        <v>123</v>
      </c>
      <c r="B30" s="69"/>
      <c r="C30" s="70"/>
      <c r="D30" s="58" t="str">
        <f>"(총원가)*"&amp;H30*100&amp;"%"</f>
        <v>(총원가)*10%</v>
      </c>
      <c r="E30" s="55">
        <f>ROUND(SUMIF($G$5:$G$32,"F",$E$5:$E$32)*0.1,0)</f>
        <v>4320182</v>
      </c>
      <c r="F30" s="54" t="s">
        <v>15</v>
      </c>
      <c r="G30" s="38" t="s">
        <v>124</v>
      </c>
      <c r="H30" s="40">
        <v>0.1</v>
      </c>
      <c r="I30" s="37">
        <f>ROUND((SUMIF($G$5:$G$32,"F",$I$5:$I$32))*H30,0)</f>
        <v>4320230</v>
      </c>
      <c r="J30" s="40">
        <v>0.1</v>
      </c>
    </row>
    <row r="31" spans="1:10" ht="15" customHeight="1">
      <c r="A31" s="68" t="s">
        <v>125</v>
      </c>
      <c r="B31" s="69"/>
      <c r="C31" s="70"/>
      <c r="D31" s="54" t="s">
        <v>15</v>
      </c>
      <c r="E31" s="55">
        <f>INT(I31/1000)*1000</f>
        <v>47522000</v>
      </c>
      <c r="F31" s="54" t="s">
        <v>15</v>
      </c>
      <c r="G31" s="38" t="s">
        <v>126</v>
      </c>
      <c r="I31" s="37">
        <f>ROUNDDOWN(SUMIF($G$5:$G$32,"F",$I$5:$I$32)+SUMIF($G$5:$G$32,"H",$I$5:$I$32)+SUMIF($G$5:$G$32,"A3",$I$5:$I$32),0)</f>
        <v>47522534</v>
      </c>
    </row>
    <row r="32" spans="1:10" ht="15.95" customHeight="1">
      <c r="A32" s="42"/>
      <c r="B32" s="42"/>
      <c r="C32" s="42"/>
      <c r="D32" s="43"/>
      <c r="E32" s="43"/>
      <c r="F32" s="43"/>
    </row>
  </sheetData>
  <mergeCells count="17">
    <mergeCell ref="A27:C27"/>
    <mergeCell ref="A28:C28"/>
    <mergeCell ref="A29:C29"/>
    <mergeCell ref="A30:C30"/>
    <mergeCell ref="A31:C31"/>
    <mergeCell ref="A26:C26"/>
    <mergeCell ref="A1:F1"/>
    <mergeCell ref="A2:F2"/>
    <mergeCell ref="A3:C4"/>
    <mergeCell ref="D3:D4"/>
    <mergeCell ref="E3:E4"/>
    <mergeCell ref="F3:F4"/>
    <mergeCell ref="A5:A25"/>
    <mergeCell ref="B5:B8"/>
    <mergeCell ref="B9:B11"/>
    <mergeCell ref="B12:B24"/>
    <mergeCell ref="B25:C25"/>
  </mergeCells>
  <phoneticPr fontId="3" type="noConversion"/>
  <pageMargins left="0.74803149606299213" right="0.19685039370078738" top="0.74803149606299213" bottom="0.55118110236220463" header="0.51181102362204722" footer="0.51181102362204722"/>
  <pageSetup paperSize="9" fitToHeight="200" orientation="landscape" horizontalDpi="4294967293" verticalDpi="4294967293" r:id="rId1"/>
  <rowBreaks count="1" manualBreakCount="1">
    <brk id="3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19D86"/>
  </sheetPr>
  <dimension ref="A1:AL25"/>
  <sheetViews>
    <sheetView workbookViewId="0">
      <selection activeCell="A8" sqref="A8"/>
    </sheetView>
  </sheetViews>
  <sheetFormatPr defaultRowHeight="10.5"/>
  <cols>
    <col min="1" max="1" width="21.625" style="14" customWidth="1"/>
    <col min="2" max="2" width="13.625" style="14" customWidth="1"/>
    <col min="3" max="3" width="3.625" style="15" customWidth="1"/>
    <col min="4" max="4" width="6.625" style="15" customWidth="1"/>
    <col min="5" max="12" width="8.625" style="16" customWidth="1"/>
    <col min="13" max="13" width="6.625" style="27" customWidth="1"/>
    <col min="14" max="38" width="0" style="14" hidden="1" customWidth="1"/>
    <col min="39" max="16384" width="9" style="14"/>
  </cols>
  <sheetData>
    <row r="1" spans="1:38" ht="26.1" customHeight="1">
      <c r="A1" s="71" t="s">
        <v>66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38" ht="20.100000000000001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38" ht="20.100000000000001" customHeight="1">
      <c r="A3" s="84" t="s">
        <v>21</v>
      </c>
      <c r="B3" s="84" t="s">
        <v>22</v>
      </c>
      <c r="C3" s="84" t="s">
        <v>3</v>
      </c>
      <c r="D3" s="84" t="s">
        <v>67</v>
      </c>
      <c r="E3" s="84" t="s">
        <v>24</v>
      </c>
      <c r="F3" s="84"/>
      <c r="G3" s="84" t="s">
        <v>25</v>
      </c>
      <c r="H3" s="84"/>
      <c r="I3" s="84" t="s">
        <v>26</v>
      </c>
      <c r="J3" s="84"/>
      <c r="K3" s="84" t="s">
        <v>27</v>
      </c>
      <c r="L3" s="84"/>
      <c r="M3" s="84" t="s">
        <v>28</v>
      </c>
    </row>
    <row r="4" spans="1:38" ht="20.100000000000001" customHeight="1">
      <c r="A4" s="84"/>
      <c r="B4" s="84"/>
      <c r="C4" s="84"/>
      <c r="D4" s="84"/>
      <c r="E4" s="18" t="s">
        <v>29</v>
      </c>
      <c r="F4" s="18" t="s">
        <v>68</v>
      </c>
      <c r="G4" s="18" t="s">
        <v>29</v>
      </c>
      <c r="H4" s="18" t="s">
        <v>68</v>
      </c>
      <c r="I4" s="18" t="s">
        <v>29</v>
      </c>
      <c r="J4" s="18" t="s">
        <v>68</v>
      </c>
      <c r="K4" s="18" t="s">
        <v>29</v>
      </c>
      <c r="L4" s="18" t="s">
        <v>68</v>
      </c>
      <c r="M4" s="84"/>
      <c r="N4" s="14" t="s">
        <v>31</v>
      </c>
      <c r="O4" s="14" t="s">
        <v>32</v>
      </c>
      <c r="P4" s="14" t="s">
        <v>33</v>
      </c>
      <c r="Q4" s="14" t="s">
        <v>34</v>
      </c>
      <c r="R4" s="14" t="s">
        <v>35</v>
      </c>
      <c r="S4" s="14" t="s">
        <v>36</v>
      </c>
      <c r="T4" s="14" t="s">
        <v>37</v>
      </c>
      <c r="U4" s="14" t="s">
        <v>38</v>
      </c>
      <c r="V4" s="14" t="s">
        <v>39</v>
      </c>
      <c r="W4" s="14" t="s">
        <v>40</v>
      </c>
      <c r="X4" s="14" t="s">
        <v>41</v>
      </c>
      <c r="Y4" s="14" t="s">
        <v>42</v>
      </c>
      <c r="Z4" s="14" t="s">
        <v>43</v>
      </c>
      <c r="AA4" s="14" t="s">
        <v>44</v>
      </c>
      <c r="AB4" s="14" t="s">
        <v>45</v>
      </c>
      <c r="AC4" s="14" t="s">
        <v>46</v>
      </c>
      <c r="AD4" s="14" t="s">
        <v>47</v>
      </c>
      <c r="AE4" s="14" t="s">
        <v>48</v>
      </c>
      <c r="AF4" s="14" t="s">
        <v>49</v>
      </c>
      <c r="AG4" s="14" t="s">
        <v>50</v>
      </c>
      <c r="AH4" s="14" t="s">
        <v>51</v>
      </c>
      <c r="AI4" s="14" t="s">
        <v>52</v>
      </c>
      <c r="AJ4" s="14" t="s">
        <v>53</v>
      </c>
      <c r="AK4" s="14" t="s">
        <v>54</v>
      </c>
      <c r="AL4" s="14" t="s">
        <v>55</v>
      </c>
    </row>
    <row r="5" spans="1:38" ht="20.100000000000001" customHeight="1">
      <c r="A5" s="28" t="s">
        <v>56</v>
      </c>
      <c r="B5" s="28" t="s">
        <v>15</v>
      </c>
      <c r="C5" s="25" t="s">
        <v>69</v>
      </c>
      <c r="D5" s="29">
        <v>1</v>
      </c>
      <c r="E5" s="22">
        <f>내역서!F24</f>
        <v>34895000</v>
      </c>
      <c r="F5" s="22">
        <f>D5*E5</f>
        <v>34895000</v>
      </c>
      <c r="G5" s="22">
        <f>내역서!H24</f>
        <v>2070000</v>
      </c>
      <c r="H5" s="22">
        <f>D5*G5</f>
        <v>2070000</v>
      </c>
      <c r="I5" s="22">
        <f>내역서!J24</f>
        <v>600000</v>
      </c>
      <c r="J5" s="22">
        <f>D5*I5</f>
        <v>600000</v>
      </c>
      <c r="K5" s="22">
        <f>E5+G5+I5</f>
        <v>37565000</v>
      </c>
      <c r="L5" s="22">
        <f>F5+H5+J5</f>
        <v>37565000</v>
      </c>
      <c r="M5" s="30" t="s">
        <v>15</v>
      </c>
      <c r="Q5" s="14">
        <v>1</v>
      </c>
      <c r="R5" s="14">
        <f>내역서!R24*D5</f>
        <v>600000</v>
      </c>
      <c r="S5" s="14">
        <f>내역서!S24*D5</f>
        <v>0</v>
      </c>
      <c r="T5" s="14">
        <f>내역서!T24*D5</f>
        <v>0</v>
      </c>
      <c r="U5" s="14">
        <f>내역서!U24*D5</f>
        <v>0</v>
      </c>
      <c r="V5" s="14">
        <f>내역서!V24*D5</f>
        <v>0</v>
      </c>
      <c r="W5" s="14">
        <f>내역서!W24*D5</f>
        <v>0</v>
      </c>
      <c r="X5" s="14">
        <f>내역서!X24*D5</f>
        <v>0</v>
      </c>
      <c r="Y5" s="14">
        <f>내역서!Y24*D5</f>
        <v>0</v>
      </c>
      <c r="Z5" s="14">
        <f>내역서!Z24*D5</f>
        <v>0</v>
      </c>
      <c r="AA5" s="14">
        <f>내역서!AA24*D5</f>
        <v>0</v>
      </c>
      <c r="AB5" s="14">
        <f>내역서!AB24*D5</f>
        <v>0</v>
      </c>
      <c r="AC5" s="14">
        <f>내역서!AC24*D5</f>
        <v>0</v>
      </c>
      <c r="AD5" s="14">
        <f>내역서!AD24*D5</f>
        <v>0</v>
      </c>
      <c r="AE5" s="14">
        <f>내역서!AE24*D5</f>
        <v>0</v>
      </c>
      <c r="AF5" s="14">
        <f>내역서!AF24*D5</f>
        <v>0</v>
      </c>
      <c r="AG5" s="14">
        <f>내역서!AG24*D5</f>
        <v>0</v>
      </c>
      <c r="AH5" s="14">
        <f>내역서!AH24*D5</f>
        <v>0</v>
      </c>
      <c r="AI5" s="14">
        <f>내역서!AI24*D5</f>
        <v>0</v>
      </c>
      <c r="AJ5" s="14">
        <f>내역서!AJ24*D5</f>
        <v>0</v>
      </c>
      <c r="AK5" s="14">
        <f>내역서!AK24*D5</f>
        <v>0</v>
      </c>
      <c r="AL5" s="14">
        <f>내역서!AL24*D5</f>
        <v>0</v>
      </c>
    </row>
    <row r="6" spans="1:38" ht="20.100000000000001" customHeight="1">
      <c r="A6" s="19"/>
      <c r="B6" s="19"/>
      <c r="C6" s="20"/>
      <c r="D6" s="20"/>
      <c r="E6" s="22"/>
      <c r="F6" s="22"/>
      <c r="G6" s="22"/>
      <c r="H6" s="22"/>
      <c r="I6" s="22"/>
      <c r="J6" s="22"/>
      <c r="K6" s="22"/>
      <c r="L6" s="22"/>
      <c r="M6" s="31"/>
    </row>
    <row r="7" spans="1:38" ht="20.100000000000001" customHeight="1">
      <c r="A7" s="19"/>
      <c r="B7" s="19"/>
      <c r="C7" s="20"/>
      <c r="D7" s="20"/>
      <c r="E7" s="22"/>
      <c r="F7" s="22"/>
      <c r="G7" s="22"/>
      <c r="H7" s="22"/>
      <c r="I7" s="22"/>
      <c r="J7" s="22"/>
      <c r="K7" s="22"/>
      <c r="L7" s="22"/>
      <c r="M7" s="31"/>
    </row>
    <row r="8" spans="1:38" ht="20.100000000000001" customHeight="1">
      <c r="A8" s="19"/>
      <c r="B8" s="19"/>
      <c r="C8" s="20"/>
      <c r="D8" s="20"/>
      <c r="E8" s="22"/>
      <c r="F8" s="22"/>
      <c r="G8" s="22"/>
      <c r="H8" s="22"/>
      <c r="I8" s="22"/>
      <c r="J8" s="22"/>
      <c r="K8" s="22"/>
      <c r="L8" s="22"/>
      <c r="M8" s="31"/>
    </row>
    <row r="9" spans="1:38" ht="20.100000000000001" customHeight="1">
      <c r="A9" s="19"/>
      <c r="B9" s="19"/>
      <c r="C9" s="20"/>
      <c r="D9" s="20"/>
      <c r="E9" s="22"/>
      <c r="F9" s="22"/>
      <c r="G9" s="22"/>
      <c r="H9" s="22"/>
      <c r="I9" s="22"/>
      <c r="J9" s="22"/>
      <c r="K9" s="22"/>
      <c r="L9" s="22"/>
      <c r="M9" s="31"/>
    </row>
    <row r="10" spans="1:38" ht="20.100000000000001" customHeight="1">
      <c r="A10" s="19"/>
      <c r="B10" s="19"/>
      <c r="C10" s="20"/>
      <c r="D10" s="20"/>
      <c r="E10" s="22"/>
      <c r="F10" s="22"/>
      <c r="G10" s="22"/>
      <c r="H10" s="22"/>
      <c r="I10" s="22"/>
      <c r="J10" s="22"/>
      <c r="K10" s="22"/>
      <c r="L10" s="22"/>
      <c r="M10" s="31"/>
    </row>
    <row r="11" spans="1:38" ht="20.100000000000001" customHeight="1">
      <c r="A11" s="19"/>
      <c r="B11" s="19"/>
      <c r="C11" s="20"/>
      <c r="D11" s="20"/>
      <c r="E11" s="22"/>
      <c r="F11" s="22"/>
      <c r="G11" s="22"/>
      <c r="H11" s="22"/>
      <c r="I11" s="22"/>
      <c r="J11" s="22"/>
      <c r="K11" s="22"/>
      <c r="L11" s="22"/>
      <c r="M11" s="31"/>
    </row>
    <row r="12" spans="1:38" ht="20.100000000000001" customHeight="1">
      <c r="A12" s="19"/>
      <c r="B12" s="19"/>
      <c r="C12" s="20"/>
      <c r="D12" s="20"/>
      <c r="E12" s="22"/>
      <c r="F12" s="22"/>
      <c r="G12" s="22"/>
      <c r="H12" s="22"/>
      <c r="I12" s="22"/>
      <c r="J12" s="22"/>
      <c r="K12" s="22"/>
      <c r="L12" s="22"/>
      <c r="M12" s="31"/>
    </row>
    <row r="13" spans="1:38" ht="20.100000000000001" customHeight="1">
      <c r="A13" s="19"/>
      <c r="B13" s="19"/>
      <c r="C13" s="20"/>
      <c r="D13" s="20"/>
      <c r="E13" s="22"/>
      <c r="F13" s="22"/>
      <c r="G13" s="22"/>
      <c r="H13" s="22"/>
      <c r="I13" s="22"/>
      <c r="J13" s="22"/>
      <c r="K13" s="22"/>
      <c r="L13" s="22"/>
      <c r="M13" s="31"/>
    </row>
    <row r="14" spans="1:38" ht="20.100000000000001" customHeight="1">
      <c r="A14" s="19"/>
      <c r="B14" s="19"/>
      <c r="C14" s="20"/>
      <c r="D14" s="20"/>
      <c r="E14" s="22"/>
      <c r="F14" s="22"/>
      <c r="G14" s="22"/>
      <c r="H14" s="22"/>
      <c r="I14" s="22"/>
      <c r="J14" s="22"/>
      <c r="K14" s="22"/>
      <c r="L14" s="22"/>
      <c r="M14" s="31"/>
    </row>
    <row r="15" spans="1:38" ht="20.100000000000001" customHeight="1">
      <c r="A15" s="19"/>
      <c r="B15" s="19"/>
      <c r="C15" s="20"/>
      <c r="D15" s="20"/>
      <c r="E15" s="22"/>
      <c r="F15" s="22"/>
      <c r="G15" s="22"/>
      <c r="H15" s="22"/>
      <c r="I15" s="22"/>
      <c r="J15" s="22"/>
      <c r="K15" s="22"/>
      <c r="L15" s="22"/>
      <c r="M15" s="31"/>
    </row>
    <row r="16" spans="1:38" ht="20.100000000000001" customHeight="1">
      <c r="A16" s="19"/>
      <c r="B16" s="19"/>
      <c r="C16" s="20"/>
      <c r="D16" s="20"/>
      <c r="E16" s="22"/>
      <c r="F16" s="22"/>
      <c r="G16" s="22"/>
      <c r="H16" s="22"/>
      <c r="I16" s="22"/>
      <c r="J16" s="22"/>
      <c r="K16" s="22"/>
      <c r="L16" s="22"/>
      <c r="M16" s="31"/>
    </row>
    <row r="17" spans="1:38" ht="20.100000000000001" customHeight="1">
      <c r="A17" s="19"/>
      <c r="B17" s="19"/>
      <c r="C17" s="20"/>
      <c r="D17" s="20"/>
      <c r="E17" s="22"/>
      <c r="F17" s="22"/>
      <c r="G17" s="22"/>
      <c r="H17" s="22"/>
      <c r="I17" s="22"/>
      <c r="J17" s="22"/>
      <c r="K17" s="22"/>
      <c r="L17" s="22"/>
      <c r="M17" s="31"/>
    </row>
    <row r="18" spans="1:38" ht="20.100000000000001" customHeight="1">
      <c r="A18" s="19"/>
      <c r="B18" s="19"/>
      <c r="C18" s="20"/>
      <c r="D18" s="20"/>
      <c r="E18" s="22"/>
      <c r="F18" s="22"/>
      <c r="G18" s="22"/>
      <c r="H18" s="22"/>
      <c r="I18" s="22"/>
      <c r="J18" s="22"/>
      <c r="K18" s="22"/>
      <c r="L18" s="22"/>
      <c r="M18" s="31"/>
    </row>
    <row r="19" spans="1:38" ht="20.100000000000001" customHeight="1">
      <c r="A19" s="19"/>
      <c r="B19" s="19"/>
      <c r="C19" s="20"/>
      <c r="D19" s="20"/>
      <c r="E19" s="24"/>
      <c r="F19" s="24"/>
      <c r="G19" s="24"/>
      <c r="H19" s="24"/>
      <c r="I19" s="24"/>
      <c r="J19" s="24"/>
      <c r="K19" s="24"/>
      <c r="L19" s="24"/>
      <c r="M19" s="31"/>
    </row>
    <row r="20" spans="1:38" ht="20.100000000000001" customHeight="1">
      <c r="A20" s="19"/>
      <c r="B20" s="19"/>
      <c r="C20" s="20"/>
      <c r="D20" s="20"/>
      <c r="E20" s="24"/>
      <c r="F20" s="24"/>
      <c r="G20" s="24"/>
      <c r="H20" s="24"/>
      <c r="I20" s="24"/>
      <c r="J20" s="24"/>
      <c r="K20" s="24"/>
      <c r="L20" s="24"/>
      <c r="M20" s="31"/>
    </row>
    <row r="21" spans="1:38" ht="20.100000000000001" customHeight="1">
      <c r="A21" s="19"/>
      <c r="B21" s="19"/>
      <c r="C21" s="20"/>
      <c r="D21" s="20"/>
      <c r="E21" s="24"/>
      <c r="F21" s="24"/>
      <c r="G21" s="24"/>
      <c r="H21" s="24"/>
      <c r="I21" s="24"/>
      <c r="J21" s="24"/>
      <c r="K21" s="24"/>
      <c r="L21" s="24"/>
      <c r="M21" s="31"/>
    </row>
    <row r="22" spans="1:38" ht="20.100000000000001" customHeight="1">
      <c r="A22" s="19"/>
      <c r="B22" s="19"/>
      <c r="C22" s="20"/>
      <c r="D22" s="20"/>
      <c r="E22" s="24"/>
      <c r="F22" s="24"/>
      <c r="G22" s="24"/>
      <c r="H22" s="24"/>
      <c r="I22" s="24"/>
      <c r="J22" s="24"/>
      <c r="K22" s="24"/>
      <c r="L22" s="24"/>
      <c r="M22" s="31"/>
    </row>
    <row r="23" spans="1:38" ht="20.100000000000001" customHeight="1">
      <c r="A23" s="19"/>
      <c r="B23" s="19"/>
      <c r="C23" s="20"/>
      <c r="D23" s="20"/>
      <c r="E23" s="24"/>
      <c r="F23" s="24"/>
      <c r="G23" s="24"/>
      <c r="H23" s="24"/>
      <c r="I23" s="24"/>
      <c r="J23" s="24"/>
      <c r="K23" s="24"/>
      <c r="L23" s="24"/>
      <c r="M23" s="31"/>
    </row>
    <row r="24" spans="1:38" ht="20.100000000000001" customHeight="1">
      <c r="A24" s="59" t="s">
        <v>131</v>
      </c>
      <c r="B24" s="60"/>
      <c r="C24" s="61"/>
      <c r="D24" s="61"/>
      <c r="E24" s="62"/>
      <c r="F24" s="63">
        <f>SUMIF($Q$5:$Q$23,1,F5:F23)</f>
        <v>34895000</v>
      </c>
      <c r="G24" s="62"/>
      <c r="H24" s="63">
        <f>SUMIF($Q$5:$Q$23,1,H5:H23)</f>
        <v>2070000</v>
      </c>
      <c r="I24" s="62"/>
      <c r="J24" s="63">
        <f>SUMIF($Q$5:$Q$23,1,J5:J23)</f>
        <v>600000</v>
      </c>
      <c r="K24" s="62"/>
      <c r="L24" s="63">
        <f>F24+H24+J24</f>
        <v>37565000</v>
      </c>
      <c r="M24" s="64"/>
      <c r="R24" s="14">
        <f>SUM($R$5:$R$23)</f>
        <v>600000</v>
      </c>
      <c r="S24" s="14">
        <f>SUM($S$5:$S$23)</f>
        <v>0</v>
      </c>
      <c r="T24" s="14">
        <f>SUM($T$5:$T$23)</f>
        <v>0</v>
      </c>
      <c r="U24" s="14">
        <f>SUM($U$5:$U$23)</f>
        <v>0</v>
      </c>
      <c r="V24" s="14">
        <f>SUM($V$5:$V$23)</f>
        <v>0</v>
      </c>
      <c r="W24" s="14">
        <f>SUM($W$5:$W$23)</f>
        <v>0</v>
      </c>
      <c r="X24" s="14">
        <f>SUM($X$5:$X$23)</f>
        <v>0</v>
      </c>
      <c r="Y24" s="14">
        <f>SUM($Y$5:$Y$23)</f>
        <v>0</v>
      </c>
      <c r="Z24" s="14">
        <f>SUM($Z$5:$Z$23)</f>
        <v>0</v>
      </c>
      <c r="AA24" s="14">
        <f>SUM($AA$5:$AA$23)</f>
        <v>0</v>
      </c>
      <c r="AB24" s="14">
        <f>SUM($AB$5:$AB$23)</f>
        <v>0</v>
      </c>
      <c r="AC24" s="14">
        <f>SUM($AC$5:$AC$23)</f>
        <v>0</v>
      </c>
      <c r="AD24" s="14">
        <f>SUM($AD$5:$AD$23)</f>
        <v>0</v>
      </c>
      <c r="AE24" s="14">
        <f>SUM($AE$5:$AE$23)</f>
        <v>0</v>
      </c>
      <c r="AF24" s="14">
        <f>SUM($AF$5:$AF$23)</f>
        <v>0</v>
      </c>
      <c r="AG24" s="14">
        <f>SUM($AG$5:$AG$23)</f>
        <v>0</v>
      </c>
      <c r="AH24" s="14">
        <f>SUM($AH$5:$AH$23)</f>
        <v>0</v>
      </c>
      <c r="AI24" s="14">
        <f>SUM($AI$5:$AI$23)</f>
        <v>0</v>
      </c>
      <c r="AJ24" s="14">
        <f>SUM($AJ$5:$AJ$23)</f>
        <v>0</v>
      </c>
      <c r="AK24" s="14">
        <f>SUM($AK$5:$AK$23)</f>
        <v>0</v>
      </c>
      <c r="AL24" s="14">
        <f>SUM($AL$5:$AL$23)</f>
        <v>0</v>
      </c>
    </row>
    <row r="25" spans="1:38" ht="20.100000000000001" customHeight="1">
      <c r="A25" s="32"/>
      <c r="B25" s="32"/>
      <c r="C25" s="33"/>
      <c r="D25" s="33"/>
      <c r="E25" s="34"/>
      <c r="F25" s="34"/>
      <c r="G25" s="34"/>
      <c r="H25" s="34"/>
      <c r="I25" s="34"/>
      <c r="J25" s="34"/>
      <c r="K25" s="34"/>
      <c r="L25" s="34"/>
      <c r="M25" s="35"/>
    </row>
  </sheetData>
  <mergeCells count="11">
    <mergeCell ref="K3:L3"/>
    <mergeCell ref="A1:M1"/>
    <mergeCell ref="A2:M2"/>
    <mergeCell ref="A3:A4"/>
    <mergeCell ref="B3:B4"/>
    <mergeCell ref="C3:C4"/>
    <mergeCell ref="D3:D4"/>
    <mergeCell ref="M3:M4"/>
    <mergeCell ref="E3:F3"/>
    <mergeCell ref="G3:H3"/>
    <mergeCell ref="I3:J3"/>
  </mergeCells>
  <phoneticPr fontId="3" type="noConversion"/>
  <pageMargins left="0.74803149606299213" right="0.19685039370078738" top="0.74803149606299213" bottom="0.55118110236220463" header="0.51181102362204722" footer="0.31496062992125989"/>
  <pageSetup paperSize="9" orientation="landscape" horizontalDpi="4294967293" verticalDpi="4294967293" r:id="rId1"/>
  <rowBreaks count="1" manualBreakCount="1">
    <brk id="2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B7"/>
  </sheetPr>
  <dimension ref="A1:AL25"/>
  <sheetViews>
    <sheetView workbookViewId="0">
      <selection activeCell="A2" sqref="A2:M2"/>
    </sheetView>
  </sheetViews>
  <sheetFormatPr defaultRowHeight="10.5"/>
  <cols>
    <col min="1" max="1" width="21.625" style="14" customWidth="1"/>
    <col min="2" max="2" width="13.625" style="14" customWidth="1"/>
    <col min="3" max="3" width="3.625" style="15" customWidth="1"/>
    <col min="4" max="4" width="6.625" style="16" customWidth="1"/>
    <col min="5" max="12" width="8.625" style="16" customWidth="1"/>
    <col min="13" max="13" width="6.625" style="16" customWidth="1"/>
    <col min="14" max="38" width="0" style="14" hidden="1" customWidth="1"/>
    <col min="39" max="16384" width="9" style="14"/>
  </cols>
  <sheetData>
    <row r="1" spans="1:38" ht="26.1" customHeight="1">
      <c r="A1" s="86" t="s">
        <v>20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38" ht="20.100000000000001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38" ht="20.100000000000001" customHeight="1">
      <c r="A3" s="84" t="s">
        <v>21</v>
      </c>
      <c r="B3" s="84" t="s">
        <v>22</v>
      </c>
      <c r="C3" s="84" t="s">
        <v>3</v>
      </c>
      <c r="D3" s="84" t="s">
        <v>23</v>
      </c>
      <c r="E3" s="84" t="s">
        <v>24</v>
      </c>
      <c r="F3" s="84"/>
      <c r="G3" s="84" t="s">
        <v>25</v>
      </c>
      <c r="H3" s="84"/>
      <c r="I3" s="84" t="s">
        <v>26</v>
      </c>
      <c r="J3" s="84"/>
      <c r="K3" s="84" t="s">
        <v>27</v>
      </c>
      <c r="L3" s="84"/>
      <c r="M3" s="84" t="s">
        <v>28</v>
      </c>
    </row>
    <row r="4" spans="1:38" ht="20.100000000000001" customHeight="1">
      <c r="A4" s="84"/>
      <c r="B4" s="84"/>
      <c r="C4" s="84"/>
      <c r="D4" s="84"/>
      <c r="E4" s="18" t="s">
        <v>29</v>
      </c>
      <c r="F4" s="18" t="s">
        <v>30</v>
      </c>
      <c r="G4" s="18" t="s">
        <v>29</v>
      </c>
      <c r="H4" s="18" t="s">
        <v>30</v>
      </c>
      <c r="I4" s="18" t="s">
        <v>29</v>
      </c>
      <c r="J4" s="18" t="s">
        <v>30</v>
      </c>
      <c r="K4" s="18" t="s">
        <v>29</v>
      </c>
      <c r="L4" s="18" t="s">
        <v>30</v>
      </c>
      <c r="M4" s="84"/>
      <c r="N4" s="14" t="s">
        <v>31</v>
      </c>
      <c r="O4" s="14" t="s">
        <v>32</v>
      </c>
      <c r="P4" s="14" t="s">
        <v>33</v>
      </c>
      <c r="Q4" s="14" t="s">
        <v>34</v>
      </c>
      <c r="R4" s="14" t="s">
        <v>35</v>
      </c>
      <c r="S4" s="14" t="s">
        <v>36</v>
      </c>
      <c r="T4" s="14" t="s">
        <v>37</v>
      </c>
      <c r="U4" s="14" t="s">
        <v>38</v>
      </c>
      <c r="V4" s="14" t="s">
        <v>39</v>
      </c>
      <c r="W4" s="14" t="s">
        <v>40</v>
      </c>
      <c r="X4" s="14" t="s">
        <v>41</v>
      </c>
      <c r="Y4" s="14" t="s">
        <v>42</v>
      </c>
      <c r="Z4" s="14" t="s">
        <v>43</v>
      </c>
      <c r="AA4" s="14" t="s">
        <v>44</v>
      </c>
      <c r="AB4" s="14" t="s">
        <v>45</v>
      </c>
      <c r="AC4" s="14" t="s">
        <v>46</v>
      </c>
      <c r="AD4" s="14" t="s">
        <v>47</v>
      </c>
      <c r="AE4" s="14" t="s">
        <v>48</v>
      </c>
      <c r="AF4" s="14" t="s">
        <v>49</v>
      </c>
      <c r="AG4" s="14" t="s">
        <v>50</v>
      </c>
      <c r="AH4" s="14" t="s">
        <v>51</v>
      </c>
      <c r="AI4" s="14" t="s">
        <v>52</v>
      </c>
      <c r="AJ4" s="14" t="s">
        <v>53</v>
      </c>
      <c r="AK4" s="14" t="s">
        <v>54</v>
      </c>
      <c r="AL4" s="14" t="s">
        <v>55</v>
      </c>
    </row>
    <row r="5" spans="1:38" ht="20.100000000000001" customHeight="1">
      <c r="A5" s="67" t="s">
        <v>56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6"/>
    </row>
    <row r="6" spans="1:38" ht="20.100000000000001" customHeight="1">
      <c r="A6" s="19" t="s">
        <v>57</v>
      </c>
      <c r="B6" s="19" t="s">
        <v>58</v>
      </c>
      <c r="C6" s="20" t="s">
        <v>59</v>
      </c>
      <c r="D6" s="21">
        <v>645</v>
      </c>
      <c r="E6" s="22">
        <v>35000</v>
      </c>
      <c r="F6" s="22">
        <f>ROUNDDOWN(D6*E6,0)</f>
        <v>22575000</v>
      </c>
      <c r="G6" s="22"/>
      <c r="H6" s="22">
        <f>ROUNDDOWN(D6*G6,0)</f>
        <v>0</v>
      </c>
      <c r="I6" s="22"/>
      <c r="J6" s="22">
        <f>ROUNDDOWN(D6*I6,0)</f>
        <v>0</v>
      </c>
      <c r="K6" s="22">
        <f t="shared" ref="K6:L10" si="0">E6+G6+I6</f>
        <v>35000</v>
      </c>
      <c r="L6" s="22">
        <f t="shared" si="0"/>
        <v>22575000</v>
      </c>
      <c r="M6" s="23" t="s">
        <v>15</v>
      </c>
      <c r="O6" s="17" t="s">
        <v>60</v>
      </c>
      <c r="P6" s="17" t="s">
        <v>35</v>
      </c>
      <c r="Q6" s="14">
        <v>1</v>
      </c>
      <c r="R6" s="14">
        <f>IF(P6="기계경비",J6,0)</f>
        <v>0</v>
      </c>
      <c r="S6" s="14">
        <f>IF(P6="운반비",J6,0)</f>
        <v>0</v>
      </c>
      <c r="T6" s="14">
        <f>IF(P6="작업부산물",F6,0)</f>
        <v>0</v>
      </c>
      <c r="U6" s="14">
        <f>IF(P6="관급",ROUNDDOWN(D6*E6,0),0)+IF(P6="지급",ROUNDDOWN(D6*E6,0),0)</f>
        <v>0</v>
      </c>
      <c r="V6" s="14">
        <f>IF(P6="외주비",F6+H6+J6,0)</f>
        <v>0</v>
      </c>
      <c r="W6" s="14">
        <f>IF(P6="장비비",F6+H6+J6,0)</f>
        <v>0</v>
      </c>
      <c r="X6" s="14">
        <f>IF(P6="폐기물처리비",J6,0)</f>
        <v>0</v>
      </c>
      <c r="Y6" s="14">
        <f>IF(P6="가설비",J6,0)</f>
        <v>0</v>
      </c>
      <c r="Z6" s="14">
        <f>IF(P6="잡비제외분",F6,0)</f>
        <v>0</v>
      </c>
      <c r="AA6" s="14">
        <f>IF(P6="사급자재대",L6,0)</f>
        <v>0</v>
      </c>
      <c r="AB6" s="14">
        <f>IF(P6="관급자재대",L6,0)</f>
        <v>0</v>
      </c>
      <c r="AC6" s="14">
        <f>IF(P6="사용자항목1",L6,0)</f>
        <v>0</v>
      </c>
      <c r="AD6" s="14">
        <f>IF(P6="사용자항목2",L6,0)</f>
        <v>0</v>
      </c>
      <c r="AE6" s="14">
        <f>IF(P6="사용자항목3",L6,0)</f>
        <v>0</v>
      </c>
      <c r="AF6" s="14">
        <f>IF(P6="사용자항목4",L6,0)</f>
        <v>0</v>
      </c>
      <c r="AG6" s="14">
        <f>IF(P6="사용자항목5",L6,0)</f>
        <v>0</v>
      </c>
      <c r="AH6" s="14">
        <f>IF(P6="사용자항목6",L6,0)</f>
        <v>0</v>
      </c>
      <c r="AI6" s="14">
        <f>IF(P6="사용자항목7",L6,0)</f>
        <v>0</v>
      </c>
      <c r="AJ6" s="14">
        <f>IF(P6="사용자항목8",L6,0)</f>
        <v>0</v>
      </c>
      <c r="AK6" s="14">
        <f>IF(P6="사용자항목9",L6,0)</f>
        <v>0</v>
      </c>
    </row>
    <row r="7" spans="1:38" ht="20.100000000000001" customHeight="1">
      <c r="A7" s="19" t="s">
        <v>14</v>
      </c>
      <c r="B7" s="19"/>
      <c r="C7" s="20" t="s">
        <v>16</v>
      </c>
      <c r="D7" s="21">
        <v>616</v>
      </c>
      <c r="E7" s="22">
        <f>ROUNDDOWN(자재단가대비표!N5,0)</f>
        <v>16000</v>
      </c>
      <c r="F7" s="22">
        <f>ROUNDDOWN(D7*E7,0)</f>
        <v>9856000</v>
      </c>
      <c r="G7" s="22"/>
      <c r="H7" s="22">
        <f>ROUNDDOWN(D7*G7,0)</f>
        <v>0</v>
      </c>
      <c r="I7" s="22"/>
      <c r="J7" s="22">
        <f>ROUNDDOWN(D7*I7,0)</f>
        <v>0</v>
      </c>
      <c r="K7" s="22">
        <f t="shared" si="0"/>
        <v>16000</v>
      </c>
      <c r="L7" s="22">
        <f t="shared" si="0"/>
        <v>9856000</v>
      </c>
      <c r="M7" s="23" t="s">
        <v>15</v>
      </c>
      <c r="O7" s="17" t="s">
        <v>60</v>
      </c>
      <c r="P7" s="17" t="s">
        <v>35</v>
      </c>
      <c r="Q7" s="14">
        <v>1</v>
      </c>
      <c r="R7" s="14">
        <f>IF(P7="기계경비",J7,0)</f>
        <v>0</v>
      </c>
      <c r="S7" s="14">
        <f>IF(P7="운반비",J7,0)</f>
        <v>0</v>
      </c>
      <c r="T7" s="14">
        <f>IF(P7="작업부산물",F7,0)</f>
        <v>0</v>
      </c>
      <c r="U7" s="14">
        <f>IF(P7="관급",ROUNDDOWN(D7*E7,0),0)+IF(P7="지급",ROUNDDOWN(D7*E7,0),0)</f>
        <v>0</v>
      </c>
      <c r="V7" s="14">
        <f>IF(P7="외주비",F7+H7+J7,0)</f>
        <v>0</v>
      </c>
      <c r="W7" s="14">
        <f>IF(P7="장비비",F7+H7+J7,0)</f>
        <v>0</v>
      </c>
      <c r="X7" s="14">
        <f>IF(P7="폐기물처리비",J7,0)</f>
        <v>0</v>
      </c>
      <c r="Y7" s="14">
        <f>IF(P7="가설비",J7,0)</f>
        <v>0</v>
      </c>
      <c r="Z7" s="14">
        <f>IF(P7="잡비제외분",F7,0)</f>
        <v>0</v>
      </c>
      <c r="AA7" s="14">
        <f>IF(P7="사급자재대",L7,0)</f>
        <v>0</v>
      </c>
      <c r="AB7" s="14">
        <f>IF(P7="관급자재대",L7,0)</f>
        <v>0</v>
      </c>
      <c r="AC7" s="14">
        <f>IF(P7="사용자항목1",L7,0)</f>
        <v>0</v>
      </c>
      <c r="AD7" s="14">
        <f>IF(P7="사용자항목2",L7,0)</f>
        <v>0</v>
      </c>
      <c r="AE7" s="14">
        <f>IF(P7="사용자항목3",L7,0)</f>
        <v>0</v>
      </c>
      <c r="AF7" s="14">
        <f>IF(P7="사용자항목4",L7,0)</f>
        <v>0</v>
      </c>
      <c r="AG7" s="14">
        <f>IF(P7="사용자항목5",L7,0)</f>
        <v>0</v>
      </c>
      <c r="AH7" s="14">
        <f>IF(P7="사용자항목6",L7,0)</f>
        <v>0</v>
      </c>
      <c r="AI7" s="14">
        <f>IF(P7="사용자항목7",L7,0)</f>
        <v>0</v>
      </c>
      <c r="AJ7" s="14">
        <f>IF(P7="사용자항목8",L7,0)</f>
        <v>0</v>
      </c>
      <c r="AK7" s="14">
        <f>IF(P7="사용자항목9",L7,0)</f>
        <v>0</v>
      </c>
    </row>
    <row r="8" spans="1:38" ht="20.100000000000001" customHeight="1">
      <c r="A8" s="19" t="s">
        <v>14</v>
      </c>
      <c r="B8" s="19" t="s">
        <v>17</v>
      </c>
      <c r="C8" s="20" t="s">
        <v>16</v>
      </c>
      <c r="D8" s="21">
        <v>616</v>
      </c>
      <c r="E8" s="22">
        <f>ROUNDDOWN(자재단가대비표!N6,0)</f>
        <v>4000</v>
      </c>
      <c r="F8" s="22">
        <f>ROUNDDOWN(D8*E8,0)</f>
        <v>2464000</v>
      </c>
      <c r="G8" s="22"/>
      <c r="H8" s="22">
        <f>ROUNDDOWN(D8*G8,0)</f>
        <v>0</v>
      </c>
      <c r="I8" s="22"/>
      <c r="J8" s="22">
        <f>ROUNDDOWN(D8*I8,0)</f>
        <v>0</v>
      </c>
      <c r="K8" s="22">
        <f t="shared" si="0"/>
        <v>4000</v>
      </c>
      <c r="L8" s="22">
        <f t="shared" si="0"/>
        <v>2464000</v>
      </c>
      <c r="M8" s="23" t="s">
        <v>15</v>
      </c>
      <c r="O8" s="17" t="s">
        <v>60</v>
      </c>
      <c r="P8" s="17" t="s">
        <v>35</v>
      </c>
      <c r="Q8" s="14">
        <v>1</v>
      </c>
      <c r="R8" s="14">
        <f>IF(P8="기계경비",J8,0)</f>
        <v>0</v>
      </c>
      <c r="S8" s="14">
        <f>IF(P8="운반비",J8,0)</f>
        <v>0</v>
      </c>
      <c r="T8" s="14">
        <f>IF(P8="작업부산물",F8,0)</f>
        <v>0</v>
      </c>
      <c r="U8" s="14">
        <f>IF(P8="관급",ROUNDDOWN(D8*E8,0),0)+IF(P8="지급",ROUNDDOWN(D8*E8,0),0)</f>
        <v>0</v>
      </c>
      <c r="V8" s="14">
        <f>IF(P8="외주비",F8+H8+J8,0)</f>
        <v>0</v>
      </c>
      <c r="W8" s="14">
        <f>IF(P8="장비비",F8+H8+J8,0)</f>
        <v>0</v>
      </c>
      <c r="X8" s="14">
        <f>IF(P8="폐기물처리비",J8,0)</f>
        <v>0</v>
      </c>
      <c r="Y8" s="14">
        <f>IF(P8="가설비",J8,0)</f>
        <v>0</v>
      </c>
      <c r="Z8" s="14">
        <f>IF(P8="잡비제외분",F8,0)</f>
        <v>0</v>
      </c>
      <c r="AA8" s="14">
        <f>IF(P8="사급자재대",L8,0)</f>
        <v>0</v>
      </c>
      <c r="AB8" s="14">
        <f>IF(P8="관급자재대",L8,0)</f>
        <v>0</v>
      </c>
      <c r="AC8" s="14">
        <f>IF(P8="사용자항목1",L8,0)</f>
        <v>0</v>
      </c>
      <c r="AD8" s="14">
        <f>IF(P8="사용자항목2",L8,0)</f>
        <v>0</v>
      </c>
      <c r="AE8" s="14">
        <f>IF(P8="사용자항목3",L8,0)</f>
        <v>0</v>
      </c>
      <c r="AF8" s="14">
        <f>IF(P8="사용자항목4",L8,0)</f>
        <v>0</v>
      </c>
      <c r="AG8" s="14">
        <f>IF(P8="사용자항목5",L8,0)</f>
        <v>0</v>
      </c>
      <c r="AH8" s="14">
        <f>IF(P8="사용자항목6",L8,0)</f>
        <v>0</v>
      </c>
      <c r="AI8" s="14">
        <f>IF(P8="사용자항목7",L8,0)</f>
        <v>0</v>
      </c>
      <c r="AJ8" s="14">
        <f>IF(P8="사용자항목8",L8,0)</f>
        <v>0</v>
      </c>
      <c r="AK8" s="14">
        <f>IF(P8="사용자항목9",L8,0)</f>
        <v>0</v>
      </c>
    </row>
    <row r="9" spans="1:38" ht="20.100000000000001" customHeight="1">
      <c r="A9" s="19" t="s">
        <v>61</v>
      </c>
      <c r="B9" s="19" t="s">
        <v>62</v>
      </c>
      <c r="C9" s="20" t="s">
        <v>63</v>
      </c>
      <c r="D9" s="21">
        <v>1</v>
      </c>
      <c r="E9" s="22"/>
      <c r="F9" s="22">
        <f>ROUNDDOWN(D9*E9,0)</f>
        <v>0</v>
      </c>
      <c r="G9" s="22"/>
      <c r="H9" s="22">
        <f>ROUNDDOWN(D9*G9,0)</f>
        <v>0</v>
      </c>
      <c r="I9" s="22">
        <v>600000</v>
      </c>
      <c r="J9" s="22">
        <f>ROUNDDOWN(D9*I9,0)</f>
        <v>600000</v>
      </c>
      <c r="K9" s="22">
        <f t="shared" si="0"/>
        <v>600000</v>
      </c>
      <c r="L9" s="22">
        <f t="shared" si="0"/>
        <v>600000</v>
      </c>
      <c r="M9" s="23" t="s">
        <v>15</v>
      </c>
      <c r="O9" s="17" t="s">
        <v>64</v>
      </c>
      <c r="P9" s="17" t="s">
        <v>35</v>
      </c>
      <c r="Q9" s="14">
        <v>1</v>
      </c>
      <c r="R9" s="14">
        <f>IF(P9="기계경비",J9,0)</f>
        <v>600000</v>
      </c>
      <c r="S9" s="14">
        <f>IF(P9="운반비",J9,0)</f>
        <v>0</v>
      </c>
      <c r="T9" s="14">
        <f>IF(P9="작업부산물",F9,0)</f>
        <v>0</v>
      </c>
      <c r="U9" s="14">
        <f>IF(P9="관급",ROUNDDOWN(D9*E9,0),0)+IF(P9="지급",ROUNDDOWN(D9*E9,0),0)</f>
        <v>0</v>
      </c>
      <c r="V9" s="14">
        <f>IF(P9="외주비",F9+H9+J9,0)</f>
        <v>0</v>
      </c>
      <c r="W9" s="14">
        <f>IF(P9="장비비",F9+H9+J9,0)</f>
        <v>0</v>
      </c>
      <c r="X9" s="14">
        <f>IF(P9="폐기물처리비",J9,0)</f>
        <v>0</v>
      </c>
      <c r="Y9" s="14">
        <f>IF(P9="가설비",J9,0)</f>
        <v>0</v>
      </c>
      <c r="Z9" s="14">
        <f>IF(P9="잡비제외분",F9,0)</f>
        <v>0</v>
      </c>
      <c r="AA9" s="14">
        <f>IF(P9="사급자재대",L9,0)</f>
        <v>0</v>
      </c>
      <c r="AB9" s="14">
        <f>IF(P9="관급자재대",L9,0)</f>
        <v>0</v>
      </c>
      <c r="AC9" s="14">
        <f>IF(P9="사용자항목1",L9,0)</f>
        <v>0</v>
      </c>
      <c r="AD9" s="14">
        <f>IF(P9="사용자항목2",L9,0)</f>
        <v>0</v>
      </c>
      <c r="AE9" s="14">
        <f>IF(P9="사용자항목3",L9,0)</f>
        <v>0</v>
      </c>
      <c r="AF9" s="14">
        <f>IF(P9="사용자항목4",L9,0)</f>
        <v>0</v>
      </c>
      <c r="AG9" s="14">
        <f>IF(P9="사용자항목5",L9,0)</f>
        <v>0</v>
      </c>
      <c r="AH9" s="14">
        <f>IF(P9="사용자항목6",L9,0)</f>
        <v>0</v>
      </c>
      <c r="AI9" s="14">
        <f>IF(P9="사용자항목7",L9,0)</f>
        <v>0</v>
      </c>
      <c r="AJ9" s="14">
        <f>IF(P9="사용자항목8",L9,0)</f>
        <v>0</v>
      </c>
      <c r="AK9" s="14">
        <f>IF(P9="사용자항목9",L9,0)</f>
        <v>0</v>
      </c>
    </row>
    <row r="10" spans="1:38" ht="20.100000000000001" customHeight="1">
      <c r="A10" s="19" t="s">
        <v>18</v>
      </c>
      <c r="B10" s="19"/>
      <c r="C10" s="20" t="s">
        <v>19</v>
      </c>
      <c r="D10" s="21">
        <v>69</v>
      </c>
      <c r="E10" s="22"/>
      <c r="F10" s="22">
        <f>ROUNDDOWN(D10*E10,0)</f>
        <v>0</v>
      </c>
      <c r="G10" s="22">
        <f>ROUNDDOWN(자재단가대비표!N7,0)</f>
        <v>30000</v>
      </c>
      <c r="H10" s="22">
        <f>ROUNDDOWN(D10*G10,0)</f>
        <v>2070000</v>
      </c>
      <c r="I10" s="22"/>
      <c r="J10" s="22">
        <f>ROUNDDOWN(D10*I10,0)</f>
        <v>0</v>
      </c>
      <c r="K10" s="22">
        <f t="shared" si="0"/>
        <v>30000</v>
      </c>
      <c r="L10" s="22">
        <f t="shared" si="0"/>
        <v>2070000</v>
      </c>
      <c r="M10" s="23" t="s">
        <v>15</v>
      </c>
      <c r="O10" s="17" t="s">
        <v>65</v>
      </c>
      <c r="P10" s="17" t="s">
        <v>35</v>
      </c>
      <c r="Q10" s="14">
        <v>1</v>
      </c>
      <c r="R10" s="14">
        <f>IF(P10="기계경비",J10,0)</f>
        <v>0</v>
      </c>
      <c r="S10" s="14">
        <f>IF(P10="운반비",J10,0)</f>
        <v>0</v>
      </c>
      <c r="T10" s="14">
        <f>IF(P10="작업부산물",F10,0)</f>
        <v>0</v>
      </c>
      <c r="U10" s="14">
        <f>IF(P10="관급",ROUNDDOWN(D10*E10,0),0)+IF(P10="지급",ROUNDDOWN(D10*E10,0),0)</f>
        <v>0</v>
      </c>
      <c r="V10" s="14">
        <f>IF(P10="외주비",F10+H10+J10,0)</f>
        <v>0</v>
      </c>
      <c r="W10" s="14">
        <f>IF(P10="장비비",F10+H10+J10,0)</f>
        <v>0</v>
      </c>
      <c r="X10" s="14">
        <f>IF(P10="폐기물처리비",J10,0)</f>
        <v>0</v>
      </c>
      <c r="Y10" s="14">
        <f>IF(P10="가설비",J10,0)</f>
        <v>0</v>
      </c>
      <c r="Z10" s="14">
        <f>IF(P10="잡비제외분",F10,0)</f>
        <v>0</v>
      </c>
      <c r="AA10" s="14">
        <f>IF(P10="사급자재대",L10,0)</f>
        <v>0</v>
      </c>
      <c r="AB10" s="14">
        <f>IF(P10="관급자재대",L10,0)</f>
        <v>0</v>
      </c>
      <c r="AC10" s="14">
        <f>IF(P10="사용자항목1",L10,0)</f>
        <v>0</v>
      </c>
      <c r="AD10" s="14">
        <f>IF(P10="사용자항목2",L10,0)</f>
        <v>0</v>
      </c>
      <c r="AE10" s="14">
        <f>IF(P10="사용자항목3",L10,0)</f>
        <v>0</v>
      </c>
      <c r="AF10" s="14">
        <f>IF(P10="사용자항목4",L10,0)</f>
        <v>0</v>
      </c>
      <c r="AG10" s="14">
        <f>IF(P10="사용자항목5",L10,0)</f>
        <v>0</v>
      </c>
      <c r="AH10" s="14">
        <f>IF(P10="사용자항목6",L10,0)</f>
        <v>0</v>
      </c>
      <c r="AI10" s="14">
        <f>IF(P10="사용자항목7",L10,0)</f>
        <v>0</v>
      </c>
      <c r="AJ10" s="14">
        <f>IF(P10="사용자항목8",L10,0)</f>
        <v>0</v>
      </c>
      <c r="AK10" s="14">
        <f>IF(P10="사용자항목9",L10,0)</f>
        <v>0</v>
      </c>
    </row>
    <row r="11" spans="1:38" ht="20.100000000000001" customHeight="1">
      <c r="A11" s="19"/>
      <c r="B11" s="19"/>
      <c r="C11" s="20"/>
      <c r="D11" s="24"/>
      <c r="E11" s="24"/>
      <c r="F11" s="24"/>
      <c r="G11" s="24"/>
      <c r="H11" s="24"/>
      <c r="I11" s="24"/>
      <c r="J11" s="24"/>
      <c r="K11" s="24"/>
      <c r="L11" s="24"/>
      <c r="M11" s="24"/>
    </row>
    <row r="12" spans="1:38" ht="20.100000000000001" customHeight="1">
      <c r="A12" s="19"/>
      <c r="B12" s="19"/>
      <c r="C12" s="20"/>
      <c r="D12" s="24"/>
      <c r="E12" s="24"/>
      <c r="F12" s="24"/>
      <c r="G12" s="24"/>
      <c r="H12" s="24"/>
      <c r="I12" s="24"/>
      <c r="J12" s="24"/>
      <c r="K12" s="24"/>
      <c r="L12" s="24"/>
      <c r="M12" s="24"/>
    </row>
    <row r="13" spans="1:38" ht="20.100000000000001" customHeight="1">
      <c r="A13" s="19"/>
      <c r="B13" s="19"/>
      <c r="C13" s="20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38" ht="20.100000000000001" customHeight="1">
      <c r="A14" s="19"/>
      <c r="B14" s="19"/>
      <c r="C14" s="20"/>
      <c r="D14" s="24"/>
      <c r="E14" s="24"/>
      <c r="F14" s="24"/>
      <c r="G14" s="24"/>
      <c r="H14" s="24"/>
      <c r="I14" s="24"/>
      <c r="J14" s="24"/>
      <c r="K14" s="24"/>
      <c r="L14" s="24"/>
      <c r="M14" s="24"/>
    </row>
    <row r="15" spans="1:38" ht="20.100000000000001" customHeight="1">
      <c r="A15" s="19"/>
      <c r="B15" s="19"/>
      <c r="C15" s="20"/>
      <c r="D15" s="24"/>
      <c r="E15" s="24"/>
      <c r="F15" s="24"/>
      <c r="G15" s="24"/>
      <c r="H15" s="24"/>
      <c r="I15" s="24"/>
      <c r="J15" s="24"/>
      <c r="K15" s="24"/>
      <c r="L15" s="24"/>
      <c r="M15" s="24"/>
    </row>
    <row r="16" spans="1:38" ht="20.100000000000001" customHeight="1">
      <c r="A16" s="19"/>
      <c r="B16" s="19"/>
      <c r="C16" s="20"/>
      <c r="D16" s="24"/>
      <c r="E16" s="24"/>
      <c r="F16" s="24"/>
      <c r="G16" s="24"/>
      <c r="H16" s="24"/>
      <c r="I16" s="24"/>
      <c r="J16" s="24"/>
      <c r="K16" s="24"/>
      <c r="L16" s="24"/>
      <c r="M16" s="24"/>
    </row>
    <row r="17" spans="1:38" ht="20.100000000000001" customHeight="1">
      <c r="A17" s="19"/>
      <c r="B17" s="19"/>
      <c r="C17" s="20"/>
      <c r="D17" s="24"/>
      <c r="E17" s="24"/>
      <c r="F17" s="24"/>
      <c r="G17" s="24"/>
      <c r="H17" s="24"/>
      <c r="I17" s="24"/>
      <c r="J17" s="24"/>
      <c r="K17" s="24"/>
      <c r="L17" s="24"/>
      <c r="M17" s="24"/>
    </row>
    <row r="18" spans="1:38" ht="20.100000000000001" customHeight="1">
      <c r="A18" s="19"/>
      <c r="B18" s="19"/>
      <c r="C18" s="20"/>
      <c r="D18" s="24"/>
      <c r="E18" s="24"/>
      <c r="F18" s="24"/>
      <c r="G18" s="24"/>
      <c r="H18" s="24"/>
      <c r="I18" s="24"/>
      <c r="J18" s="24"/>
      <c r="K18" s="24"/>
      <c r="L18" s="24"/>
      <c r="M18" s="24"/>
    </row>
    <row r="19" spans="1:38" ht="20.100000000000001" customHeight="1">
      <c r="A19" s="19"/>
      <c r="B19" s="19"/>
      <c r="C19" s="20"/>
      <c r="D19" s="24"/>
      <c r="E19" s="24"/>
      <c r="F19" s="24"/>
      <c r="G19" s="24"/>
      <c r="H19" s="24"/>
      <c r="I19" s="24"/>
      <c r="J19" s="24"/>
      <c r="K19" s="24"/>
      <c r="L19" s="24"/>
      <c r="M19" s="24"/>
    </row>
    <row r="20" spans="1:38" ht="20.100000000000001" customHeight="1">
      <c r="A20" s="19"/>
      <c r="B20" s="19"/>
      <c r="C20" s="20"/>
      <c r="D20" s="24"/>
      <c r="E20" s="24"/>
      <c r="F20" s="24"/>
      <c r="G20" s="24"/>
      <c r="H20" s="24"/>
      <c r="I20" s="24"/>
      <c r="J20" s="24"/>
      <c r="K20" s="24"/>
      <c r="L20" s="24"/>
      <c r="M20" s="24"/>
    </row>
    <row r="21" spans="1:38" ht="20.100000000000001" customHeight="1">
      <c r="A21" s="19"/>
      <c r="B21" s="19"/>
      <c r="C21" s="20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38" ht="20.100000000000001" customHeight="1">
      <c r="A22" s="19"/>
      <c r="B22" s="19"/>
      <c r="C22" s="20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38" ht="20.100000000000001" customHeight="1">
      <c r="A23" s="19"/>
      <c r="B23" s="19"/>
      <c r="C23" s="20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38" ht="20.100000000000001" customHeight="1">
      <c r="A24" s="59" t="s">
        <v>132</v>
      </c>
      <c r="B24" s="60"/>
      <c r="C24" s="61"/>
      <c r="D24" s="62"/>
      <c r="E24" s="63"/>
      <c r="F24" s="63">
        <f>SUMIF($Q$5:$Q$23, 1,$F$5:$F$23)</f>
        <v>34895000</v>
      </c>
      <c r="G24" s="63"/>
      <c r="H24" s="63">
        <f>SUMIF($Q$5:$Q$23, 1,$H$5:$H$23)</f>
        <v>2070000</v>
      </c>
      <c r="I24" s="63"/>
      <c r="J24" s="63">
        <f>SUMIF($Q$5:$Q$23, 1,$J$5:$J$23)</f>
        <v>600000</v>
      </c>
      <c r="K24" s="63"/>
      <c r="L24" s="63">
        <f>F24+H24+J24</f>
        <v>37565000</v>
      </c>
      <c r="M24" s="62"/>
      <c r="R24" s="14">
        <f>SUM($R$5:$R$23)</f>
        <v>600000</v>
      </c>
      <c r="S24" s="14">
        <f>SUM($S$5:$S$23)</f>
        <v>0</v>
      </c>
      <c r="T24" s="14">
        <f>SUM($T$5:$T$23)</f>
        <v>0</v>
      </c>
      <c r="U24" s="14">
        <f>SUM($U$5:$U$23)</f>
        <v>0</v>
      </c>
      <c r="V24" s="14">
        <f>SUM($V$5:$V$23)</f>
        <v>0</v>
      </c>
      <c r="W24" s="14">
        <f>SUM($W$5:$W$23)</f>
        <v>0</v>
      </c>
      <c r="X24" s="14">
        <f>SUM($X$5:$X$23)</f>
        <v>0</v>
      </c>
      <c r="Y24" s="14">
        <f>SUM($Y$5:$Y$23)</f>
        <v>0</v>
      </c>
      <c r="Z24" s="14">
        <f>SUM($Z$5:$Z$23)</f>
        <v>0</v>
      </c>
      <c r="AA24" s="14">
        <f>SUM($AA$5:$AA$23)</f>
        <v>0</v>
      </c>
      <c r="AB24" s="14">
        <f>SUM($AB$5:$AB$23)</f>
        <v>0</v>
      </c>
      <c r="AC24" s="14">
        <f>SUM($AC$5:$AC$23)</f>
        <v>0</v>
      </c>
      <c r="AD24" s="14">
        <f>SUM($AD$5:$AD$23)</f>
        <v>0</v>
      </c>
      <c r="AE24" s="14">
        <f>SUM($AE$5:$AE$23)</f>
        <v>0</v>
      </c>
      <c r="AF24" s="14">
        <f>SUM($AF$5:$AF$23)</f>
        <v>0</v>
      </c>
      <c r="AG24" s="14">
        <f>SUM($AG$5:$AG$23)</f>
        <v>0</v>
      </c>
      <c r="AH24" s="14">
        <f>SUM($AH$5:$AH$23)</f>
        <v>0</v>
      </c>
      <c r="AI24" s="14">
        <f>SUM($AI$5:$AI$23)</f>
        <v>0</v>
      </c>
      <c r="AJ24" s="14">
        <f>SUM($AJ$5:$AJ$23)</f>
        <v>0</v>
      </c>
      <c r="AK24" s="14">
        <f>SUM($AK$5:$AK$23)</f>
        <v>0</v>
      </c>
      <c r="AL24" s="14">
        <f>SUM($AL$5:$AL$23)</f>
        <v>0</v>
      </c>
    </row>
    <row r="25" spans="1:38" customFormat="1" ht="20.100000000000001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</row>
  </sheetData>
  <mergeCells count="11">
    <mergeCell ref="K3:L3"/>
    <mergeCell ref="A1:M1"/>
    <mergeCell ref="A2:M2"/>
    <mergeCell ref="A3:A4"/>
    <mergeCell ref="B3:B4"/>
    <mergeCell ref="C3:C4"/>
    <mergeCell ref="D3:D4"/>
    <mergeCell ref="M3:M4"/>
    <mergeCell ref="E3:F3"/>
    <mergeCell ref="G3:H3"/>
    <mergeCell ref="I3:J3"/>
  </mergeCells>
  <phoneticPr fontId="3" type="noConversion"/>
  <pageMargins left="0.74803149606299213" right="0.19685039370078738" top="0.74803149606299213" bottom="0.55118110236220463" header="0.51181102362204722" footer="0.31496062992125989"/>
  <pageSetup paperSize="9" orientation="landscape" horizontalDpi="4294967293" verticalDpi="4294967293" r:id="rId1"/>
  <rowBreaks count="1" manualBreakCount="1">
    <brk id="2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B7"/>
  </sheetPr>
  <dimension ref="A1:O29"/>
  <sheetViews>
    <sheetView topLeftCell="A2" zoomScale="130" zoomScaleNormal="130" workbookViewId="0">
      <selection activeCell="B7" activeCellId="1" sqref="A2:O2 B7"/>
    </sheetView>
  </sheetViews>
  <sheetFormatPr defaultRowHeight="9.75"/>
  <cols>
    <col min="1" max="1" width="18.625" style="1" customWidth="1"/>
    <col min="2" max="2" width="15.625" style="1" customWidth="1"/>
    <col min="3" max="3" width="3.625" style="2" customWidth="1"/>
    <col min="4" max="4" width="5.625" style="3" customWidth="1"/>
    <col min="5" max="5" width="7.625" style="3" customWidth="1"/>
    <col min="6" max="6" width="5.625" style="3" customWidth="1"/>
    <col min="7" max="7" width="7.625" style="3" customWidth="1"/>
    <col min="8" max="8" width="5.625" style="3" customWidth="1"/>
    <col min="9" max="9" width="7.625" style="3" customWidth="1"/>
    <col min="10" max="10" width="5.625" style="3" customWidth="1"/>
    <col min="11" max="14" width="7.625" style="3" customWidth="1"/>
    <col min="15" max="15" width="7.625" style="4" customWidth="1"/>
    <col min="16" max="16384" width="9" style="1"/>
  </cols>
  <sheetData>
    <row r="1" spans="1:15" ht="26.1" customHeigh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ht="16.5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pans="1:15" ht="16.5" customHeight="1">
      <c r="A3" s="87" t="s">
        <v>1</v>
      </c>
      <c r="B3" s="87" t="s">
        <v>2</v>
      </c>
      <c r="C3" s="87" t="s">
        <v>3</v>
      </c>
      <c r="D3" s="87" t="s">
        <v>4</v>
      </c>
      <c r="E3" s="87"/>
      <c r="F3" s="87" t="s">
        <v>5</v>
      </c>
      <c r="G3" s="87"/>
      <c r="H3" s="87" t="s">
        <v>6</v>
      </c>
      <c r="I3" s="87"/>
      <c r="J3" s="87" t="s">
        <v>7</v>
      </c>
      <c r="K3" s="87"/>
      <c r="L3" s="5" t="s">
        <v>8</v>
      </c>
      <c r="M3" s="5" t="s">
        <v>9</v>
      </c>
      <c r="N3" s="87" t="s">
        <v>10</v>
      </c>
      <c r="O3" s="87" t="s">
        <v>11</v>
      </c>
    </row>
    <row r="4" spans="1:15" ht="16.5" customHeight="1">
      <c r="A4" s="87"/>
      <c r="B4" s="87"/>
      <c r="C4" s="87"/>
      <c r="D4" s="5" t="s">
        <v>12</v>
      </c>
      <c r="E4" s="5" t="s">
        <v>13</v>
      </c>
      <c r="F4" s="5" t="s">
        <v>12</v>
      </c>
      <c r="G4" s="5" t="s">
        <v>13</v>
      </c>
      <c r="H4" s="5" t="s">
        <v>12</v>
      </c>
      <c r="I4" s="5" t="s">
        <v>13</v>
      </c>
      <c r="J4" s="5" t="s">
        <v>12</v>
      </c>
      <c r="K4" s="5" t="s">
        <v>13</v>
      </c>
      <c r="L4" s="5" t="s">
        <v>13</v>
      </c>
      <c r="M4" s="5" t="s">
        <v>13</v>
      </c>
      <c r="N4" s="87"/>
      <c r="O4" s="87"/>
    </row>
    <row r="5" spans="1:15" ht="16.5" customHeight="1">
      <c r="A5" s="6" t="s">
        <v>14</v>
      </c>
      <c r="B5" s="6" t="s">
        <v>15</v>
      </c>
      <c r="C5" s="7" t="s">
        <v>16</v>
      </c>
      <c r="D5" s="8"/>
      <c r="E5" s="9"/>
      <c r="F5" s="8"/>
      <c r="G5" s="9"/>
      <c r="H5" s="8"/>
      <c r="I5" s="9"/>
      <c r="J5" s="8"/>
      <c r="K5" s="9"/>
      <c r="L5" s="9"/>
      <c r="M5" s="9">
        <v>16000</v>
      </c>
      <c r="N5" s="9">
        <f>MIN(E5, G5, I5, K5, L5, M5)</f>
        <v>16000</v>
      </c>
      <c r="O5" s="10" t="s">
        <v>15</v>
      </c>
    </row>
    <row r="6" spans="1:15" ht="16.5" customHeight="1">
      <c r="A6" s="6" t="s">
        <v>14</v>
      </c>
      <c r="B6" s="6" t="s">
        <v>17</v>
      </c>
      <c r="C6" s="7" t="s">
        <v>16</v>
      </c>
      <c r="D6" s="8"/>
      <c r="E6" s="9"/>
      <c r="F6" s="8"/>
      <c r="G6" s="9"/>
      <c r="H6" s="8"/>
      <c r="I6" s="9"/>
      <c r="J6" s="8"/>
      <c r="K6" s="9"/>
      <c r="L6" s="9"/>
      <c r="M6" s="9">
        <v>4000</v>
      </c>
      <c r="N6" s="9">
        <f>MIN(E6, G6, I6, K6, L6, M6)</f>
        <v>4000</v>
      </c>
      <c r="O6" s="10" t="s">
        <v>15</v>
      </c>
    </row>
    <row r="7" spans="1:15" ht="16.5" customHeight="1">
      <c r="A7" s="6" t="s">
        <v>18</v>
      </c>
      <c r="B7" s="6" t="s">
        <v>15</v>
      </c>
      <c r="C7" s="7" t="s">
        <v>19</v>
      </c>
      <c r="D7" s="8"/>
      <c r="E7" s="9"/>
      <c r="F7" s="8"/>
      <c r="G7" s="9"/>
      <c r="H7" s="8"/>
      <c r="I7" s="9"/>
      <c r="J7" s="8"/>
      <c r="K7" s="9"/>
      <c r="L7" s="9"/>
      <c r="M7" s="9">
        <v>30000</v>
      </c>
      <c r="N7" s="9">
        <f>MIN(E7, G7, I7, K7, L7, M7)</f>
        <v>30000</v>
      </c>
      <c r="O7" s="10" t="s">
        <v>15</v>
      </c>
    </row>
    <row r="8" spans="1:15" ht="16.5" customHeight="1">
      <c r="A8" s="11"/>
      <c r="B8" s="11"/>
      <c r="C8" s="12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13"/>
    </row>
    <row r="9" spans="1:15" ht="16.5" customHeight="1">
      <c r="A9" s="11"/>
      <c r="B9" s="11"/>
      <c r="C9" s="12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13"/>
    </row>
    <row r="10" spans="1:15" ht="16.5" customHeight="1">
      <c r="A10" s="11"/>
      <c r="B10" s="11"/>
      <c r="C10" s="12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13"/>
    </row>
    <row r="11" spans="1:15" ht="16.5" customHeight="1">
      <c r="A11" s="11"/>
      <c r="B11" s="11"/>
      <c r="C11" s="12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13"/>
    </row>
    <row r="12" spans="1:15" ht="16.5" customHeight="1">
      <c r="A12" s="11"/>
      <c r="B12" s="11"/>
      <c r="C12" s="12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13"/>
    </row>
    <row r="13" spans="1:15" ht="16.5" customHeight="1">
      <c r="A13" s="11"/>
      <c r="B13" s="11"/>
      <c r="C13" s="12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13"/>
    </row>
    <row r="14" spans="1:15" ht="16.5" customHeight="1">
      <c r="A14" s="11"/>
      <c r="B14" s="11"/>
      <c r="C14" s="12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13"/>
    </row>
    <row r="15" spans="1:15" ht="16.5" customHeight="1">
      <c r="A15" s="11"/>
      <c r="B15" s="11"/>
      <c r="C15" s="12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13"/>
    </row>
    <row r="16" spans="1:15" ht="16.5" customHeight="1">
      <c r="A16" s="11"/>
      <c r="B16" s="11"/>
      <c r="C16" s="12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13"/>
    </row>
    <row r="17" spans="1:15" ht="16.5" customHeight="1">
      <c r="A17" s="11"/>
      <c r="B17" s="11"/>
      <c r="C17" s="12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13"/>
    </row>
    <row r="18" spans="1:15" ht="16.5" customHeight="1">
      <c r="A18" s="11"/>
      <c r="B18" s="11"/>
      <c r="C18" s="12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13"/>
    </row>
    <row r="19" spans="1:15" ht="16.5" customHeight="1">
      <c r="A19" s="11"/>
      <c r="B19" s="11"/>
      <c r="C19" s="12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13"/>
    </row>
    <row r="20" spans="1:15" ht="16.5" customHeight="1">
      <c r="A20" s="11"/>
      <c r="B20" s="11"/>
      <c r="C20" s="12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13"/>
    </row>
    <row r="21" spans="1:15" ht="16.5" customHeight="1">
      <c r="A21" s="11"/>
      <c r="B21" s="11"/>
      <c r="C21" s="12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13"/>
    </row>
    <row r="22" spans="1:15" ht="16.5" customHeight="1">
      <c r="A22" s="11"/>
      <c r="B22" s="11"/>
      <c r="C22" s="12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13"/>
    </row>
    <row r="23" spans="1:15" ht="16.5" customHeight="1">
      <c r="A23" s="11"/>
      <c r="B23" s="11"/>
      <c r="C23" s="12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13"/>
    </row>
    <row r="24" spans="1:15" ht="16.5" customHeight="1">
      <c r="A24" s="11"/>
      <c r="B24" s="11"/>
      <c r="C24" s="12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13"/>
    </row>
    <row r="25" spans="1:15" ht="16.5" customHeight="1">
      <c r="A25" s="11"/>
      <c r="B25" s="11"/>
      <c r="C25" s="12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13"/>
    </row>
    <row r="26" spans="1:15" ht="16.5" customHeight="1">
      <c r="A26" s="11"/>
      <c r="B26" s="11"/>
      <c r="C26" s="12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13"/>
    </row>
    <row r="27" spans="1:15" ht="16.5" customHeight="1">
      <c r="A27" s="11"/>
      <c r="B27" s="11"/>
      <c r="C27" s="12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13"/>
    </row>
    <row r="28" spans="1:15" ht="16.5" customHeight="1">
      <c r="A28" s="11"/>
      <c r="B28" s="11"/>
      <c r="C28" s="12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13"/>
    </row>
    <row r="29" spans="1:15" ht="16.5" customHeight="1">
      <c r="A29" s="11"/>
      <c r="B29" s="11"/>
      <c r="C29" s="12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13"/>
    </row>
  </sheetData>
  <mergeCells count="11">
    <mergeCell ref="J3:K3"/>
    <mergeCell ref="A1:O1"/>
    <mergeCell ref="A2:O2"/>
    <mergeCell ref="A3:A4"/>
    <mergeCell ref="B3:B4"/>
    <mergeCell ref="C3:C4"/>
    <mergeCell ref="N3:N4"/>
    <mergeCell ref="O3:O4"/>
    <mergeCell ref="D3:E3"/>
    <mergeCell ref="F3:G3"/>
    <mergeCell ref="H3:I3"/>
  </mergeCells>
  <phoneticPr fontId="3" type="noConversion"/>
  <pageMargins left="0.74803149606299213" right="0.19685039370078738" top="0.74803149606299213" bottom="0.55118110236220463" header="0.51181102362204722" footer="0.31496062992125989"/>
  <pageSetup paperSize="9" orientation="landscape" horizontalDpi="4294967293" verticalDpi="4294967293" r:id="rId1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8</vt:i4>
      </vt:variant>
    </vt:vector>
  </HeadingPairs>
  <TitlesOfParts>
    <vt:vector size="12" baseType="lpstr">
      <vt:lpstr>설계내역서</vt:lpstr>
      <vt:lpstr>집계표</vt:lpstr>
      <vt:lpstr>내역서</vt:lpstr>
      <vt:lpstr>자재단가대비표</vt:lpstr>
      <vt:lpstr>내역서!Print_Area</vt:lpstr>
      <vt:lpstr>설계내역서!Print_Area</vt:lpstr>
      <vt:lpstr>자재단가대비표!Print_Area</vt:lpstr>
      <vt:lpstr>집계표!Print_Area</vt:lpstr>
      <vt:lpstr>내역서!Print_Titles</vt:lpstr>
      <vt:lpstr>설계내역서!Print_Titles</vt:lpstr>
      <vt:lpstr>자재단가대비표!Print_Titles</vt:lpstr>
      <vt:lpstr>집계표!Print_Titles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ppp</dc:creator>
  <cp:lastModifiedBy>USER</cp:lastModifiedBy>
  <dcterms:created xsi:type="dcterms:W3CDTF">2016-08-12T07:46:06Z</dcterms:created>
  <dcterms:modified xsi:type="dcterms:W3CDTF">2016-08-22T23:53:36Z</dcterms:modified>
</cp:coreProperties>
</file>