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7.xml" ContentType="application/vnd.openxmlformats-officedocument.spreadsheetml.externalLink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8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6.xml" ContentType="application/vnd.openxmlformats-officedocument.spreadsheetml.externalLink+xml"/>
  <Override PartName="/xl/drawings/drawing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30" windowWidth="15240" windowHeight="8445" tabRatio="944"/>
  </bookViews>
  <sheets>
    <sheet name="심사내역서" sheetId="76" r:id="rId1"/>
    <sheet name="목차" sheetId="22" r:id="rId2"/>
    <sheet name="간지" sheetId="23" r:id="rId3"/>
    <sheet name="간지2" sheetId="24" r:id="rId4"/>
    <sheet name="간지3" sheetId="25" r:id="rId5"/>
    <sheet name="간지3 (2)" sheetId="74" r:id="rId6"/>
    <sheet name="집계" sheetId="1" r:id="rId7"/>
    <sheet name="간지6" sheetId="31" r:id="rId8"/>
    <sheet name="간지6 (7)" sheetId="73" r:id="rId9"/>
    <sheet name="원가집계" sheetId="42" r:id="rId10"/>
    <sheet name="원가" sheetId="2" r:id="rId11"/>
    <sheet name="간지6 (6)" sheetId="72" r:id="rId12"/>
    <sheet name="인집" sheetId="20" r:id="rId13"/>
    <sheet name="단위당인건비" sheetId="19" r:id="rId14"/>
    <sheet name="월기본급" sheetId="18" r:id="rId15"/>
    <sheet name="연장근로" sheetId="50" r:id="rId16"/>
    <sheet name="휴일근로" sheetId="51" r:id="rId17"/>
    <sheet name="산정기준" sheetId="28" r:id="rId18"/>
    <sheet name="투입인원" sheetId="16" r:id="rId19"/>
    <sheet name="간지6 (5)" sheetId="71" r:id="rId20"/>
    <sheet name="경비집계표" sheetId="15" r:id="rId21"/>
    <sheet name="보험료" sheetId="14" r:id="rId22"/>
    <sheet name="보험료산출기준" sheetId="29" r:id="rId23"/>
    <sheet name="산재비율" sheetId="13" r:id="rId24"/>
    <sheet name="복리후생비" sheetId="12" r:id="rId25"/>
    <sheet name="식대" sheetId="11" r:id="rId26"/>
    <sheet name="체력단련비" sheetId="61" r:id="rId27"/>
    <sheet name="피복비" sheetId="60" r:id="rId28"/>
    <sheet name="사업소세" sheetId="43" r:id="rId29"/>
    <sheet name="교육비" sheetId="44" r:id="rId30"/>
    <sheet name="간지6 (4)" sheetId="70" r:id="rId31"/>
    <sheet name="일반" sheetId="8" r:id="rId32"/>
    <sheet name="일반비율" sheetId="7" r:id="rId33"/>
    <sheet name="간지6 (3)" sheetId="69" r:id="rId34"/>
    <sheet name="이윤" sheetId="6" r:id="rId35"/>
    <sheet name="이윤율" sheetId="5" r:id="rId36"/>
    <sheet name="간지6 (2)" sheetId="68" r:id="rId37"/>
    <sheet name="기업" sheetId="4" r:id="rId38"/>
  </sheets>
  <externalReferences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1">#N/A</definedName>
    <definedName name="_2">#N/A</definedName>
    <definedName name="_3" localSheetId="5">#REF!</definedName>
    <definedName name="_3" localSheetId="36">#REF!</definedName>
    <definedName name="_3" localSheetId="33">#REF!</definedName>
    <definedName name="_3" localSheetId="30">#REF!</definedName>
    <definedName name="_3" localSheetId="19">#REF!</definedName>
    <definedName name="_3" localSheetId="11">#REF!</definedName>
    <definedName name="_3" localSheetId="8">#REF!</definedName>
    <definedName name="_3" localSheetId="26">#REF!</definedName>
    <definedName name="_3" localSheetId="27">#REF!</definedName>
    <definedName name="_3">#REF!</definedName>
    <definedName name="_B140007" localSheetId="5">[1]건축!#REF!</definedName>
    <definedName name="_B140007" localSheetId="36">[1]건축!#REF!</definedName>
    <definedName name="_B140007" localSheetId="33">[1]건축!#REF!</definedName>
    <definedName name="_B140007" localSheetId="30">[1]건축!#REF!</definedName>
    <definedName name="_B140007" localSheetId="19">[1]건축!#REF!</definedName>
    <definedName name="_B140007" localSheetId="11">[1]건축!#REF!</definedName>
    <definedName name="_B140007" localSheetId="8">[1]건축!#REF!</definedName>
    <definedName name="_B140007" localSheetId="26">[1]건축!#REF!</definedName>
    <definedName name="_B140007" localSheetId="27">[1]건축!#REF!</definedName>
    <definedName name="_B140007">[1]건축!#REF!</definedName>
    <definedName name="_Fill" localSheetId="5" hidden="1">#REF!</definedName>
    <definedName name="_Fill" localSheetId="36" hidden="1">#REF!</definedName>
    <definedName name="_Fill" localSheetId="33" hidden="1">#REF!</definedName>
    <definedName name="_Fill" localSheetId="30" hidden="1">#REF!</definedName>
    <definedName name="_Fill" localSheetId="19" hidden="1">#REF!</definedName>
    <definedName name="_Fill" localSheetId="11" hidden="1">#REF!</definedName>
    <definedName name="_Fill" localSheetId="8" hidden="1">#REF!</definedName>
    <definedName name="_Fill" localSheetId="26" hidden="1">#REF!</definedName>
    <definedName name="_Fill" localSheetId="27" hidden="1">#REF!</definedName>
    <definedName name="_Fill" hidden="1">#REF!</definedName>
    <definedName name="_Key1" localSheetId="5" hidden="1">#REF!</definedName>
    <definedName name="_Key1" localSheetId="36" hidden="1">#REF!</definedName>
    <definedName name="_Key1" localSheetId="33" hidden="1">#REF!</definedName>
    <definedName name="_Key1" localSheetId="30" hidden="1">#REF!</definedName>
    <definedName name="_Key1" localSheetId="19" hidden="1">#REF!</definedName>
    <definedName name="_Key1" localSheetId="11" hidden="1">#REF!</definedName>
    <definedName name="_Key1" localSheetId="8" hidden="1">#REF!</definedName>
    <definedName name="_Key1" localSheetId="26" hidden="1">#REF!</definedName>
    <definedName name="_Key1" localSheetId="27" hidden="1">#REF!</definedName>
    <definedName name="_Key1" hidden="1">#REF!</definedName>
    <definedName name="_Key2" localSheetId="5" hidden="1">#REF!</definedName>
    <definedName name="_Key2" localSheetId="36" hidden="1">#REF!</definedName>
    <definedName name="_Key2" localSheetId="33" hidden="1">#REF!</definedName>
    <definedName name="_Key2" localSheetId="30" hidden="1">#REF!</definedName>
    <definedName name="_Key2" localSheetId="19" hidden="1">#REF!</definedName>
    <definedName name="_Key2" localSheetId="11" hidden="1">#REF!</definedName>
    <definedName name="_Key2" localSheetId="8" hidden="1">#REF!</definedName>
    <definedName name="_Key2" localSheetId="26" hidden="1">#REF!</definedName>
    <definedName name="_Key2" localSheetId="27" hidden="1">#REF!</definedName>
    <definedName name="_Key2" hidden="1">#REF!</definedName>
    <definedName name="_Order1" hidden="1">255</definedName>
    <definedName name="_Order2" hidden="1">255</definedName>
    <definedName name="_Sort" localSheetId="5" hidden="1">#REF!</definedName>
    <definedName name="_Sort" localSheetId="36" hidden="1">#REF!</definedName>
    <definedName name="_Sort" localSheetId="33" hidden="1">#REF!</definedName>
    <definedName name="_Sort" localSheetId="30" hidden="1">#REF!</definedName>
    <definedName name="_Sort" localSheetId="19" hidden="1">#REF!</definedName>
    <definedName name="_Sort" localSheetId="11" hidden="1">#REF!</definedName>
    <definedName name="_Sort" localSheetId="8" hidden="1">#REF!</definedName>
    <definedName name="_Sort" localSheetId="26" hidden="1">#REF!</definedName>
    <definedName name="_Sort" localSheetId="27" hidden="1">#REF!</definedName>
    <definedName name="_Sort" hidden="1">#REF!</definedName>
    <definedName name="\a">#N/A</definedName>
    <definedName name="\z">#N/A</definedName>
    <definedName name="A">#N/A</definedName>
    <definedName name="AA" localSheetId="5">[2]경산!#REF!</definedName>
    <definedName name="AA" localSheetId="36">[2]경산!#REF!</definedName>
    <definedName name="AA" localSheetId="33">[2]경산!#REF!</definedName>
    <definedName name="AA" localSheetId="30">[2]경산!#REF!</definedName>
    <definedName name="AA" localSheetId="19">[2]경산!#REF!</definedName>
    <definedName name="AA" localSheetId="11">[2]경산!#REF!</definedName>
    <definedName name="AA" localSheetId="8">[2]경산!#REF!</definedName>
    <definedName name="AA" localSheetId="26">[2]경산!#REF!</definedName>
    <definedName name="AA" localSheetId="27">[2]경산!#REF!</definedName>
    <definedName name="AA">[2]경산!#REF!</definedName>
    <definedName name="CODE">#REF!</definedName>
    <definedName name="DATA">#REF!</definedName>
    <definedName name="_xlnm.Database">#REF!</definedName>
    <definedName name="DEMO" localSheetId="5">#REF!</definedName>
    <definedName name="DEMO" localSheetId="36">#REF!</definedName>
    <definedName name="DEMO" localSheetId="33">#REF!</definedName>
    <definedName name="DEMO" localSheetId="30">#REF!</definedName>
    <definedName name="DEMO" localSheetId="19">#REF!</definedName>
    <definedName name="DEMO" localSheetId="11">#REF!</definedName>
    <definedName name="DEMO" localSheetId="8">#REF!</definedName>
    <definedName name="DEMO" localSheetId="26">#REF!</definedName>
    <definedName name="DEMO" localSheetId="27">#REF!</definedName>
    <definedName name="DEMO">#REF!</definedName>
    <definedName name="HIT">'[3]2F 회의실견적(5_14 일대)'!$J$31</definedName>
    <definedName name="_xlnm.Print_Area" localSheetId="7">간지6!$A$1:$D$21</definedName>
    <definedName name="_xlnm.Print_Area" localSheetId="36">'간지6 (2)'!$A$1:$D$17</definedName>
    <definedName name="_xlnm.Print_Area" localSheetId="33">'간지6 (3)'!$A$1:$D$17</definedName>
    <definedName name="_xlnm.Print_Area" localSheetId="30">'간지6 (4)'!$A$1:$D$16</definedName>
    <definedName name="_xlnm.Print_Area" localSheetId="19">'간지6 (5)'!$A$1:$D$21</definedName>
    <definedName name="_xlnm.Print_Area" localSheetId="11">'간지6 (6)'!$A$1:$D$21</definedName>
    <definedName name="_xlnm.Print_Area" localSheetId="8">'간지6 (7)'!$A$1:$D$17</definedName>
    <definedName name="_xlnm.Print_Area" localSheetId="20">경비집계표!$A$1:$I$72</definedName>
    <definedName name="_xlnm.Print_Area" localSheetId="37">기업!$A$1:$H$54</definedName>
    <definedName name="_xlnm.Print_Area" localSheetId="13">단위당인건비!$A$1:$J$212</definedName>
    <definedName name="_xlnm.Print_Area" localSheetId="21">보험료!$A$1:$J$233</definedName>
    <definedName name="_xlnm.Print_Area" localSheetId="22">보험료산출기준!$A$1:$H$12</definedName>
    <definedName name="_xlnm.Print_Area" localSheetId="24">복리후생비!$A$1:$M$21</definedName>
    <definedName name="_xlnm.Print_Area" localSheetId="23">산재비율!$A$1:$H$42</definedName>
    <definedName name="_xlnm.Print_Area" localSheetId="17">산정기준!$A$1:$G$12</definedName>
    <definedName name="_xlnm.Print_Area" localSheetId="25">식대!$A$1:$K$19</definedName>
    <definedName name="_xlnm.Print_Area" localSheetId="15">연장근로!$A$1:$G$13</definedName>
    <definedName name="_xlnm.Print_Area" localSheetId="10">원가!$A$1:$L$385</definedName>
    <definedName name="_xlnm.Print_Area" localSheetId="9">원가집계!$A$1:$L$35</definedName>
    <definedName name="_xlnm.Print_Area" localSheetId="14">월기본급!$A$1:$K$22</definedName>
    <definedName name="_xlnm.Print_Area" localSheetId="35">이윤율!$A$1:$F$13</definedName>
    <definedName name="_xlnm.Print_Area" localSheetId="12">인집!$A$1:$K$19</definedName>
    <definedName name="_xlnm.Print_Area" localSheetId="32">일반비율!$A$1:$I$23</definedName>
    <definedName name="_xlnm.Print_Area" localSheetId="6">집계!$A$1:$N$22</definedName>
    <definedName name="_xlnm.Print_Area" localSheetId="26">체력단련비!$A$1:$K$19</definedName>
    <definedName name="_xlnm.Print_Area" localSheetId="18">투입인원!$A$1:$J$31</definedName>
    <definedName name="_xlnm.Print_Area" localSheetId="27">피복비!$A$1:$K$19</definedName>
    <definedName name="_xlnm.Print_Area" localSheetId="16">휴일근로!$A$1:$G$13</definedName>
    <definedName name="_xlnm.Print_Area">#REF!</definedName>
    <definedName name="_xlnm.Print_Titles" localSheetId="13">단위당인건비!$2:$3</definedName>
    <definedName name="_xlnm.Print_Titles" localSheetId="21">보험료!$2:$3</definedName>
    <definedName name="T">#N/A</definedName>
    <definedName name="UNIT">#REF!</definedName>
    <definedName name="WW" localSheetId="5">[4]직노!#REF!</definedName>
    <definedName name="WW" localSheetId="36">[4]직노!#REF!</definedName>
    <definedName name="WW" localSheetId="33">[4]직노!#REF!</definedName>
    <definedName name="WW" localSheetId="30">[4]직노!#REF!</definedName>
    <definedName name="WW" localSheetId="19">[4]직노!#REF!</definedName>
    <definedName name="WW" localSheetId="11">[4]직노!#REF!</definedName>
    <definedName name="WW" localSheetId="8">[4]직노!#REF!</definedName>
    <definedName name="WW" localSheetId="26">[4]직노!#REF!</definedName>
    <definedName name="WW" localSheetId="27">[4]직노!#REF!</definedName>
    <definedName name="WW">[4]직노!#REF!</definedName>
    <definedName name="經費">#REF!</definedName>
    <definedName name="기" localSheetId="5">[5]경산!#REF!</definedName>
    <definedName name="기" localSheetId="36">[5]경산!#REF!</definedName>
    <definedName name="기" localSheetId="33">[5]경산!#REF!</definedName>
    <definedName name="기" localSheetId="30">[5]경산!#REF!</definedName>
    <definedName name="기" localSheetId="19">[5]경산!#REF!</definedName>
    <definedName name="기" localSheetId="11">[5]경산!#REF!</definedName>
    <definedName name="기" localSheetId="8">[5]경산!#REF!</definedName>
    <definedName name="기" localSheetId="26">[5]경산!#REF!</definedName>
    <definedName name="기" localSheetId="27">[5]경산!#REF!</definedName>
    <definedName name="기">[5]경산!#REF!</definedName>
    <definedName name="勞務費">#REF!</definedName>
    <definedName name="ㅁ" localSheetId="5">[6]경산!#REF!</definedName>
    <definedName name="ㅁ" localSheetId="36">[6]경산!#REF!</definedName>
    <definedName name="ㅁ" localSheetId="33">[6]경산!#REF!</definedName>
    <definedName name="ㅁ" localSheetId="30">[6]경산!#REF!</definedName>
    <definedName name="ㅁ" localSheetId="19">[6]경산!#REF!</definedName>
    <definedName name="ㅁ" localSheetId="11">[6]경산!#REF!</definedName>
    <definedName name="ㅁ" localSheetId="8">[6]경산!#REF!</definedName>
    <definedName name="ㅁ" localSheetId="26">[6]경산!#REF!</definedName>
    <definedName name="ㅁ" localSheetId="27">[6]경산!#REF!</definedName>
    <definedName name="ㅁ">[6]경산!#REF!</definedName>
    <definedName name="ㅁ1" localSheetId="5">[7]경산!#REF!</definedName>
    <definedName name="ㅁ1" localSheetId="36">[7]경산!#REF!</definedName>
    <definedName name="ㅁ1" localSheetId="33">[7]경산!#REF!</definedName>
    <definedName name="ㅁ1" localSheetId="30">[7]경산!#REF!</definedName>
    <definedName name="ㅁ1" localSheetId="19">[7]경산!#REF!</definedName>
    <definedName name="ㅁ1" localSheetId="11">[7]경산!#REF!</definedName>
    <definedName name="ㅁ1" localSheetId="8">[7]경산!#REF!</definedName>
    <definedName name="ㅁ1" localSheetId="26">[7]경산!#REF!</definedName>
    <definedName name="ㅁ1" localSheetId="27">[7]경산!#REF!</definedName>
    <definedName name="ㅁ1">[7]경산!#REF!</definedName>
    <definedName name="ㅁ384K5" localSheetId="5">[1]건축!#REF!</definedName>
    <definedName name="ㅁ384K5" localSheetId="36">[1]건축!#REF!</definedName>
    <definedName name="ㅁ384K5" localSheetId="33">[1]건축!#REF!</definedName>
    <definedName name="ㅁ384K5" localSheetId="30">[1]건축!#REF!</definedName>
    <definedName name="ㅁ384K5" localSheetId="19">[1]건축!#REF!</definedName>
    <definedName name="ㅁ384K5" localSheetId="11">[1]건축!#REF!</definedName>
    <definedName name="ㅁ384K5" localSheetId="8">[1]건축!#REF!</definedName>
    <definedName name="ㅁ384K5" localSheetId="26">[1]건축!#REF!</definedName>
    <definedName name="ㅁ384K5" localSheetId="27">[1]건축!#REF!</definedName>
    <definedName name="ㅁ384K5">[1]건축!#REF!</definedName>
    <definedName name="ㅁ60" localSheetId="5">[8]직노!#REF!</definedName>
    <definedName name="ㅁ60" localSheetId="36">[8]직노!#REF!</definedName>
    <definedName name="ㅁ60" localSheetId="33">[8]직노!#REF!</definedName>
    <definedName name="ㅁ60" localSheetId="30">[8]직노!#REF!</definedName>
    <definedName name="ㅁ60" localSheetId="19">[8]직노!#REF!</definedName>
    <definedName name="ㅁ60" localSheetId="11">[8]직노!#REF!</definedName>
    <definedName name="ㅁ60" localSheetId="8">[8]직노!#REF!</definedName>
    <definedName name="ㅁ60" localSheetId="26">[8]직노!#REF!</definedName>
    <definedName name="ㅁ60" localSheetId="27">[8]직노!#REF!</definedName>
    <definedName name="ㅁ60">[8]직노!#REF!</definedName>
    <definedName name="ㅂㅂㅂ" localSheetId="5">[4]직노!#REF!</definedName>
    <definedName name="ㅂㅂㅂ" localSheetId="36">[4]직노!#REF!</definedName>
    <definedName name="ㅂㅂㅂ" localSheetId="33">[4]직노!#REF!</definedName>
    <definedName name="ㅂㅂㅂ" localSheetId="30">[4]직노!#REF!</definedName>
    <definedName name="ㅂㅂㅂ" localSheetId="19">[4]직노!#REF!</definedName>
    <definedName name="ㅂㅂㅂ" localSheetId="11">[4]직노!#REF!</definedName>
    <definedName name="ㅂㅂㅂ" localSheetId="8">[4]직노!#REF!</definedName>
    <definedName name="ㅂㅂㅂ" localSheetId="26">[4]직노!#REF!</definedName>
    <definedName name="ㅂㅂㅂ" localSheetId="27">[4]직노!#REF!</definedName>
    <definedName name="ㅂㅂㅂ">[4]직노!#REF!</definedName>
    <definedName name="보" localSheetId="5">[9]직노!#REF!</definedName>
    <definedName name="보" localSheetId="36">[9]직노!#REF!</definedName>
    <definedName name="보" localSheetId="33">[9]직노!#REF!</definedName>
    <definedName name="보" localSheetId="30">[9]직노!#REF!</definedName>
    <definedName name="보" localSheetId="19">[9]직노!#REF!</definedName>
    <definedName name="보" localSheetId="11">[9]직노!#REF!</definedName>
    <definedName name="보" localSheetId="8">[9]직노!#REF!</definedName>
    <definedName name="보" localSheetId="26">[9]직노!#REF!</definedName>
    <definedName name="보" localSheetId="27">[9]직노!#REF!</definedName>
    <definedName name="보">[9]직노!#REF!</definedName>
    <definedName name="附加價値稅">#REF!</definedName>
    <definedName name="사인">#REF!</definedName>
    <definedName name="純工事原價">#REF!</definedName>
    <definedName name="利潤">#REF!</definedName>
    <definedName name="一般管理費">#REF!</definedName>
    <definedName name="일위대가">'[10] HIT-&gt;HMC 견적(3900)'!$J$31</definedName>
    <definedName name="일의01" localSheetId="5">[11]직노!#REF!</definedName>
    <definedName name="일의01" localSheetId="36">[11]직노!#REF!</definedName>
    <definedName name="일의01" localSheetId="33">[11]직노!#REF!</definedName>
    <definedName name="일의01" localSheetId="30">[11]직노!#REF!</definedName>
    <definedName name="일의01" localSheetId="19">[11]직노!#REF!</definedName>
    <definedName name="일의01" localSheetId="11">[11]직노!#REF!</definedName>
    <definedName name="일의01" localSheetId="8">[11]직노!#REF!</definedName>
    <definedName name="일의01" localSheetId="26">[11]직노!#REF!</definedName>
    <definedName name="일의01" localSheetId="27">[11]직노!#REF!</definedName>
    <definedName name="일의01">[11]직노!#REF!</definedName>
    <definedName name="材料費">#REF!</definedName>
    <definedName name="直接人件費">#REF!</definedName>
    <definedName name="청마총괄" localSheetId="5">[12]직노!#REF!</definedName>
    <definedName name="청마총괄" localSheetId="36">[12]직노!#REF!</definedName>
    <definedName name="청마총괄" localSheetId="33">[12]직노!#REF!</definedName>
    <definedName name="청마총괄" localSheetId="30">[12]직노!#REF!</definedName>
    <definedName name="청마총괄" localSheetId="19">[12]직노!#REF!</definedName>
    <definedName name="청마총괄" localSheetId="11">[12]직노!#REF!</definedName>
    <definedName name="청마총괄" localSheetId="8">[12]직노!#REF!</definedName>
    <definedName name="청마총괄" localSheetId="26">[12]직노!#REF!</definedName>
    <definedName name="청마총괄" localSheetId="27">[12]직노!#REF!</definedName>
    <definedName name="청마총괄">[12]직노!#REF!</definedName>
    <definedName name="총괄표" localSheetId="5">[12]직노!#REF!</definedName>
    <definedName name="총괄표" localSheetId="36">[12]직노!#REF!</definedName>
    <definedName name="총괄표" localSheetId="33">[12]직노!#REF!</definedName>
    <definedName name="총괄표" localSheetId="30">[12]직노!#REF!</definedName>
    <definedName name="총괄표" localSheetId="19">[12]직노!#REF!</definedName>
    <definedName name="총괄표" localSheetId="11">[12]직노!#REF!</definedName>
    <definedName name="총괄표" localSheetId="8">[12]직노!#REF!</definedName>
    <definedName name="총괄표" localSheetId="26">[12]직노!#REF!</definedName>
    <definedName name="총괄표" localSheetId="27">[12]직노!#REF!</definedName>
    <definedName name="총괄표">[12]직노!#REF!</definedName>
    <definedName name="總原價">#REF!</definedName>
    <definedName name="총집계">#REF!</definedName>
    <definedName name="ㅎ314" localSheetId="5">#REF!</definedName>
    <definedName name="ㅎ314" localSheetId="36">#REF!</definedName>
    <definedName name="ㅎ314" localSheetId="33">#REF!</definedName>
    <definedName name="ㅎ314" localSheetId="30">#REF!</definedName>
    <definedName name="ㅎ314" localSheetId="19">#REF!</definedName>
    <definedName name="ㅎ314" localSheetId="11">#REF!</definedName>
    <definedName name="ㅎ314" localSheetId="8">#REF!</definedName>
    <definedName name="ㅎ314" localSheetId="26">#REF!</definedName>
    <definedName name="ㅎ314" localSheetId="27">#REF!</definedName>
    <definedName name="ㅎ314">#REF!</definedName>
  </definedNames>
  <calcPr calcId="125725"/>
</workbook>
</file>

<file path=xl/calcChain.xml><?xml version="1.0" encoding="utf-8"?>
<calcChain xmlns="http://schemas.openxmlformats.org/spreadsheetml/2006/main">
  <c r="E20" i="76"/>
  <c r="E21" s="1"/>
  <c r="D21" s="1"/>
  <c r="G16"/>
  <c r="E16" s="1"/>
  <c r="D16" s="1"/>
  <c r="G17"/>
  <c r="E17" s="1"/>
  <c r="D17" s="1"/>
  <c r="G18"/>
  <c r="E18" s="1"/>
  <c r="D18" s="1"/>
  <c r="I26"/>
  <c r="I27" s="1"/>
  <c r="F26"/>
  <c r="F27" s="1"/>
  <c r="D20" l="1"/>
  <c r="L8" i="19"/>
  <c r="F9" i="50"/>
  <c r="A4" i="2" l="1"/>
  <c r="G11"/>
  <c r="L15"/>
  <c r="L29"/>
  <c r="A39"/>
  <c r="G46"/>
  <c r="L50"/>
  <c r="L64"/>
  <c r="A74"/>
  <c r="G81"/>
  <c r="L85"/>
  <c r="L99"/>
  <c r="A109"/>
  <c r="G116"/>
  <c r="L120"/>
  <c r="L134"/>
  <c r="A144"/>
  <c r="G151"/>
  <c r="L155"/>
  <c r="L169"/>
  <c r="A179"/>
  <c r="G186"/>
  <c r="L190"/>
  <c r="L204"/>
  <c r="A214"/>
  <c r="G221"/>
  <c r="L225"/>
  <c r="L239"/>
  <c r="A249"/>
  <c r="G256"/>
  <c r="L260"/>
  <c r="L274"/>
  <c r="H7" i="1"/>
  <c r="H8"/>
  <c r="H9"/>
  <c r="H10"/>
  <c r="B6" i="20"/>
  <c r="C7" i="1" s="1"/>
  <c r="E6" i="20"/>
  <c r="F7" i="1" s="1"/>
  <c r="B7" i="20"/>
  <c r="C8" i="1" s="1"/>
  <c r="E7" i="20"/>
  <c r="F8" i="1" s="1"/>
  <c r="B8" i="20"/>
  <c r="C9" i="1" s="1"/>
  <c r="E8" i="20"/>
  <c r="F9" i="1" s="1"/>
  <c r="B9" i="20"/>
  <c r="C10" i="1" s="1"/>
  <c r="E9" i="20"/>
  <c r="F10" i="1" s="1"/>
  <c r="B10" i="20"/>
  <c r="C11" i="1" s="1"/>
  <c r="E10" i="20"/>
  <c r="F11" i="1" s="1"/>
  <c r="B11" i="20"/>
  <c r="E11"/>
  <c r="B12"/>
  <c r="E12"/>
  <c r="B13"/>
  <c r="E13"/>
  <c r="J9" i="18"/>
  <c r="E6" i="19" s="1"/>
  <c r="A21" s="1"/>
  <c r="J10" i="18"/>
  <c r="E25" i="19" s="1"/>
  <c r="G42" i="2" s="1"/>
  <c r="J11" i="18"/>
  <c r="E44" i="19" s="1"/>
  <c r="G8" i="20" s="1"/>
  <c r="J12" i="18"/>
  <c r="E63" i="19" s="1"/>
  <c r="G9" i="20" s="1"/>
  <c r="J13" i="18"/>
  <c r="J14"/>
  <c r="E101" i="19" s="1"/>
  <c r="G182" i="2" s="1"/>
  <c r="J15" i="18"/>
  <c r="E120" i="19" s="1"/>
  <c r="A135" s="1"/>
  <c r="J16" i="18"/>
  <c r="A4" i="19"/>
  <c r="L7"/>
  <c r="A15"/>
  <c r="A23"/>
  <c r="K26"/>
  <c r="A34"/>
  <c r="A42"/>
  <c r="A53"/>
  <c r="A61"/>
  <c r="K64"/>
  <c r="A72"/>
  <c r="A80"/>
  <c r="E82"/>
  <c r="E85" s="1"/>
  <c r="G150" i="2" s="1"/>
  <c r="A91" i="19"/>
  <c r="A99"/>
  <c r="A110"/>
  <c r="A118"/>
  <c r="A129"/>
  <c r="A137"/>
  <c r="E139"/>
  <c r="A152" s="1"/>
  <c r="A148"/>
  <c r="H14" i="1"/>
  <c r="H13"/>
  <c r="H12"/>
  <c r="D26" i="16"/>
  <c r="D28"/>
  <c r="D29"/>
  <c r="B14" i="20"/>
  <c r="E14"/>
  <c r="F12" i="1" s="1"/>
  <c r="B15" i="20"/>
  <c r="H5" i="42" s="1"/>
  <c r="E15" i="20"/>
  <c r="F13" i="1" s="1"/>
  <c r="B16" i="20"/>
  <c r="G5" i="42" s="1"/>
  <c r="E16" i="20"/>
  <c r="F14" i="1" s="1"/>
  <c r="G112" i="2" l="1"/>
  <c r="G11" i="20"/>
  <c r="G6"/>
  <c r="H16" i="1"/>
  <c r="G147" i="2"/>
  <c r="G7"/>
  <c r="G12" i="20"/>
  <c r="G252" i="2"/>
  <c r="G7" i="20"/>
  <c r="G10"/>
  <c r="G13"/>
  <c r="G217" i="2"/>
  <c r="G77"/>
  <c r="E88" i="19"/>
  <c r="A95"/>
  <c r="E66"/>
  <c r="G115" i="2" s="1"/>
  <c r="A76" i="19"/>
  <c r="A78"/>
  <c r="E145"/>
  <c r="A114"/>
  <c r="E123"/>
  <c r="G220" i="2" s="1"/>
  <c r="A154" i="19"/>
  <c r="E126"/>
  <c r="A133"/>
  <c r="A116"/>
  <c r="E28"/>
  <c r="G45" i="2" s="1"/>
  <c r="E31" i="19"/>
  <c r="E47"/>
  <c r="G80" i="2" s="1"/>
  <c r="E50" i="19"/>
  <c r="A59"/>
  <c r="E142"/>
  <c r="G255" i="2" s="1"/>
  <c r="E104" i="19"/>
  <c r="G185" i="2" s="1"/>
  <c r="E107" i="19"/>
  <c r="E69"/>
  <c r="A97"/>
  <c r="A40"/>
  <c r="E12"/>
  <c r="G6" i="42"/>
  <c r="E7" i="19"/>
  <c r="G8" i="2" s="1"/>
  <c r="E26" i="19"/>
  <c r="G43" i="2" s="1"/>
  <c r="E64" i="19"/>
  <c r="G113" i="2" s="1"/>
  <c r="E45" i="19"/>
  <c r="G78" i="2" s="1"/>
  <c r="A16" i="19"/>
  <c r="E140"/>
  <c r="G253" i="2" s="1"/>
  <c r="E121" i="19"/>
  <c r="G218" i="2" s="1"/>
  <c r="E102" i="19"/>
  <c r="G183" i="2" s="1"/>
  <c r="E83" i="19"/>
  <c r="G148" i="2" s="1"/>
  <c r="A54" i="19"/>
  <c r="A35"/>
  <c r="A149"/>
  <c r="A130"/>
  <c r="A111"/>
  <c r="A92"/>
  <c r="A73"/>
  <c r="A19"/>
  <c r="E9"/>
  <c r="G10" i="2" s="1"/>
  <c r="A57" i="19"/>
  <c r="A38"/>
  <c r="H6" i="42"/>
  <c r="G188" i="2" l="1"/>
  <c r="I11" i="20"/>
  <c r="I9"/>
  <c r="G118" i="2"/>
  <c r="G48"/>
  <c r="I7" i="20"/>
  <c r="G258" i="2"/>
  <c r="I13" i="20"/>
  <c r="I6"/>
  <c r="G13" i="2"/>
  <c r="G223"/>
  <c r="I12" i="20"/>
  <c r="I8"/>
  <c r="G83" i="2"/>
  <c r="G153"/>
  <c r="I10" i="20"/>
  <c r="L379" i="2"/>
  <c r="G361"/>
  <c r="A354"/>
  <c r="A213" i="14" s="1"/>
  <c r="L365" i="2"/>
  <c r="I11" i="42"/>
  <c r="A150" i="14"/>
  <c r="K17" i="60"/>
  <c r="G17"/>
  <c r="I17" s="1"/>
  <c r="K17" i="12" s="1"/>
  <c r="G64" i="15" s="1"/>
  <c r="G375" i="2" s="1"/>
  <c r="K14" i="60"/>
  <c r="G14"/>
  <c r="I14" s="1"/>
  <c r="K14" i="12" s="1"/>
  <c r="H40" i="15" s="1"/>
  <c r="K17" i="61"/>
  <c r="G17"/>
  <c r="I17" s="1"/>
  <c r="J17" i="12" s="1"/>
  <c r="G63" i="15" s="1"/>
  <c r="G374" i="2" s="1"/>
  <c r="K14" i="61"/>
  <c r="G14"/>
  <c r="I14" s="1"/>
  <c r="J14" i="12" s="1"/>
  <c r="H39" i="15" s="1"/>
  <c r="M17" i="11"/>
  <c r="M14"/>
  <c r="A227" i="14"/>
  <c r="A226"/>
  <c r="A164"/>
  <c r="A163"/>
  <c r="G54" i="15"/>
  <c r="B19" i="8"/>
  <c r="B19" i="6" s="1"/>
  <c r="I6" i="42"/>
  <c r="I5"/>
  <c r="B16" i="8"/>
  <c r="B16" i="6" s="1"/>
  <c r="A194" i="19"/>
  <c r="A205"/>
  <c r="D7" i="70"/>
  <c r="D8"/>
  <c r="D7" i="68"/>
  <c r="D7" i="69"/>
  <c r="D8"/>
  <c r="A1" i="74"/>
  <c r="D8" i="73"/>
  <c r="D7"/>
  <c r="A1"/>
  <c r="D14" i="72"/>
  <c r="D13"/>
  <c r="D12"/>
  <c r="D11"/>
  <c r="D10"/>
  <c r="D9"/>
  <c r="D8"/>
  <c r="D7"/>
  <c r="A1"/>
  <c r="D16" i="71"/>
  <c r="D15"/>
  <c r="D14"/>
  <c r="D13"/>
  <c r="D12"/>
  <c r="D11"/>
  <c r="D10"/>
  <c r="D9"/>
  <c r="D8"/>
  <c r="D7"/>
  <c r="A1"/>
  <c r="A1" i="70"/>
  <c r="A1" i="69"/>
  <c r="A1" i="68"/>
  <c r="H63" i="15"/>
  <c r="A21" i="12"/>
  <c r="A20"/>
  <c r="A18" i="60"/>
  <c r="A18" i="61"/>
  <c r="K16"/>
  <c r="K15"/>
  <c r="K13"/>
  <c r="K12"/>
  <c r="K11"/>
  <c r="K10"/>
  <c r="K9"/>
  <c r="K8"/>
  <c r="K7"/>
  <c r="G16"/>
  <c r="I16" s="1"/>
  <c r="J16" i="12" s="1"/>
  <c r="F63" i="15" s="1"/>
  <c r="G339" i="2" s="1"/>
  <c r="G15" i="61"/>
  <c r="I15" s="1"/>
  <c r="J15" i="12" s="1"/>
  <c r="E63" i="15" s="1"/>
  <c r="G304" i="2" s="1"/>
  <c r="G13" i="61"/>
  <c r="I13"/>
  <c r="J13" i="12" s="1"/>
  <c r="G39" i="15" s="1"/>
  <c r="G12" i="61"/>
  <c r="I12" s="1"/>
  <c r="J12" i="12" s="1"/>
  <c r="F39" i="15" s="1"/>
  <c r="G11" i="61"/>
  <c r="I11" s="1"/>
  <c r="J11" i="12" s="1"/>
  <c r="E39" i="15" s="1"/>
  <c r="G164" i="2" s="1"/>
  <c r="G10" i="61"/>
  <c r="I10" s="1"/>
  <c r="J10" i="12" s="1"/>
  <c r="H15" i="15" s="1"/>
  <c r="G129" i="2" s="1"/>
  <c r="G9" i="61"/>
  <c r="I9" s="1"/>
  <c r="J9" i="12" s="1"/>
  <c r="G15" i="15" s="1"/>
  <c r="G94" i="2" s="1"/>
  <c r="G8" i="61"/>
  <c r="I8"/>
  <c r="J8" i="12" s="1"/>
  <c r="F15" i="15" s="1"/>
  <c r="G59" i="2" s="1"/>
  <c r="G7" i="61"/>
  <c r="I7" s="1"/>
  <c r="J7" i="12" s="1"/>
  <c r="E15" i="15" s="1"/>
  <c r="G24" i="2" s="1"/>
  <c r="K7" i="60"/>
  <c r="G8"/>
  <c r="I8" s="1"/>
  <c r="K8" i="12" s="1"/>
  <c r="F16" i="15" s="1"/>
  <c r="G60" i="2" s="1"/>
  <c r="G9" i="60"/>
  <c r="I9" s="1"/>
  <c r="K9" i="12" s="1"/>
  <c r="G16" i="15" s="1"/>
  <c r="G95" i="2" s="1"/>
  <c r="G10" i="60"/>
  <c r="I10" s="1"/>
  <c r="K10" i="12" s="1"/>
  <c r="H16" i="15" s="1"/>
  <c r="G130" i="2" s="1"/>
  <c r="G11" i="60"/>
  <c r="I11" s="1"/>
  <c r="K11" i="12" s="1"/>
  <c r="E40" i="15" s="1"/>
  <c r="G165" i="2" s="1"/>
  <c r="G12" i="60"/>
  <c r="I12" s="1"/>
  <c r="K12" i="12" s="1"/>
  <c r="F40" i="15" s="1"/>
  <c r="G13" i="60"/>
  <c r="I13" s="1"/>
  <c r="K13" i="12" s="1"/>
  <c r="G40" i="15" s="1"/>
  <c r="G15" i="60"/>
  <c r="I15"/>
  <c r="K15" i="12" s="1"/>
  <c r="E64" i="15" s="1"/>
  <c r="G305" i="2" s="1"/>
  <c r="G16" i="60"/>
  <c r="I16" s="1"/>
  <c r="K16" i="12" s="1"/>
  <c r="F64" i="15" s="1"/>
  <c r="G340" i="2" s="1"/>
  <c r="G7" i="60"/>
  <c r="I7" s="1"/>
  <c r="K7" i="12" s="1"/>
  <c r="E16" i="15" s="1"/>
  <c r="G25" i="2" s="1"/>
  <c r="K16" i="60"/>
  <c r="K15"/>
  <c r="K13"/>
  <c r="K12"/>
  <c r="K11"/>
  <c r="K10"/>
  <c r="K9"/>
  <c r="K8"/>
  <c r="A19" i="12"/>
  <c r="A1" i="31"/>
  <c r="A1" i="25"/>
  <c r="A1" i="24"/>
  <c r="K10" i="6"/>
  <c r="K11" s="1"/>
  <c r="K12" s="1"/>
  <c r="K13" s="1"/>
  <c r="K14" s="1"/>
  <c r="K15" s="1"/>
  <c r="J10" i="8"/>
  <c r="J11" s="1"/>
  <c r="J12" s="1"/>
  <c r="J13" s="1"/>
  <c r="J14" s="1"/>
  <c r="J15" s="1"/>
  <c r="I8" i="44"/>
  <c r="I9" s="1"/>
  <c r="I10" i="43"/>
  <c r="I11" s="1"/>
  <c r="I12" s="1"/>
  <c r="I13" s="1"/>
  <c r="I14" s="1"/>
  <c r="I9"/>
  <c r="M16" i="11"/>
  <c r="M15"/>
  <c r="A206" i="14"/>
  <c r="A205"/>
  <c r="A185"/>
  <c r="A184"/>
  <c r="H10"/>
  <c r="H177" s="1"/>
  <c r="H11"/>
  <c r="H178" s="1"/>
  <c r="H12"/>
  <c r="H116" s="1"/>
  <c r="H13"/>
  <c r="H180" s="1"/>
  <c r="H14"/>
  <c r="H9"/>
  <c r="H6" i="29"/>
  <c r="H15" i="1"/>
  <c r="F30" i="16"/>
  <c r="A18" i="1"/>
  <c r="A17"/>
  <c r="G326" i="2"/>
  <c r="A319"/>
  <c r="A192" i="14" s="1"/>
  <c r="L344" i="2"/>
  <c r="L330"/>
  <c r="G291"/>
  <c r="A284"/>
  <c r="A171" i="14" s="1"/>
  <c r="L309" i="2"/>
  <c r="L295"/>
  <c r="A175" i="19"/>
  <c r="A186"/>
  <c r="A156"/>
  <c r="A167"/>
  <c r="K6" i="42"/>
  <c r="K5"/>
  <c r="E15" i="11"/>
  <c r="B15" i="61"/>
  <c r="I7" i="28"/>
  <c r="B8" i="44"/>
  <c r="B7" i="61"/>
  <c r="M7" i="11"/>
  <c r="M9"/>
  <c r="M8"/>
  <c r="M10"/>
  <c r="M11"/>
  <c r="M12"/>
  <c r="M13"/>
  <c r="F8" i="50"/>
  <c r="F10" s="1"/>
  <c r="F8" i="51"/>
  <c r="F10" s="1"/>
  <c r="B9" i="11"/>
  <c r="E9" i="61"/>
  <c r="E8" i="11"/>
  <c r="B10" i="12"/>
  <c r="E10" i="60"/>
  <c r="B12" i="43"/>
  <c r="E30" i="15"/>
  <c r="E12" i="60"/>
  <c r="B13" i="12"/>
  <c r="E13"/>
  <c r="L7" i="11"/>
  <c r="J7" i="44"/>
  <c r="E19" i="15" s="1"/>
  <c r="G28" i="2" s="1"/>
  <c r="H117" i="14"/>
  <c r="H134"/>
  <c r="G9" i="7"/>
  <c r="G7"/>
  <c r="G52" i="4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E7" i="61"/>
  <c r="A72" i="15"/>
  <c r="A48"/>
  <c r="A24"/>
  <c r="A4" i="42"/>
  <c r="G11" i="7"/>
  <c r="G12"/>
  <c r="G13"/>
  <c r="G14"/>
  <c r="G15"/>
  <c r="G16"/>
  <c r="A22"/>
  <c r="A129" i="14"/>
  <c r="A108"/>
  <c r="G11" i="42"/>
  <c r="H11"/>
  <c r="B9" i="12"/>
  <c r="E14" i="8"/>
  <c r="E14" i="6" s="1"/>
  <c r="E15" i="8"/>
  <c r="E15" i="6" s="1"/>
  <c r="G30" i="15"/>
  <c r="A71"/>
  <c r="A70"/>
  <c r="A69"/>
  <c r="A47"/>
  <c r="A46"/>
  <c r="A45"/>
  <c r="A23"/>
  <c r="A22"/>
  <c r="A21"/>
  <c r="A20" i="43"/>
  <c r="A23" i="8"/>
  <c r="A22"/>
  <c r="A21"/>
  <c r="A87" i="14"/>
  <c r="A66"/>
  <c r="A24"/>
  <c r="A45"/>
  <c r="A4"/>
  <c r="A101"/>
  <c r="A100"/>
  <c r="A80"/>
  <c r="A79"/>
  <c r="A143"/>
  <c r="A142"/>
  <c r="A122"/>
  <c r="A121"/>
  <c r="A38"/>
  <c r="A37"/>
  <c r="A59"/>
  <c r="A58"/>
  <c r="A18" i="11"/>
  <c r="A18" i="20"/>
  <c r="A18" i="14"/>
  <c r="A22" i="6"/>
  <c r="A17" i="14"/>
  <c r="A24" i="6"/>
  <c r="A23"/>
  <c r="A21"/>
  <c r="A19" i="7"/>
  <c r="E12" i="12"/>
  <c r="B12"/>
  <c r="E13" i="11"/>
  <c r="E12"/>
  <c r="E11"/>
  <c r="E14" i="43"/>
  <c r="E13"/>
  <c r="E10"/>
  <c r="J8" i="44"/>
  <c r="F19" i="15" s="1"/>
  <c r="G63" i="2" s="1"/>
  <c r="E53" i="15"/>
  <c r="B15" i="12"/>
  <c r="B15" i="11"/>
  <c r="B15" i="44"/>
  <c r="B15" i="60"/>
  <c r="J5" i="42"/>
  <c r="B16" i="43"/>
  <c r="H29" i="15"/>
  <c r="E14" i="12"/>
  <c r="E17" i="11"/>
  <c r="B14" i="61"/>
  <c r="B17"/>
  <c r="B14" i="60"/>
  <c r="B17"/>
  <c r="B15" i="43"/>
  <c r="E14" i="44"/>
  <c r="G53" i="15"/>
  <c r="H30"/>
  <c r="B14" i="12"/>
  <c r="B17"/>
  <c r="B14" i="11"/>
  <c r="B17"/>
  <c r="E14" i="60"/>
  <c r="B18" i="43"/>
  <c r="B14" i="44"/>
  <c r="B17"/>
  <c r="B13" i="11"/>
  <c r="E13" i="44"/>
  <c r="E12"/>
  <c r="B12"/>
  <c r="E10"/>
  <c r="B17" i="8"/>
  <c r="B17" i="6" s="1"/>
  <c r="F53" i="15"/>
  <c r="E17" i="43"/>
  <c r="E15" i="44"/>
  <c r="E16"/>
  <c r="B11" i="60"/>
  <c r="B13"/>
  <c r="E16"/>
  <c r="E8" i="61"/>
  <c r="E12"/>
  <c r="B16" i="12"/>
  <c r="B17" i="43"/>
  <c r="B18" i="8"/>
  <c r="B18" i="6" s="1"/>
  <c r="E9" i="60"/>
  <c r="E13"/>
  <c r="E29" i="15"/>
  <c r="B13" i="61"/>
  <c r="E16"/>
  <c r="E13"/>
  <c r="E15" i="43"/>
  <c r="L5" i="42"/>
  <c r="F15" i="1"/>
  <c r="C15"/>
  <c r="L9" i="19" l="1"/>
  <c r="K8"/>
  <c r="H220" i="14"/>
  <c r="H55"/>
  <c r="H74"/>
  <c r="H118"/>
  <c r="J11" i="42"/>
  <c r="K25"/>
  <c r="L11"/>
  <c r="K24"/>
  <c r="J24"/>
  <c r="L24"/>
  <c r="H222" i="14"/>
  <c r="K11" i="42"/>
  <c r="H94" i="14"/>
  <c r="J25" i="42"/>
  <c r="L25"/>
  <c r="H159" i="14"/>
  <c r="H96"/>
  <c r="H157"/>
  <c r="H114"/>
  <c r="H51"/>
  <c r="G235" i="2"/>
  <c r="H25" i="42" s="1"/>
  <c r="G234" i="2"/>
  <c r="H24" i="42" s="1"/>
  <c r="G269" i="2"/>
  <c r="I24" i="42" s="1"/>
  <c r="H30" i="14"/>
  <c r="G199" i="2"/>
  <c r="G24" i="42" s="1"/>
  <c r="H33" i="14"/>
  <c r="G270" i="2"/>
  <c r="I25" i="42" s="1"/>
  <c r="G200" i="2"/>
  <c r="G25" i="42" s="1"/>
  <c r="H34" i="14"/>
  <c r="H137"/>
  <c r="K27" i="19"/>
  <c r="K46"/>
  <c r="E9" i="44"/>
  <c r="B9"/>
  <c r="E9" i="43"/>
  <c r="F6" i="15"/>
  <c r="E8" i="44"/>
  <c r="B7" i="11"/>
  <c r="E11" i="8"/>
  <c r="E11" i="6" s="1"/>
  <c r="B10" i="8"/>
  <c r="B10" i="6" s="1"/>
  <c r="F9" i="14"/>
  <c r="F10" s="1"/>
  <c r="F11" s="1"/>
  <c r="F12" s="1"/>
  <c r="F14" s="1"/>
  <c r="F29"/>
  <c r="F30" s="1"/>
  <c r="F31" s="1"/>
  <c r="F32" s="1"/>
  <c r="F34" s="1"/>
  <c r="B7" i="60"/>
  <c r="B9"/>
  <c r="B9" i="8"/>
  <c r="B9" i="6" s="1"/>
  <c r="B8" i="43"/>
  <c r="B7" i="12"/>
  <c r="E5" i="15"/>
  <c r="B11" i="8"/>
  <c r="B11" i="6" s="1"/>
  <c r="B7" i="44"/>
  <c r="H158" i="14"/>
  <c r="H135"/>
  <c r="H95"/>
  <c r="H76"/>
  <c r="H53"/>
  <c r="H160"/>
  <c r="H155"/>
  <c r="H198"/>
  <c r="H139"/>
  <c r="H97"/>
  <c r="H92"/>
  <c r="H72"/>
  <c r="H29"/>
  <c r="G10" i="7"/>
  <c r="G8" s="1"/>
  <c r="G18" s="1"/>
  <c r="A23" s="1"/>
  <c r="B12" i="11"/>
  <c r="B16" i="60"/>
  <c r="B11" i="61"/>
  <c r="B16" i="44"/>
  <c r="E54" i="15"/>
  <c r="B9" i="61"/>
  <c r="B12" i="60"/>
  <c r="B8"/>
  <c r="J6" i="42"/>
  <c r="B10" i="44"/>
  <c r="H156" i="14"/>
  <c r="E14" i="61"/>
  <c r="E17" i="44"/>
  <c r="E14" i="11"/>
  <c r="H199" i="14"/>
  <c r="E9" i="8"/>
  <c r="E9" i="6" s="1"/>
  <c r="G5" i="15"/>
  <c r="H5"/>
  <c r="E10" i="8"/>
  <c r="E10" i="6" s="1"/>
  <c r="H138" i="14"/>
  <c r="H115"/>
  <c r="H73"/>
  <c r="H31"/>
  <c r="H54"/>
  <c r="B10" i="43"/>
  <c r="E7" i="60"/>
  <c r="B16" i="11"/>
  <c r="B16" i="61"/>
  <c r="B10" i="60"/>
  <c r="B11" i="44"/>
  <c r="B14" i="43"/>
  <c r="H219" i="14"/>
  <c r="E16" i="8"/>
  <c r="E16" i="6" s="1"/>
  <c r="H201" i="14"/>
  <c r="F29" i="15"/>
  <c r="B15" i="8"/>
  <c r="B15" i="6" s="1"/>
  <c r="H136" i="14"/>
  <c r="H93"/>
  <c r="H75"/>
  <c r="H52"/>
  <c r="E8" i="60"/>
  <c r="I7" i="11"/>
  <c r="G7" i="12" s="1"/>
  <c r="L7" s="1"/>
  <c r="H50" i="14"/>
  <c r="H113"/>
  <c r="H71"/>
  <c r="K7" i="11"/>
  <c r="E11" i="61"/>
  <c r="E17"/>
  <c r="E19" i="8"/>
  <c r="E19" i="6" s="1"/>
  <c r="E17" i="8"/>
  <c r="E17" i="6" s="1"/>
  <c r="E11" i="44"/>
  <c r="E12" i="43"/>
  <c r="E11" i="12"/>
  <c r="E13" i="8"/>
  <c r="E13" i="6" s="1"/>
  <c r="E11" i="60"/>
  <c r="L6" i="42"/>
  <c r="E15" i="12"/>
  <c r="E17" i="60"/>
  <c r="E15" i="61"/>
  <c r="E16" i="43"/>
  <c r="E18"/>
  <c r="E17" i="12"/>
  <c r="E10" i="61"/>
  <c r="E11" i="43"/>
  <c r="E7" i="11"/>
  <c r="E8" i="43"/>
  <c r="F54" i="15"/>
  <c r="E16" i="11"/>
  <c r="D9" i="14"/>
  <c r="D10" s="1"/>
  <c r="L10" i="11"/>
  <c r="I10" i="44"/>
  <c r="J9"/>
  <c r="G19" i="15" s="1"/>
  <c r="G98" i="2" s="1"/>
  <c r="I15" i="43"/>
  <c r="I16"/>
  <c r="I17" s="1"/>
  <c r="I18" s="1"/>
  <c r="D29" i="14"/>
  <c r="D30" s="1"/>
  <c r="D31" s="1"/>
  <c r="J16" i="8"/>
  <c r="K17" i="6"/>
  <c r="K18" s="1"/>
  <c r="K19" s="1"/>
  <c r="K16"/>
  <c r="L9" i="11"/>
  <c r="F5" i="15"/>
  <c r="B13" i="8"/>
  <c r="B13" i="6" s="1"/>
  <c r="B14" i="8"/>
  <c r="B14" i="6" s="1"/>
  <c r="E9" i="12"/>
  <c r="E8"/>
  <c r="E7"/>
  <c r="E10"/>
  <c r="B11" i="11"/>
  <c r="B11" i="12"/>
  <c r="E15" i="60"/>
  <c r="E18" i="8"/>
  <c r="E18" i="6" s="1"/>
  <c r="E16" i="12"/>
  <c r="B13" i="44"/>
  <c r="L8" i="11"/>
  <c r="E10"/>
  <c r="G29" i="15"/>
  <c r="B12" i="8"/>
  <c r="B12" i="6" s="1"/>
  <c r="B8" i="11"/>
  <c r="E12" i="8"/>
  <c r="E12" i="6" s="1"/>
  <c r="B10" i="11"/>
  <c r="G6" i="15"/>
  <c r="H6"/>
  <c r="E7" i="44"/>
  <c r="H32" i="14"/>
  <c r="E9" i="11"/>
  <c r="E6" i="15"/>
  <c r="F30"/>
  <c r="B8" i="12"/>
  <c r="B9" i="43"/>
  <c r="B12" i="61"/>
  <c r="B10"/>
  <c r="B8"/>
  <c r="B11" i="43"/>
  <c r="B13"/>
  <c r="A18" i="19" l="1"/>
  <c r="E8"/>
  <c r="K65"/>
  <c r="E46"/>
  <c r="A56"/>
  <c r="A37"/>
  <c r="E27"/>
  <c r="E14" i="15"/>
  <c r="G23" i="2" s="1"/>
  <c r="F50" i="14"/>
  <c r="F51" s="1"/>
  <c r="F52" s="1"/>
  <c r="F53" s="1"/>
  <c r="F55" s="1"/>
  <c r="D50"/>
  <c r="D51" s="1"/>
  <c r="D52" s="1"/>
  <c r="D71"/>
  <c r="I11" i="44"/>
  <c r="J10"/>
  <c r="H19" i="15" s="1"/>
  <c r="G133" i="2" s="1"/>
  <c r="I9" i="11"/>
  <c r="G9" i="12" s="1"/>
  <c r="K9" i="11"/>
  <c r="I8"/>
  <c r="G8" i="12" s="1"/>
  <c r="K8" i="11"/>
  <c r="L11"/>
  <c r="I10"/>
  <c r="G10" i="12" s="1"/>
  <c r="K10" i="11"/>
  <c r="D32" i="14"/>
  <c r="D11"/>
  <c r="G79" i="2" l="1"/>
  <c r="E49" i="19"/>
  <c r="G9" i="2"/>
  <c r="E11" i="19"/>
  <c r="K84"/>
  <c r="E65"/>
  <c r="A75"/>
  <c r="G44" i="2"/>
  <c r="E30" i="19"/>
  <c r="E17" i="15"/>
  <c r="G26" i="2" s="1"/>
  <c r="D92" i="14"/>
  <c r="D93" s="1"/>
  <c r="F71"/>
  <c r="F72" s="1"/>
  <c r="F73" s="1"/>
  <c r="F74" s="1"/>
  <c r="F76" s="1"/>
  <c r="L12" i="11"/>
  <c r="H14" i="15"/>
  <c r="G128" i="2" s="1"/>
  <c r="L10" i="12"/>
  <c r="L9"/>
  <c r="G14" i="15"/>
  <c r="G93" i="2" s="1"/>
  <c r="L8" i="12"/>
  <c r="F14" i="15"/>
  <c r="G58" i="2" s="1"/>
  <c r="I11" i="11"/>
  <c r="G11" i="12" s="1"/>
  <c r="K11" i="11"/>
  <c r="J11" i="44"/>
  <c r="E43" i="15" s="1"/>
  <c r="G168" i="2" s="1"/>
  <c r="I12" i="44"/>
  <c r="D12" i="14"/>
  <c r="D34"/>
  <c r="D72"/>
  <c r="D53"/>
  <c r="G114" i="2" l="1"/>
  <c r="E68" i="19"/>
  <c r="A41"/>
  <c r="E32"/>
  <c r="H7" i="20"/>
  <c r="E29" i="14" s="1"/>
  <c r="E30" s="1"/>
  <c r="G47" i="2"/>
  <c r="E51" i="19"/>
  <c r="E52" s="1"/>
  <c r="G85" i="2" s="1"/>
  <c r="G82"/>
  <c r="H8" i="20"/>
  <c r="E50" i="14" s="1"/>
  <c r="A60" i="19"/>
  <c r="H6" i="20"/>
  <c r="E9" i="14" s="1"/>
  <c r="G9" s="1"/>
  <c r="I9" s="1"/>
  <c r="E7" i="15" s="1"/>
  <c r="G16" i="2" s="1"/>
  <c r="G12"/>
  <c r="E13" i="19"/>
  <c r="E14" s="1"/>
  <c r="G15" i="2" s="1"/>
  <c r="A22" i="19"/>
  <c r="K103"/>
  <c r="A94"/>
  <c r="E84"/>
  <c r="H17" i="15"/>
  <c r="G131" i="2" s="1"/>
  <c r="F92" i="14"/>
  <c r="F93" s="1"/>
  <c r="F94" s="1"/>
  <c r="F95" s="1"/>
  <c r="F97" s="1"/>
  <c r="L11" i="12"/>
  <c r="E38" i="15"/>
  <c r="G163" i="2" s="1"/>
  <c r="G17" i="15"/>
  <c r="G96" i="2" s="1"/>
  <c r="D113" i="14"/>
  <c r="D114" s="1"/>
  <c r="D115" s="1"/>
  <c r="L14" i="11"/>
  <c r="L13"/>
  <c r="J12" i="44"/>
  <c r="F43" i="15" s="1"/>
  <c r="I13" i="44"/>
  <c r="F17" i="15"/>
  <c r="G61" i="2" s="1"/>
  <c r="K12" i="11"/>
  <c r="I12"/>
  <c r="G12" i="12" s="1"/>
  <c r="D14" i="14"/>
  <c r="D73"/>
  <c r="D94"/>
  <c r="D55"/>
  <c r="E10" l="1"/>
  <c r="E11" s="1"/>
  <c r="G29"/>
  <c r="I29" s="1"/>
  <c r="F7" i="15" s="1"/>
  <c r="G51" i="2" s="1"/>
  <c r="G203"/>
  <c r="G28" i="42" s="1"/>
  <c r="K122" i="19"/>
  <c r="A113"/>
  <c r="E103"/>
  <c r="G117" i="2"/>
  <c r="H9" i="20"/>
  <c r="E70" i="19"/>
  <c r="A79"/>
  <c r="G149" i="2"/>
  <c r="E87" i="19"/>
  <c r="J7" i="20"/>
  <c r="K7" s="1"/>
  <c r="G10" i="8" s="1"/>
  <c r="G10" i="6" s="1"/>
  <c r="G49" i="2"/>
  <c r="J6" i="20"/>
  <c r="K6" s="1"/>
  <c r="G9" i="8" s="1"/>
  <c r="G9" i="6" s="1"/>
  <c r="G14" i="2"/>
  <c r="E33" i="19"/>
  <c r="G50" i="2" s="1"/>
  <c r="J8" i="20"/>
  <c r="K8" s="1"/>
  <c r="G84" i="2"/>
  <c r="F38" i="15"/>
  <c r="G198" i="2" s="1"/>
  <c r="L12" i="12"/>
  <c r="K13" i="11"/>
  <c r="I13"/>
  <c r="G13" i="12" s="1"/>
  <c r="G50" i="14"/>
  <c r="I50" s="1"/>
  <c r="G7" i="15" s="1"/>
  <c r="G86" i="2" s="1"/>
  <c r="E51" i="14"/>
  <c r="F113"/>
  <c r="F114" s="1"/>
  <c r="F115" s="1"/>
  <c r="F116" s="1"/>
  <c r="F118" s="1"/>
  <c r="J13" i="44"/>
  <c r="G43" i="15" s="1"/>
  <c r="I15" i="44"/>
  <c r="I14"/>
  <c r="J14" s="1"/>
  <c r="H43" i="15" s="1"/>
  <c r="L15" i="11"/>
  <c r="J17" i="18"/>
  <c r="E158" i="19" s="1"/>
  <c r="E41" i="15"/>
  <c r="G166" i="2" s="1"/>
  <c r="D134" i="14"/>
  <c r="D135" s="1"/>
  <c r="D136" s="1"/>
  <c r="D137" s="1"/>
  <c r="I14" i="11"/>
  <c r="G14" i="12" s="1"/>
  <c r="K14" i="11"/>
  <c r="D74" i="14"/>
  <c r="D116"/>
  <c r="D95"/>
  <c r="E12"/>
  <c r="G11"/>
  <c r="I11" s="1"/>
  <c r="E9" i="15" s="1"/>
  <c r="G18" i="2" s="1"/>
  <c r="E31" i="14"/>
  <c r="G30"/>
  <c r="I30" s="1"/>
  <c r="F8" i="15" s="1"/>
  <c r="G52" i="2" s="1"/>
  <c r="G10" i="14" l="1"/>
  <c r="I10" s="1"/>
  <c r="E8" i="15" s="1"/>
  <c r="G17" i="2" s="1"/>
  <c r="E164" i="19"/>
  <c r="I14" i="20" s="1"/>
  <c r="A173" i="19"/>
  <c r="A168"/>
  <c r="E159"/>
  <c r="G238" i="2"/>
  <c r="H28" i="42" s="1"/>
  <c r="G273" i="2"/>
  <c r="I28" i="42" s="1"/>
  <c r="E71" i="14"/>
  <c r="J9" i="20"/>
  <c r="K9" s="1"/>
  <c r="G11" i="43" s="1"/>
  <c r="J11" s="1"/>
  <c r="H18" i="15" s="1"/>
  <c r="G132" i="2" s="1"/>
  <c r="G119"/>
  <c r="G9" i="43"/>
  <c r="J9" s="1"/>
  <c r="F18" i="15" s="1"/>
  <c r="G62" i="2" s="1"/>
  <c r="E122" i="19"/>
  <c r="A132"/>
  <c r="G289" i="2"/>
  <c r="G152"/>
  <c r="A98" i="19"/>
  <c r="E89"/>
  <c r="H10" i="20"/>
  <c r="E92" i="14" s="1"/>
  <c r="G92" s="1"/>
  <c r="I92" s="1"/>
  <c r="E31" i="15" s="1"/>
  <c r="G156" i="2" s="1"/>
  <c r="G184"/>
  <c r="E106" i="19"/>
  <c r="G8" i="43"/>
  <c r="J8" s="1"/>
  <c r="E18" i="15" s="1"/>
  <c r="G27" i="2" s="1"/>
  <c r="E71" i="19"/>
  <c r="G120" i="2" s="1"/>
  <c r="G14" i="20"/>
  <c r="D176" i="14" s="1"/>
  <c r="D177" s="1"/>
  <c r="D178" s="1"/>
  <c r="D179" s="1"/>
  <c r="D181" s="1"/>
  <c r="I16" i="44"/>
  <c r="J15"/>
  <c r="E67" i="15" s="1"/>
  <c r="G308" i="2" s="1"/>
  <c r="F41" i="15"/>
  <c r="G201" i="2" s="1"/>
  <c r="G10" i="43"/>
  <c r="J10" s="1"/>
  <c r="G18" i="15" s="1"/>
  <c r="G97" i="2" s="1"/>
  <c r="G11" i="8"/>
  <c r="G11" i="6" s="1"/>
  <c r="J18" i="18"/>
  <c r="E177" i="19" s="1"/>
  <c r="L16" i="11"/>
  <c r="F134" i="14"/>
  <c r="F135" s="1"/>
  <c r="F136" s="1"/>
  <c r="F137" s="1"/>
  <c r="F139" s="1"/>
  <c r="K15" i="11"/>
  <c r="G15"/>
  <c r="I15" s="1"/>
  <c r="G15" i="12" s="1"/>
  <c r="G38" i="15"/>
  <c r="G233" i="2" s="1"/>
  <c r="L13" i="12"/>
  <c r="L14"/>
  <c r="H38" i="15"/>
  <c r="G268" i="2" s="1"/>
  <c r="E161" i="19"/>
  <c r="G290" i="2" s="1"/>
  <c r="G287"/>
  <c r="A171" i="19"/>
  <c r="G51" i="14"/>
  <c r="I51" s="1"/>
  <c r="G8" i="15" s="1"/>
  <c r="G87" i="2" s="1"/>
  <c r="E52" i="14"/>
  <c r="D118"/>
  <c r="E32"/>
  <c r="G31"/>
  <c r="I31" s="1"/>
  <c r="F9" i="15" s="1"/>
  <c r="G53" i="2" s="1"/>
  <c r="D139" i="14"/>
  <c r="D97"/>
  <c r="D76"/>
  <c r="E14"/>
  <c r="G14" s="1"/>
  <c r="I14" s="1"/>
  <c r="E12" i="15" s="1"/>
  <c r="G21" i="2" s="1"/>
  <c r="G12" i="14"/>
  <c r="I12" s="1"/>
  <c r="A192" i="19" l="1"/>
  <c r="A187"/>
  <c r="E183"/>
  <c r="I15" i="20" s="1"/>
  <c r="E178" i="19"/>
  <c r="E93" i="14"/>
  <c r="G93" s="1"/>
  <c r="I93" s="1"/>
  <c r="E32" i="15" s="1"/>
  <c r="G157" i="2" s="1"/>
  <c r="J9" i="42"/>
  <c r="J10"/>
  <c r="J28"/>
  <c r="G15" i="20"/>
  <c r="D197" i="14" s="1"/>
  <c r="D198" s="1"/>
  <c r="D199" s="1"/>
  <c r="D200" s="1"/>
  <c r="D202" s="1"/>
  <c r="J10" i="20"/>
  <c r="K10" s="1"/>
  <c r="G13" i="8" s="1"/>
  <c r="G13" i="6" s="1"/>
  <c r="G154" i="2"/>
  <c r="E90" i="19"/>
  <c r="G155" i="2" s="1"/>
  <c r="G219"/>
  <c r="E125" i="19"/>
  <c r="G187" i="2"/>
  <c r="H11" i="20"/>
  <c r="E113" i="14" s="1"/>
  <c r="E108" i="19"/>
  <c r="E109" s="1"/>
  <c r="G190" i="2" s="1"/>
  <c r="A117" i="19"/>
  <c r="E72" i="14"/>
  <c r="G71"/>
  <c r="I71" s="1"/>
  <c r="H7" i="15" s="1"/>
  <c r="G121" i="2" s="1"/>
  <c r="K141" i="19"/>
  <c r="K179"/>
  <c r="G12" i="8"/>
  <c r="G12" i="6" s="1"/>
  <c r="J7" i="42"/>
  <c r="L15" i="12"/>
  <c r="E62" i="15"/>
  <c r="G288" i="2"/>
  <c r="E163" i="19"/>
  <c r="H14" i="20" s="1"/>
  <c r="G41" i="15"/>
  <c r="G236" i="2" s="1"/>
  <c r="L17" i="11"/>
  <c r="J19" i="18"/>
  <c r="E196" i="19" s="1"/>
  <c r="E180"/>
  <c r="G325" i="2" s="1"/>
  <c r="A190" i="19"/>
  <c r="G322" i="2"/>
  <c r="G324"/>
  <c r="G52" i="14"/>
  <c r="I52" s="1"/>
  <c r="G9" i="15" s="1"/>
  <c r="G88" i="2" s="1"/>
  <c r="E53" i="14"/>
  <c r="G293" i="2"/>
  <c r="F176" i="14"/>
  <c r="F177" s="1"/>
  <c r="F178" s="1"/>
  <c r="F179" s="1"/>
  <c r="F181" s="1"/>
  <c r="H41" i="15"/>
  <c r="G271" i="2" s="1"/>
  <c r="I23" i="42"/>
  <c r="K16" i="11"/>
  <c r="G16"/>
  <c r="I16" s="1"/>
  <c r="G16" i="12" s="1"/>
  <c r="J16" i="44"/>
  <c r="F67" i="15" s="1"/>
  <c r="G343" i="2" s="1"/>
  <c r="I17" i="44"/>
  <c r="J17" s="1"/>
  <c r="G67" i="15" s="1"/>
  <c r="G378" i="2" s="1"/>
  <c r="E10" i="15"/>
  <c r="G19" i="2" s="1"/>
  <c r="I13" i="14"/>
  <c r="E11" i="15" s="1"/>
  <c r="G20" i="2" s="1"/>
  <c r="E34" i="14"/>
  <c r="G34" s="1"/>
  <c r="I34" s="1"/>
  <c r="F12" i="15" s="1"/>
  <c r="G56" i="2" s="1"/>
  <c r="G32" i="14"/>
  <c r="I32" s="1"/>
  <c r="I7" i="76" l="1"/>
  <c r="O7"/>
  <c r="I8"/>
  <c r="O8"/>
  <c r="I5"/>
  <c r="O5"/>
  <c r="E202" i="19"/>
  <c r="A211"/>
  <c r="E199"/>
  <c r="E198"/>
  <c r="G359" i="2" s="1"/>
  <c r="E94" i="14"/>
  <c r="G94" s="1"/>
  <c r="I94" s="1"/>
  <c r="E33" i="15" s="1"/>
  <c r="G158" i="2" s="1"/>
  <c r="K28" i="42"/>
  <c r="L28"/>
  <c r="J8"/>
  <c r="G16" i="20"/>
  <c r="D218" i="14" s="1"/>
  <c r="D219" s="1"/>
  <c r="D220" s="1"/>
  <c r="D221" s="1"/>
  <c r="D223" s="1"/>
  <c r="E141" i="19"/>
  <c r="A151"/>
  <c r="A136"/>
  <c r="E127"/>
  <c r="G222" i="2"/>
  <c r="H12" i="20"/>
  <c r="E134" i="14" s="1"/>
  <c r="E135" s="1"/>
  <c r="G135" s="1"/>
  <c r="I135" s="1"/>
  <c r="G32" i="15" s="1"/>
  <c r="G227" i="2" s="1"/>
  <c r="G12" i="43"/>
  <c r="J12" s="1"/>
  <c r="E42" i="15" s="1"/>
  <c r="G167" i="2" s="1"/>
  <c r="G72" i="14"/>
  <c r="I72" s="1"/>
  <c r="H8" i="15" s="1"/>
  <c r="G122" i="2" s="1"/>
  <c r="E73" i="14"/>
  <c r="G189" i="2"/>
  <c r="J11" i="20"/>
  <c r="K11" s="1"/>
  <c r="G14" i="8" s="1"/>
  <c r="G14" i="6" s="1"/>
  <c r="K10" i="42"/>
  <c r="H10"/>
  <c r="K7"/>
  <c r="H7"/>
  <c r="K9"/>
  <c r="H9"/>
  <c r="I26"/>
  <c r="I10"/>
  <c r="E197" i="19"/>
  <c r="I8" i="42"/>
  <c r="J13"/>
  <c r="G323" i="2"/>
  <c r="E182" i="19"/>
  <c r="H15" i="20" s="1"/>
  <c r="F197" i="14"/>
  <c r="F198" s="1"/>
  <c r="F199" s="1"/>
  <c r="F200" s="1"/>
  <c r="F202" s="1"/>
  <c r="G328" i="2"/>
  <c r="G113" i="14"/>
  <c r="I113" s="1"/>
  <c r="F31" i="15" s="1"/>
  <c r="G191" i="2" s="1"/>
  <c r="E114" i="14"/>
  <c r="G17" i="11"/>
  <c r="I17" s="1"/>
  <c r="G17" i="12" s="1"/>
  <c r="K17" i="11"/>
  <c r="F62" i="15"/>
  <c r="L16" i="12"/>
  <c r="A206" i="19"/>
  <c r="A209"/>
  <c r="G357" i="2"/>
  <c r="G303"/>
  <c r="E65" i="15"/>
  <c r="G306" i="2" s="1"/>
  <c r="I7" i="42"/>
  <c r="D155" i="14"/>
  <c r="D156" s="1"/>
  <c r="D157" s="1"/>
  <c r="D158" s="1"/>
  <c r="D160" s="1"/>
  <c r="G53"/>
  <c r="I53" s="1"/>
  <c r="E55"/>
  <c r="G55" s="1"/>
  <c r="I55" s="1"/>
  <c r="G12" i="15" s="1"/>
  <c r="G91" i="2" s="1"/>
  <c r="A174" i="19"/>
  <c r="E165"/>
  <c r="G292" i="2"/>
  <c r="E13" i="15"/>
  <c r="G22" i="2" s="1"/>
  <c r="F10" i="15"/>
  <c r="G54" i="2" s="1"/>
  <c r="I33" i="14"/>
  <c r="F11" i="15" s="1"/>
  <c r="G55" i="2" s="1"/>
  <c r="I16" i="14"/>
  <c r="H8" i="76" l="1"/>
  <c r="G8" s="1"/>
  <c r="N8"/>
  <c r="M8" s="1"/>
  <c r="I10"/>
  <c r="O10"/>
  <c r="H5"/>
  <c r="G5" s="1"/>
  <c r="N5"/>
  <c r="M5" s="1"/>
  <c r="I6"/>
  <c r="O6"/>
  <c r="H7"/>
  <c r="G7" s="1"/>
  <c r="N7"/>
  <c r="M7" s="1"/>
  <c r="G360" i="2"/>
  <c r="L10" i="42" s="1"/>
  <c r="G134" i="14"/>
  <c r="I134" s="1"/>
  <c r="G31" i="15" s="1"/>
  <c r="G226" i="2" s="1"/>
  <c r="E95" i="14"/>
  <c r="E97" s="1"/>
  <c r="G97" s="1"/>
  <c r="I97" s="1"/>
  <c r="E36" i="15" s="1"/>
  <c r="G161" i="2" s="1"/>
  <c r="I16" i="20"/>
  <c r="F218" i="14" s="1"/>
  <c r="F219" s="1"/>
  <c r="F220" s="1"/>
  <c r="F221" s="1"/>
  <c r="F223" s="1"/>
  <c r="J23" i="42"/>
  <c r="J26"/>
  <c r="G13" i="43"/>
  <c r="J13" s="1"/>
  <c r="F42" i="15" s="1"/>
  <c r="G202" i="2" s="1"/>
  <c r="E136" i="14"/>
  <c r="G136" s="1"/>
  <c r="I136" s="1"/>
  <c r="G33" i="15" s="1"/>
  <c r="G228" i="2" s="1"/>
  <c r="J12" i="20"/>
  <c r="K12" s="1"/>
  <c r="G14" i="43" s="1"/>
  <c r="J14" s="1"/>
  <c r="G42" i="15" s="1"/>
  <c r="G237" i="2" s="1"/>
  <c r="G224"/>
  <c r="G254"/>
  <c r="I9" i="42" s="1"/>
  <c r="E144" i="19"/>
  <c r="G73" i="14"/>
  <c r="I73" s="1"/>
  <c r="H9" i="15" s="1"/>
  <c r="G123" i="2" s="1"/>
  <c r="E74" i="14"/>
  <c r="E128" i="19"/>
  <c r="G225" i="2" s="1"/>
  <c r="H13" i="42"/>
  <c r="L9"/>
  <c r="G9"/>
  <c r="J12"/>
  <c r="K8"/>
  <c r="H8"/>
  <c r="L7"/>
  <c r="G7"/>
  <c r="E166" i="19"/>
  <c r="G295" i="2" s="1"/>
  <c r="J14" i="20"/>
  <c r="K14" s="1"/>
  <c r="K13" i="42"/>
  <c r="L17" i="12"/>
  <c r="G62" i="15"/>
  <c r="I54" i="14"/>
  <c r="G11" i="15" s="1"/>
  <c r="G90" i="2" s="1"/>
  <c r="G10" i="15"/>
  <c r="G89" i="2" s="1"/>
  <c r="A193" i="19"/>
  <c r="G327" i="2"/>
  <c r="E184" i="19"/>
  <c r="J15" i="20" s="1"/>
  <c r="K15" s="1"/>
  <c r="G338" i="2"/>
  <c r="F65" i="15"/>
  <c r="G341" i="2" s="1"/>
  <c r="E176" i="14"/>
  <c r="G363" i="2"/>
  <c r="F155" i="14"/>
  <c r="F156" s="1"/>
  <c r="F157" s="1"/>
  <c r="F158" s="1"/>
  <c r="F160" s="1"/>
  <c r="G358" i="2"/>
  <c r="E201" i="19"/>
  <c r="G294" i="2"/>
  <c r="G114" i="14"/>
  <c r="I114" s="1"/>
  <c r="F32" i="15" s="1"/>
  <c r="G192" i="2" s="1"/>
  <c r="E115" i="14"/>
  <c r="F13" i="15"/>
  <c r="G57" i="2" s="1"/>
  <c r="I36" i="14"/>
  <c r="E20" i="15"/>
  <c r="G29" i="2" s="1"/>
  <c r="H6" i="76" l="1"/>
  <c r="G6" s="1"/>
  <c r="N6"/>
  <c r="M6" s="1"/>
  <c r="F5"/>
  <c r="L5"/>
  <c r="H10"/>
  <c r="G10" s="1"/>
  <c r="N10"/>
  <c r="M10" s="1"/>
  <c r="L7"/>
  <c r="K7" s="1"/>
  <c r="J7" s="1"/>
  <c r="F7"/>
  <c r="E7" s="1"/>
  <c r="D7" s="1"/>
  <c r="I9"/>
  <c r="O9"/>
  <c r="G10" i="42"/>
  <c r="G8"/>
  <c r="G95" i="14"/>
  <c r="I95" s="1"/>
  <c r="I96" s="1"/>
  <c r="E35" i="15" s="1"/>
  <c r="G160" i="2" s="1"/>
  <c r="G15" i="8"/>
  <c r="G15" i="6" s="1"/>
  <c r="J15" i="42"/>
  <c r="J14"/>
  <c r="H16" i="20"/>
  <c r="E137" i="14"/>
  <c r="E139" s="1"/>
  <c r="G139" s="1"/>
  <c r="I139" s="1"/>
  <c r="G36" i="15" s="1"/>
  <c r="G231" i="2" s="1"/>
  <c r="E146" i="19"/>
  <c r="H13" i="20"/>
  <c r="A155" i="19"/>
  <c r="G257" i="2"/>
  <c r="E76" i="14"/>
  <c r="G76" s="1"/>
  <c r="I76" s="1"/>
  <c r="H12" i="15" s="1"/>
  <c r="G126" i="2" s="1"/>
  <c r="G74" i="14"/>
  <c r="I74" s="1"/>
  <c r="G13" i="42"/>
  <c r="G30" i="2"/>
  <c r="K26" i="42"/>
  <c r="H26"/>
  <c r="K12"/>
  <c r="H12"/>
  <c r="L8"/>
  <c r="K23"/>
  <c r="H23"/>
  <c r="L13"/>
  <c r="I57" i="14"/>
  <c r="I13" i="42"/>
  <c r="G17" i="8"/>
  <c r="G17" i="6" s="1"/>
  <c r="G16" i="43"/>
  <c r="J16" s="1"/>
  <c r="E66" i="15" s="1"/>
  <c r="G307" i="2" s="1"/>
  <c r="G115" i="14"/>
  <c r="I115" s="1"/>
  <c r="F33" i="15" s="1"/>
  <c r="G193" i="2" s="1"/>
  <c r="E116" i="14"/>
  <c r="G373" i="2"/>
  <c r="G65" i="15"/>
  <c r="G376" i="2" s="1"/>
  <c r="G176" i="14"/>
  <c r="I176" s="1"/>
  <c r="E55" i="15" s="1"/>
  <c r="G296" i="2" s="1"/>
  <c r="E177" i="14"/>
  <c r="E203" i="19"/>
  <c r="G362" i="2"/>
  <c r="A212" i="19"/>
  <c r="G13" i="15"/>
  <c r="G92" i="2" s="1"/>
  <c r="E197" i="14"/>
  <c r="G329" i="2"/>
  <c r="E185" i="19"/>
  <c r="G330" i="2" s="1"/>
  <c r="F20" i="15"/>
  <c r="G64" i="2" s="1"/>
  <c r="H9" i="8"/>
  <c r="I12" i="76" l="1"/>
  <c r="O12"/>
  <c r="I11"/>
  <c r="O11"/>
  <c r="L8"/>
  <c r="K8" s="1"/>
  <c r="J8" s="1"/>
  <c r="F8"/>
  <c r="E8" s="1"/>
  <c r="D8" s="1"/>
  <c r="D5"/>
  <c r="E5"/>
  <c r="L6"/>
  <c r="K6" s="1"/>
  <c r="J6" s="1"/>
  <c r="F6"/>
  <c r="E6" s="1"/>
  <c r="D6" s="1"/>
  <c r="J5"/>
  <c r="K5"/>
  <c r="L10"/>
  <c r="K10" s="1"/>
  <c r="J10" s="1"/>
  <c r="F10"/>
  <c r="E10" s="1"/>
  <c r="D10" s="1"/>
  <c r="H9"/>
  <c r="G9" s="1"/>
  <c r="N9"/>
  <c r="M9" s="1"/>
  <c r="P7"/>
  <c r="Q7" s="1"/>
  <c r="H15" i="42"/>
  <c r="I99" i="14"/>
  <c r="E34" i="15"/>
  <c r="G159" i="2" s="1"/>
  <c r="J16" i="42"/>
  <c r="J27"/>
  <c r="O20" i="76" s="1"/>
  <c r="O21" s="1"/>
  <c r="J16" i="20"/>
  <c r="K16" s="1"/>
  <c r="G137" i="14"/>
  <c r="I137" s="1"/>
  <c r="G34" i="15" s="1"/>
  <c r="G229" i="2" s="1"/>
  <c r="G259"/>
  <c r="I14" i="42" s="1"/>
  <c r="J13" i="20"/>
  <c r="K13" s="1"/>
  <c r="E147" i="19"/>
  <c r="G260" i="2" s="1"/>
  <c r="I15" i="42" s="1"/>
  <c r="I75" i="14"/>
  <c r="H10" i="15"/>
  <c r="G31" i="2"/>
  <c r="G65"/>
  <c r="K14" i="42"/>
  <c r="H14"/>
  <c r="L12"/>
  <c r="G12"/>
  <c r="L23"/>
  <c r="G23"/>
  <c r="L26"/>
  <c r="G26"/>
  <c r="K15"/>
  <c r="I12"/>
  <c r="G17" i="43"/>
  <c r="J17" s="1"/>
  <c r="F66" i="15" s="1"/>
  <c r="G342" i="2" s="1"/>
  <c r="G18" i="8"/>
  <c r="G18" i="6" s="1"/>
  <c r="E204" i="19"/>
  <c r="G364" i="2"/>
  <c r="G197" i="14"/>
  <c r="I197" s="1"/>
  <c r="F55" i="15" s="1"/>
  <c r="G331" i="2" s="1"/>
  <c r="E198" i="14"/>
  <c r="G177"/>
  <c r="I177" s="1"/>
  <c r="E56" i="15" s="1"/>
  <c r="G297" i="2" s="1"/>
  <c r="E178" i="14"/>
  <c r="E218"/>
  <c r="G116"/>
  <c r="I116" s="1"/>
  <c r="E118"/>
  <c r="G118" s="1"/>
  <c r="I118" s="1"/>
  <c r="F36" i="15" s="1"/>
  <c r="G196" i="2" s="1"/>
  <c r="E155" i="14"/>
  <c r="G20" i="15"/>
  <c r="G99" i="2" s="1"/>
  <c r="H10" i="8"/>
  <c r="H9" i="6"/>
  <c r="I9" i="8"/>
  <c r="K9" s="1"/>
  <c r="I9" i="6" s="1"/>
  <c r="E37" i="15"/>
  <c r="G162" i="2" s="1"/>
  <c r="P5" i="76" l="1"/>
  <c r="Q5" s="1"/>
  <c r="I20"/>
  <c r="I21" s="1"/>
  <c r="I13"/>
  <c r="H12"/>
  <c r="N12"/>
  <c r="M12" s="1"/>
  <c r="H11"/>
  <c r="G11" s="1"/>
  <c r="N11"/>
  <c r="M11" s="1"/>
  <c r="L9"/>
  <c r="K9" s="1"/>
  <c r="J9" s="1"/>
  <c r="F9"/>
  <c r="E9" s="1"/>
  <c r="D9" s="1"/>
  <c r="P6"/>
  <c r="Q6" s="1"/>
  <c r="P10"/>
  <c r="Q10" s="1"/>
  <c r="P8"/>
  <c r="Q8" s="1"/>
  <c r="O13"/>
  <c r="J17" i="42"/>
  <c r="G365" i="2"/>
  <c r="I138" i="14"/>
  <c r="G35" i="15" s="1"/>
  <c r="G230" i="2" s="1"/>
  <c r="G124"/>
  <c r="H11" i="15"/>
  <c r="G125" i="2" s="1"/>
  <c r="I78" i="14"/>
  <c r="G100" i="2"/>
  <c r="G32"/>
  <c r="G33" s="1"/>
  <c r="G66"/>
  <c r="K27" i="42"/>
  <c r="H27"/>
  <c r="N20" i="76" s="1"/>
  <c r="M20" s="1"/>
  <c r="M21" s="1"/>
  <c r="L14" i="42"/>
  <c r="G14"/>
  <c r="K16"/>
  <c r="H16"/>
  <c r="N13" i="76" s="1"/>
  <c r="M13" s="1"/>
  <c r="G15" i="43"/>
  <c r="J15" s="1"/>
  <c r="H42" i="15" s="1"/>
  <c r="G16" i="8"/>
  <c r="G16" i="6" s="1"/>
  <c r="G178" i="14"/>
  <c r="I178" s="1"/>
  <c r="E57" i="15" s="1"/>
  <c r="G298" i="2" s="1"/>
  <c r="E179" i="14"/>
  <c r="G19" i="8"/>
  <c r="G19" i="6" s="1"/>
  <c r="G18" i="43"/>
  <c r="J18" s="1"/>
  <c r="G66" i="15" s="1"/>
  <c r="G377" i="2" s="1"/>
  <c r="H11" i="8"/>
  <c r="G218" i="14"/>
  <c r="I218" s="1"/>
  <c r="G55" i="15" s="1"/>
  <c r="G366" i="2" s="1"/>
  <c r="E219" i="14"/>
  <c r="I117"/>
  <c r="F34" i="15"/>
  <c r="G194" i="2" s="1"/>
  <c r="G198" i="14"/>
  <c r="I198" s="1"/>
  <c r="F56" i="15" s="1"/>
  <c r="G332" i="2" s="1"/>
  <c r="E199" i="14"/>
  <c r="G155"/>
  <c r="I155" s="1"/>
  <c r="H31" i="15" s="1"/>
  <c r="E156" i="14"/>
  <c r="J9" i="6"/>
  <c r="L9" s="1"/>
  <c r="H10"/>
  <c r="I10" i="8"/>
  <c r="K10" s="1"/>
  <c r="I10" i="6" s="1"/>
  <c r="E44" i="15"/>
  <c r="G169" i="2" s="1"/>
  <c r="L11" i="76" l="1"/>
  <c r="K11" s="1"/>
  <c r="J11" s="1"/>
  <c r="F11"/>
  <c r="E11" s="1"/>
  <c r="D11" s="1"/>
  <c r="P9"/>
  <c r="Q9" s="1"/>
  <c r="H20"/>
  <c r="H13"/>
  <c r="G13" s="1"/>
  <c r="G12"/>
  <c r="I14"/>
  <c r="O14"/>
  <c r="H13" i="15"/>
  <c r="H20" s="1"/>
  <c r="G15" i="42"/>
  <c r="J18"/>
  <c r="L15"/>
  <c r="I141" i="14"/>
  <c r="G37" i="15"/>
  <c r="G232" i="2" s="1"/>
  <c r="I15"/>
  <c r="I33"/>
  <c r="G34"/>
  <c r="G35" s="1"/>
  <c r="J7" i="1" s="1"/>
  <c r="K7" s="1"/>
  <c r="N7" s="1"/>
  <c r="I29" i="2"/>
  <c r="I30"/>
  <c r="G101"/>
  <c r="I31"/>
  <c r="G261"/>
  <c r="I16" i="42" s="1"/>
  <c r="G272" i="2"/>
  <c r="I27" i="42" s="1"/>
  <c r="G170" i="2"/>
  <c r="G67"/>
  <c r="G68" s="1"/>
  <c r="I32"/>
  <c r="K17" i="42"/>
  <c r="H17"/>
  <c r="L27"/>
  <c r="G27"/>
  <c r="L20" i="76" s="1"/>
  <c r="L16" i="42"/>
  <c r="G16"/>
  <c r="G219" i="14"/>
  <c r="I219" s="1"/>
  <c r="G56" i="15" s="1"/>
  <c r="G367" i="2" s="1"/>
  <c r="E220" i="14"/>
  <c r="F35" i="15"/>
  <c r="G195" i="2" s="1"/>
  <c r="I120" i="14"/>
  <c r="E181"/>
  <c r="G181" s="1"/>
  <c r="I181" s="1"/>
  <c r="E60" i="15" s="1"/>
  <c r="G301" i="2" s="1"/>
  <c r="G179" i="14"/>
  <c r="I179" s="1"/>
  <c r="I11" i="8"/>
  <c r="K11" s="1"/>
  <c r="I11" i="6" s="1"/>
  <c r="H11"/>
  <c r="G199" i="14"/>
  <c r="I199" s="1"/>
  <c r="F57" i="15" s="1"/>
  <c r="G333" i="2" s="1"/>
  <c r="E200" i="14"/>
  <c r="G156"/>
  <c r="I156" s="1"/>
  <c r="H32" i="15" s="1"/>
  <c r="E157" i="14"/>
  <c r="J10" i="6"/>
  <c r="L10" s="1"/>
  <c r="H13" i="8"/>
  <c r="I19" i="76" l="1"/>
  <c r="I22" s="1"/>
  <c r="P11"/>
  <c r="Q11" s="1"/>
  <c r="L12"/>
  <c r="K12" s="1"/>
  <c r="J12" s="1"/>
  <c r="F12"/>
  <c r="H21"/>
  <c r="G21" s="1"/>
  <c r="G20"/>
  <c r="I15"/>
  <c r="O15"/>
  <c r="H14"/>
  <c r="N14"/>
  <c r="M14" s="1"/>
  <c r="L21"/>
  <c r="K21" s="1"/>
  <c r="K20"/>
  <c r="J20" s="1"/>
  <c r="L13"/>
  <c r="K13" s="1"/>
  <c r="J13" s="1"/>
  <c r="G127" i="2"/>
  <c r="J21" i="42"/>
  <c r="O18" i="76" s="1"/>
  <c r="G44" i="15"/>
  <c r="G239" i="2" s="1"/>
  <c r="G240" s="1"/>
  <c r="G134"/>
  <c r="G135" s="1"/>
  <c r="G136" s="1"/>
  <c r="H12" i="8"/>
  <c r="I50" i="2"/>
  <c r="I68"/>
  <c r="G69"/>
  <c r="G70" s="1"/>
  <c r="J8" i="1" s="1"/>
  <c r="K8" s="1"/>
  <c r="N8" s="1"/>
  <c r="I64" i="2"/>
  <c r="I65"/>
  <c r="G171"/>
  <c r="G102"/>
  <c r="I67"/>
  <c r="G262"/>
  <c r="I17" i="42" s="1"/>
  <c r="I66" i="2"/>
  <c r="K18" i="42"/>
  <c r="H18"/>
  <c r="L17"/>
  <c r="G17"/>
  <c r="F37" i="15"/>
  <c r="J11" i="6"/>
  <c r="L11" s="1"/>
  <c r="G220" i="14"/>
  <c r="I220" s="1"/>
  <c r="G57" i="15" s="1"/>
  <c r="G368" i="2" s="1"/>
  <c r="E221" i="14"/>
  <c r="G200"/>
  <c r="I200" s="1"/>
  <c r="E202"/>
  <c r="G202" s="1"/>
  <c r="I202" s="1"/>
  <c r="F60" i="15" s="1"/>
  <c r="G336" i="2" s="1"/>
  <c r="G157" i="14"/>
  <c r="I157" s="1"/>
  <c r="H33" i="15" s="1"/>
  <c r="E158" i="14"/>
  <c r="I180"/>
  <c r="E58" i="15"/>
  <c r="H13" i="6"/>
  <c r="I13" i="8"/>
  <c r="K13" s="1"/>
  <c r="I13" i="6" s="1"/>
  <c r="J21" i="76" l="1"/>
  <c r="P21" s="1"/>
  <c r="Q21" s="1"/>
  <c r="P20"/>
  <c r="Q20" s="1"/>
  <c r="F13"/>
  <c r="E13" s="1"/>
  <c r="D13" s="1"/>
  <c r="P13" s="1"/>
  <c r="Q13" s="1"/>
  <c r="E12"/>
  <c r="D12" s="1"/>
  <c r="P12" s="1"/>
  <c r="Q12" s="1"/>
  <c r="F20"/>
  <c r="F21" s="1"/>
  <c r="G14"/>
  <c r="L14"/>
  <c r="K14" s="1"/>
  <c r="J14" s="1"/>
  <c r="F14"/>
  <c r="E14" s="1"/>
  <c r="D14" s="1"/>
  <c r="P14" s="1"/>
  <c r="Q14" s="1"/>
  <c r="H15"/>
  <c r="G15" s="1"/>
  <c r="N15"/>
  <c r="M15" s="1"/>
  <c r="I23"/>
  <c r="H15" i="8"/>
  <c r="H15" i="6" s="1"/>
  <c r="I12" i="8"/>
  <c r="K12" s="1"/>
  <c r="I12" i="6" s="1"/>
  <c r="H12"/>
  <c r="G137" i="2"/>
  <c r="G138" s="1"/>
  <c r="I134" s="1"/>
  <c r="F44" i="15"/>
  <c r="G204" i="2" s="1"/>
  <c r="G197"/>
  <c r="G241"/>
  <c r="G172"/>
  <c r="G173" s="1"/>
  <c r="G263"/>
  <c r="I18" i="42" s="1"/>
  <c r="G103" i="2"/>
  <c r="K21" i="42"/>
  <c r="H21"/>
  <c r="N18" i="76" s="1"/>
  <c r="M18" s="1"/>
  <c r="L18" i="42"/>
  <c r="G18"/>
  <c r="E223" i="14"/>
  <c r="G223" s="1"/>
  <c r="I223" s="1"/>
  <c r="G60" i="15" s="1"/>
  <c r="G371" i="2" s="1"/>
  <c r="G221" i="14"/>
  <c r="I221" s="1"/>
  <c r="I201"/>
  <c r="F59" i="15" s="1"/>
  <c r="G335" i="2" s="1"/>
  <c r="F58" i="15"/>
  <c r="E59"/>
  <c r="G300" i="2" s="1"/>
  <c r="I183" i="14"/>
  <c r="G299" i="2"/>
  <c r="G158" i="14"/>
  <c r="I158" s="1"/>
  <c r="E160"/>
  <c r="G160" s="1"/>
  <c r="I160" s="1"/>
  <c r="H36" i="15" s="1"/>
  <c r="J13" i="6"/>
  <c r="L13" s="1"/>
  <c r="L15" i="76" l="1"/>
  <c r="K15" s="1"/>
  <c r="J15" s="1"/>
  <c r="F15"/>
  <c r="E15" s="1"/>
  <c r="D15" s="1"/>
  <c r="H19"/>
  <c r="I24"/>
  <c r="J19" i="42"/>
  <c r="O16" i="76" s="1"/>
  <c r="J20" i="42"/>
  <c r="O17" i="76" s="1"/>
  <c r="I15" i="8"/>
  <c r="K15" s="1"/>
  <c r="I15" i="6" s="1"/>
  <c r="J15" s="1"/>
  <c r="L15" s="1"/>
  <c r="I135" i="2"/>
  <c r="I136"/>
  <c r="J12" i="6"/>
  <c r="L12" s="1"/>
  <c r="I120" i="2"/>
  <c r="I137"/>
  <c r="I138"/>
  <c r="G139"/>
  <c r="G140" s="1"/>
  <c r="J10" i="1" s="1"/>
  <c r="K10" s="1"/>
  <c r="N10" s="1"/>
  <c r="G205" i="2"/>
  <c r="I172"/>
  <c r="I155"/>
  <c r="G174"/>
  <c r="G175" s="1"/>
  <c r="J11" i="1" s="1"/>
  <c r="K11" s="1"/>
  <c r="N11" s="1"/>
  <c r="I173" i="2"/>
  <c r="I169"/>
  <c r="I170"/>
  <c r="I171"/>
  <c r="G242"/>
  <c r="G243" s="1"/>
  <c r="G266"/>
  <c r="I21" i="42" s="1"/>
  <c r="I85" i="2"/>
  <c r="G104"/>
  <c r="G105" s="1"/>
  <c r="J9" i="1" s="1"/>
  <c r="K9" s="1"/>
  <c r="N9" s="1"/>
  <c r="I103" i="2"/>
  <c r="I99"/>
  <c r="I100"/>
  <c r="I101"/>
  <c r="H14" i="8"/>
  <c r="I14" s="1"/>
  <c r="K14" s="1"/>
  <c r="I14" i="6" s="1"/>
  <c r="I102" i="2"/>
  <c r="L21" i="42"/>
  <c r="G21"/>
  <c r="L18" i="76" s="1"/>
  <c r="K18" s="1"/>
  <c r="J18" s="1"/>
  <c r="P18" s="1"/>
  <c r="Q18" s="1"/>
  <c r="K20" i="42"/>
  <c r="H20"/>
  <c r="N17" i="76" s="1"/>
  <c r="M17" s="1"/>
  <c r="E61" i="15"/>
  <c r="E68" s="1"/>
  <c r="I204" i="14"/>
  <c r="G58" i="15"/>
  <c r="I222" i="14"/>
  <c r="I159"/>
  <c r="H35" i="15" s="1"/>
  <c r="H34"/>
  <c r="G264" i="2" s="1"/>
  <c r="F61" i="15"/>
  <c r="G334" i="2"/>
  <c r="G19" i="76" l="1"/>
  <c r="H22"/>
  <c r="F19"/>
  <c r="P15"/>
  <c r="Q15" s="1"/>
  <c r="H14" i="6"/>
  <c r="J14" s="1"/>
  <c r="L14" s="1"/>
  <c r="I243" i="2"/>
  <c r="G244"/>
  <c r="G245" s="1"/>
  <c r="I225"/>
  <c r="I239"/>
  <c r="I240"/>
  <c r="I241"/>
  <c r="G206"/>
  <c r="G265"/>
  <c r="I20" i="42" s="1"/>
  <c r="I242" i="2"/>
  <c r="K19" i="42"/>
  <c r="H19"/>
  <c r="N16" i="76" s="1"/>
  <c r="M16" s="1"/>
  <c r="G302" i="2"/>
  <c r="G369"/>
  <c r="G59" i="15"/>
  <c r="G370" i="2" s="1"/>
  <c r="I225" i="14"/>
  <c r="I19" i="42"/>
  <c r="H37" i="15"/>
  <c r="G267" i="2" s="1"/>
  <c r="G309"/>
  <c r="H17" i="8"/>
  <c r="I162" i="14"/>
  <c r="F68" i="15"/>
  <c r="G337" i="2"/>
  <c r="E19" i="76" l="1"/>
  <c r="D19" s="1"/>
  <c r="F22"/>
  <c r="G22"/>
  <c r="H23"/>
  <c r="G23" s="1"/>
  <c r="J22" i="42"/>
  <c r="O19" i="76" s="1"/>
  <c r="G207" i="2"/>
  <c r="G208" s="1"/>
  <c r="L20" i="42"/>
  <c r="G20"/>
  <c r="L17" i="76" s="1"/>
  <c r="K17" s="1"/>
  <c r="J17" s="1"/>
  <c r="P17" s="1"/>
  <c r="Q17" s="1"/>
  <c r="L19" i="42"/>
  <c r="G19"/>
  <c r="L16" i="76" s="1"/>
  <c r="K16" s="1"/>
  <c r="J16" s="1"/>
  <c r="P16" s="1"/>
  <c r="Q16" s="1"/>
  <c r="K22" i="42"/>
  <c r="H22"/>
  <c r="N19" i="76" s="1"/>
  <c r="M19" s="1"/>
  <c r="G61" i="15"/>
  <c r="G68" s="1"/>
  <c r="H44"/>
  <c r="G274" i="2" s="1"/>
  <c r="I22" i="42"/>
  <c r="G310" i="2"/>
  <c r="J29" i="42"/>
  <c r="I17" i="8"/>
  <c r="K17" s="1"/>
  <c r="I17" i="6" s="1"/>
  <c r="H17"/>
  <c r="H18" i="8"/>
  <c r="G344" i="2"/>
  <c r="H24" i="76" l="1"/>
  <c r="G24" s="1"/>
  <c r="E22"/>
  <c r="D22" s="1"/>
  <c r="F23"/>
  <c r="E23" s="1"/>
  <c r="D23" s="1"/>
  <c r="G311" i="2"/>
  <c r="H29" i="42"/>
  <c r="N21" i="76" s="1"/>
  <c r="I207" i="2"/>
  <c r="I190"/>
  <c r="G209"/>
  <c r="G210" s="1"/>
  <c r="I208"/>
  <c r="I204"/>
  <c r="I205"/>
  <c r="I206"/>
  <c r="G275"/>
  <c r="G372"/>
  <c r="H19" i="8"/>
  <c r="G379" i="2"/>
  <c r="H16" i="8"/>
  <c r="H18" i="6"/>
  <c r="I18" i="8"/>
  <c r="K18" s="1"/>
  <c r="I18" i="6" s="1"/>
  <c r="J17"/>
  <c r="L17" s="1"/>
  <c r="G345" i="2"/>
  <c r="K29" i="42"/>
  <c r="J30"/>
  <c r="O22" i="76" s="1"/>
  <c r="F24" l="1"/>
  <c r="E24" s="1"/>
  <c r="D24" s="1"/>
  <c r="H25"/>
  <c r="H30" i="42"/>
  <c r="N22" i="76" s="1"/>
  <c r="M22" s="1"/>
  <c r="G346" i="2"/>
  <c r="G312"/>
  <c r="G29" i="42"/>
  <c r="G276" i="2"/>
  <c r="L22" i="42"/>
  <c r="G22"/>
  <c r="L19" i="76" s="1"/>
  <c r="K19" s="1"/>
  <c r="J19" s="1"/>
  <c r="P19" s="1"/>
  <c r="Q19" s="1"/>
  <c r="K30" i="42"/>
  <c r="H19" i="6"/>
  <c r="I19" i="8"/>
  <c r="K19" s="1"/>
  <c r="I19" i="6" s="1"/>
  <c r="G380" i="2"/>
  <c r="L29" i="42"/>
  <c r="J31"/>
  <c r="O23" i="76" s="1"/>
  <c r="I29" i="42"/>
  <c r="I16" i="8"/>
  <c r="K16" s="1"/>
  <c r="I16" i="6" s="1"/>
  <c r="H16"/>
  <c r="J18"/>
  <c r="L18" s="1"/>
  <c r="H26" i="76" l="1"/>
  <c r="G26" s="1"/>
  <c r="E26" s="1"/>
  <c r="D26" s="1"/>
  <c r="G25"/>
  <c r="E25" s="1"/>
  <c r="D25" s="1"/>
  <c r="G30" i="42"/>
  <c r="L22" i="76" s="1"/>
  <c r="K22" s="1"/>
  <c r="J22" s="1"/>
  <c r="P22" s="1"/>
  <c r="Q22" s="1"/>
  <c r="G381" i="2"/>
  <c r="H31" i="42"/>
  <c r="N23" i="76" s="1"/>
  <c r="M23" s="1"/>
  <c r="G347" i="2"/>
  <c r="G277"/>
  <c r="I30" i="42"/>
  <c r="G313" i="2"/>
  <c r="J32" i="42"/>
  <c r="O24" i="76" s="1"/>
  <c r="K31" i="42"/>
  <c r="J19" i="6"/>
  <c r="L19" s="1"/>
  <c r="J16"/>
  <c r="L16" s="1"/>
  <c r="L30" i="42"/>
  <c r="D27" i="76" l="1"/>
  <c r="H27"/>
  <c r="G27" s="1"/>
  <c r="E27" s="1"/>
  <c r="H32" i="42"/>
  <c r="N24" i="76" s="1"/>
  <c r="M24" s="1"/>
  <c r="I312" i="2"/>
  <c r="G31" i="42"/>
  <c r="L23" i="76" s="1"/>
  <c r="K23" s="1"/>
  <c r="J23" s="1"/>
  <c r="P23" s="1"/>
  <c r="Q23" s="1"/>
  <c r="G382" i="2"/>
  <c r="G278"/>
  <c r="I277" s="1"/>
  <c r="I31" i="42"/>
  <c r="I313" i="2"/>
  <c r="I309"/>
  <c r="G314"/>
  <c r="J33" i="42"/>
  <c r="O25" i="76" s="1"/>
  <c r="I310" i="2"/>
  <c r="I295"/>
  <c r="I311"/>
  <c r="L31" i="42"/>
  <c r="G348" i="2"/>
  <c r="K32" i="42"/>
  <c r="G32" l="1"/>
  <c r="L24" i="76" s="1"/>
  <c r="K24" s="1"/>
  <c r="J24" s="1"/>
  <c r="P24" s="1"/>
  <c r="Q24" s="1"/>
  <c r="J34" i="42"/>
  <c r="O26" i="76" s="1"/>
  <c r="I278" i="2"/>
  <c r="G279"/>
  <c r="G280" s="1"/>
  <c r="I260"/>
  <c r="I274"/>
  <c r="I275"/>
  <c r="I276"/>
  <c r="I347"/>
  <c r="H33" i="42"/>
  <c r="N25" i="76" s="1"/>
  <c r="M25" s="1"/>
  <c r="G315" i="2"/>
  <c r="I32" i="42"/>
  <c r="I33"/>
  <c r="L32"/>
  <c r="G383" i="2"/>
  <c r="G349"/>
  <c r="I345"/>
  <c r="I330"/>
  <c r="I348"/>
  <c r="K33" i="42"/>
  <c r="I344" i="2"/>
  <c r="I346"/>
  <c r="J35" i="42" l="1"/>
  <c r="O27" i="76" s="1"/>
  <c r="I382" i="2"/>
  <c r="G33" i="42"/>
  <c r="L25" i="76" s="1"/>
  <c r="K25" s="1"/>
  <c r="J25" s="1"/>
  <c r="K34" i="42"/>
  <c r="H34"/>
  <c r="N26" i="76" s="1"/>
  <c r="M26" s="1"/>
  <c r="I34" i="42"/>
  <c r="G350" i="2"/>
  <c r="I383"/>
  <c r="L33" i="42"/>
  <c r="I379" i="2"/>
  <c r="G384"/>
  <c r="I380"/>
  <c r="I365"/>
  <c r="I381"/>
  <c r="I35" i="42"/>
  <c r="P25" i="76" l="1"/>
  <c r="Q25" s="1"/>
  <c r="J12" i="1"/>
  <c r="K12" s="1"/>
  <c r="N12" s="1"/>
  <c r="L34" i="42"/>
  <c r="G34"/>
  <c r="L26" i="76" s="1"/>
  <c r="K26" s="1"/>
  <c r="J26" s="1"/>
  <c r="P26" s="1"/>
  <c r="Q26" s="1"/>
  <c r="K35" i="42"/>
  <c r="H35"/>
  <c r="N27" i="76" s="1"/>
  <c r="M27" s="1"/>
  <c r="G385" i="2"/>
  <c r="J27" i="76" l="1"/>
  <c r="J13" i="1"/>
  <c r="K13" s="1"/>
  <c r="N13" s="1"/>
  <c r="L35" i="42"/>
  <c r="J15" i="1" s="1"/>
  <c r="K15" s="1"/>
  <c r="N15" s="1"/>
  <c r="G35" i="42"/>
  <c r="L27" i="76" s="1"/>
  <c r="K27" s="1"/>
  <c r="P27" s="1"/>
  <c r="Q27" s="1"/>
  <c r="J14" i="1" l="1"/>
  <c r="K14" s="1"/>
  <c r="N14" s="1"/>
  <c r="N16" s="1"/>
</calcChain>
</file>

<file path=xl/sharedStrings.xml><?xml version="1.0" encoding="utf-8"?>
<sst xmlns="http://schemas.openxmlformats.org/spreadsheetml/2006/main" count="1859" uniqueCount="713">
  <si>
    <t>연장근로수당</t>
    <phoneticPr fontId="5" type="noConversion"/>
  </si>
  <si>
    <t>주 2)</t>
    <phoneticPr fontId="5" type="noConversion"/>
  </si>
  <si>
    <t>소    계</t>
    <phoneticPr fontId="5" type="noConversion"/>
  </si>
  <si>
    <t>보
험
료</t>
    <phoneticPr fontId="7" type="noConversion"/>
  </si>
  <si>
    <t>년차수당</t>
    <phoneticPr fontId="5" type="noConversion"/>
  </si>
  <si>
    <t>소          계</t>
    <phoneticPr fontId="6" type="noConversion"/>
  </si>
  <si>
    <t>월간용역비</t>
    <phoneticPr fontId="7" type="noConversion"/>
  </si>
  <si>
    <t>적용
개월수</t>
    <phoneticPr fontId="7" type="noConversion"/>
  </si>
  <si>
    <t>년간용역비</t>
    <phoneticPr fontId="7" type="noConversion"/>
  </si>
  <si>
    <t>주 1)</t>
    <phoneticPr fontId="7" type="noConversion"/>
  </si>
  <si>
    <t>주 2)</t>
  </si>
  <si>
    <t>주 3)</t>
  </si>
  <si>
    <t>주 4)</t>
  </si>
  <si>
    <t>주 5)</t>
  </si>
  <si>
    <t>계</t>
    <phoneticPr fontId="7" type="noConversion"/>
  </si>
  <si>
    <t>단위 : 원/월</t>
    <phoneticPr fontId="6" type="noConversion"/>
  </si>
  <si>
    <t xml:space="preserve"> 구      분</t>
    <phoneticPr fontId="7" type="noConversion"/>
  </si>
  <si>
    <t>금      액</t>
    <phoneticPr fontId="11" type="noConversion"/>
  </si>
  <si>
    <t>구성비(%)</t>
    <phoneticPr fontId="12" type="noConversion"/>
  </si>
  <si>
    <t>비        고</t>
    <phoneticPr fontId="11" type="noConversion"/>
  </si>
  <si>
    <t xml:space="preserve"> 비      목</t>
    <phoneticPr fontId="7" type="noConversion"/>
  </si>
  <si>
    <t>기    본    급</t>
    <phoneticPr fontId="6" type="noConversion"/>
  </si>
  <si>
    <t>년차수당</t>
  </si>
  <si>
    <t>소          계</t>
    <phoneticPr fontId="6" type="noConversion"/>
  </si>
  <si>
    <t>상       여       금</t>
    <phoneticPr fontId="7" type="noConversion"/>
  </si>
  <si>
    <t>퇴 직 급 여 충 당 금</t>
    <phoneticPr fontId="7" type="noConversion"/>
  </si>
  <si>
    <t>계</t>
    <phoneticPr fontId="7" type="noConversion"/>
  </si>
  <si>
    <t>산재보험료</t>
  </si>
  <si>
    <t>국민연금</t>
    <phoneticPr fontId="7" type="noConversion"/>
  </si>
  <si>
    <t>고용보험료</t>
    <phoneticPr fontId="7" type="noConversion"/>
  </si>
  <si>
    <t>국민건강보험료</t>
    <phoneticPr fontId="7" type="noConversion"/>
  </si>
  <si>
    <t>임금채권보장보험료</t>
    <phoneticPr fontId="7" type="noConversion"/>
  </si>
  <si>
    <t>식대</t>
    <phoneticPr fontId="7" type="noConversion"/>
  </si>
  <si>
    <t>단위 : 원/월</t>
    <phoneticPr fontId="5" type="noConversion"/>
  </si>
  <si>
    <t>금   액</t>
    <phoneticPr fontId="7" type="noConversion"/>
  </si>
  <si>
    <t>단위당인건비집계표</t>
    <phoneticPr fontId="6" type="noConversion"/>
  </si>
  <si>
    <t>단위 : 원/월</t>
    <phoneticPr fontId="7" type="noConversion"/>
  </si>
  <si>
    <t>구      분</t>
    <phoneticPr fontId="7" type="noConversion"/>
  </si>
  <si>
    <t>적용직종명</t>
    <phoneticPr fontId="14" type="noConversion"/>
  </si>
  <si>
    <t>기본급</t>
    <phoneticPr fontId="6" type="noConversion"/>
  </si>
  <si>
    <t>제수당</t>
    <phoneticPr fontId="6" type="noConversion"/>
  </si>
  <si>
    <t>상여금</t>
    <phoneticPr fontId="6" type="noConversion"/>
  </si>
  <si>
    <t>퇴직급여
충당금</t>
    <phoneticPr fontId="6" type="noConversion"/>
  </si>
  <si>
    <t>단위(1인)당인건비산출표</t>
    <phoneticPr fontId="15" type="noConversion"/>
  </si>
  <si>
    <t>월근로시간</t>
    <phoneticPr fontId="7" type="noConversion"/>
  </si>
  <si>
    <t>구          분</t>
    <phoneticPr fontId="15" type="noConversion"/>
  </si>
  <si>
    <t>금     액</t>
    <phoneticPr fontId="6" type="noConversion"/>
  </si>
  <si>
    <t>비   고</t>
    <phoneticPr fontId="7" type="noConversion"/>
  </si>
  <si>
    <t>기       본       급</t>
    <phoneticPr fontId="6" type="noConversion"/>
  </si>
  <si>
    <t>주 1)</t>
  </si>
  <si>
    <t>년차수당</t>
    <phoneticPr fontId="7" type="noConversion"/>
  </si>
  <si>
    <t>소계</t>
    <phoneticPr fontId="7" type="noConversion"/>
  </si>
  <si>
    <t>상       여       금</t>
    <phoneticPr fontId="6" type="noConversion"/>
  </si>
  <si>
    <t>퇴 직 급 여 충 당 금</t>
    <phoneticPr fontId="6" type="noConversion"/>
  </si>
  <si>
    <t>근로기준법 제34조</t>
    <phoneticPr fontId="7" type="noConversion"/>
  </si>
  <si>
    <t>계</t>
    <phoneticPr fontId="15" type="noConversion"/>
  </si>
  <si>
    <t>M/M당기본급산출표</t>
    <phoneticPr fontId="6" type="noConversion"/>
  </si>
  <si>
    <t>구       분</t>
    <phoneticPr fontId="7" type="noConversion"/>
  </si>
  <si>
    <t>직종번호</t>
    <phoneticPr fontId="7" type="noConversion"/>
  </si>
  <si>
    <t>주 1)</t>
    <phoneticPr fontId="14" type="noConversion"/>
  </si>
  <si>
    <t>적용직종 및 소요인원산정표</t>
    <phoneticPr fontId="16" type="noConversion"/>
  </si>
  <si>
    <t>구  분</t>
    <phoneticPr fontId="7" type="noConversion"/>
  </si>
  <si>
    <t>주     요     업     무</t>
    <phoneticPr fontId="16" type="noConversion"/>
  </si>
  <si>
    <t>계</t>
    <phoneticPr fontId="16" type="noConversion"/>
  </si>
  <si>
    <t>경비집계표</t>
    <phoneticPr fontId="7" type="noConversion"/>
  </si>
  <si>
    <t>비          목</t>
    <phoneticPr fontId="5" type="noConversion"/>
  </si>
  <si>
    <t>보  험  료</t>
    <phoneticPr fontId="5" type="noConversion"/>
  </si>
  <si>
    <t>주 1)</t>
    <phoneticPr fontId="5" type="noConversion"/>
  </si>
  <si>
    <t>복리후생비</t>
    <phoneticPr fontId="5" type="noConversion"/>
  </si>
  <si>
    <t>식대</t>
    <phoneticPr fontId="5" type="noConversion"/>
  </si>
  <si>
    <t>주 2)</t>
    <phoneticPr fontId="5" type="noConversion"/>
  </si>
  <si>
    <t>비           목</t>
    <phoneticPr fontId="7" type="noConversion"/>
  </si>
  <si>
    <t>적 용 대 상 액  주1)</t>
    <phoneticPr fontId="15" type="noConversion"/>
  </si>
  <si>
    <t>금  액</t>
    <phoneticPr fontId="13" type="noConversion"/>
  </si>
  <si>
    <t>비 고</t>
    <phoneticPr fontId="15" type="noConversion"/>
  </si>
  <si>
    <t>기본급</t>
    <phoneticPr fontId="13" type="noConversion"/>
  </si>
  <si>
    <t>제수당</t>
    <phoneticPr fontId="15" type="noConversion"/>
  </si>
  <si>
    <t>상여금</t>
    <phoneticPr fontId="15" type="noConversion"/>
  </si>
  <si>
    <t>국민연금</t>
  </si>
  <si>
    <t>고용보험료</t>
    <phoneticPr fontId="5" type="noConversion"/>
  </si>
  <si>
    <t>국민건강보험료</t>
  </si>
  <si>
    <t>임금채권보장보험료</t>
  </si>
  <si>
    <t xml:space="preserve">   석탄광업</t>
  </si>
  <si>
    <t xml:space="preserve">   금속 및 비금속광업</t>
  </si>
  <si>
    <t xml:space="preserve">   선박건조 및 수리업</t>
  </si>
  <si>
    <t xml:space="preserve">   석회석광업</t>
  </si>
  <si>
    <t xml:space="preserve">   수제품 제조업</t>
  </si>
  <si>
    <t xml:space="preserve">   기타제조업</t>
  </si>
  <si>
    <t>2. 제조업</t>
  </si>
  <si>
    <t xml:space="preserve">   식료품제조업</t>
  </si>
  <si>
    <t xml:space="preserve">   담배제조업</t>
  </si>
  <si>
    <t>5. 운수창고 및 통신업</t>
  </si>
  <si>
    <t xml:space="preserve">   섬유 또는 섬유제품제조업(갑)</t>
  </si>
  <si>
    <t xml:space="preserve">   철도궤도 및 삭도운수업</t>
  </si>
  <si>
    <t xml:space="preserve">   섬유 또는 섬유제품제조업(을)</t>
  </si>
  <si>
    <t xml:space="preserve">   제재 및 베니어판 제조업</t>
  </si>
  <si>
    <t xml:space="preserve">   화물자동차운수업</t>
  </si>
  <si>
    <t xml:space="preserve">   목재품 제조업</t>
  </si>
  <si>
    <t xml:space="preserve">   항공운수업</t>
  </si>
  <si>
    <t xml:space="preserve">   운수관련 서비스업</t>
  </si>
  <si>
    <t xml:space="preserve">   화학제품 제조업</t>
  </si>
  <si>
    <t xml:space="preserve">   의약품 및 화장품 향료 제조업</t>
  </si>
  <si>
    <t xml:space="preserve">   코크스 및 석탄가스 제조업</t>
  </si>
  <si>
    <t xml:space="preserve">   고무제품 제조업</t>
  </si>
  <si>
    <t xml:space="preserve">   유리 제조업</t>
  </si>
  <si>
    <t>9. 기타의사업</t>
  </si>
  <si>
    <t xml:space="preserve">   시멘트 제조업</t>
  </si>
  <si>
    <t xml:space="preserve">   건물등의 종합관리사업</t>
  </si>
  <si>
    <t xml:space="preserve">   금속제련업</t>
  </si>
  <si>
    <t xml:space="preserve">   위생 및 유사서비스업</t>
  </si>
  <si>
    <t xml:space="preserve">   금속재료품 제조업</t>
  </si>
  <si>
    <t xml:space="preserve">   기계기구 제조업</t>
  </si>
  <si>
    <t xml:space="preserve">   기타의 각종사업</t>
  </si>
  <si>
    <t xml:space="preserve">   전기기계기구 제조업</t>
  </si>
  <si>
    <t>복리후생비집계표</t>
    <phoneticPr fontId="7" type="noConversion"/>
  </si>
  <si>
    <t>수 량</t>
    <phoneticPr fontId="7" type="noConversion"/>
  </si>
  <si>
    <t>단  가</t>
  </si>
  <si>
    <t>비        고</t>
  </si>
  <si>
    <t>일반관리비산출표</t>
    <phoneticPr fontId="21" type="noConversion"/>
  </si>
  <si>
    <t>구  분</t>
    <phoneticPr fontId="7" type="noConversion"/>
  </si>
  <si>
    <t>적용직종명</t>
    <phoneticPr fontId="7" type="noConversion"/>
  </si>
  <si>
    <t>적   용   대   상   액</t>
    <phoneticPr fontId="7" type="noConversion"/>
  </si>
  <si>
    <t>금  액</t>
    <phoneticPr fontId="7" type="noConversion"/>
  </si>
  <si>
    <t>인건비</t>
    <phoneticPr fontId="7" type="noConversion"/>
  </si>
  <si>
    <t>경  비</t>
    <phoneticPr fontId="7" type="noConversion"/>
  </si>
  <si>
    <t>-</t>
  </si>
  <si>
    <t>이윤비율표</t>
    <phoneticPr fontId="21" type="noConversion"/>
  </si>
  <si>
    <t>구          분</t>
    <phoneticPr fontId="7" type="noConversion"/>
  </si>
  <si>
    <t>조사적용
비율(%)</t>
    <phoneticPr fontId="7" type="noConversion"/>
  </si>
  <si>
    <t>비       고</t>
    <phoneticPr fontId="19" type="noConversion"/>
  </si>
  <si>
    <t>시설공사</t>
    <phoneticPr fontId="19" type="noConversion"/>
  </si>
  <si>
    <t>제조,구매</t>
    <phoneticPr fontId="7" type="noConversion"/>
  </si>
  <si>
    <t>용역</t>
    <phoneticPr fontId="7" type="noConversion"/>
  </si>
  <si>
    <t>수입물품의구입</t>
    <phoneticPr fontId="7" type="noConversion"/>
  </si>
  <si>
    <t xml:space="preserve">    </t>
    <phoneticPr fontId="7" type="noConversion"/>
  </si>
  <si>
    <t>CODE NO.</t>
  </si>
  <si>
    <t>금     액</t>
  </si>
  <si>
    <t>"</t>
  </si>
  <si>
    <t>매출원가</t>
    <phoneticPr fontId="7" type="noConversion"/>
  </si>
  <si>
    <t>판매비와일반관리비</t>
    <phoneticPr fontId="7" type="noConversion"/>
  </si>
  <si>
    <t>이윤산출표</t>
    <phoneticPr fontId="21" type="noConversion"/>
  </si>
  <si>
    <t>구  분</t>
    <phoneticPr fontId="7" type="noConversion"/>
  </si>
  <si>
    <t>적용직종</t>
    <phoneticPr fontId="7" type="noConversion"/>
  </si>
  <si>
    <t>적   용   대   상   액</t>
    <phoneticPr fontId="7" type="noConversion"/>
  </si>
  <si>
    <t>금  액</t>
    <phoneticPr fontId="7" type="noConversion"/>
  </si>
  <si>
    <t>인건비</t>
    <phoneticPr fontId="7" type="noConversion"/>
  </si>
  <si>
    <t>경  비</t>
    <phoneticPr fontId="7" type="noConversion"/>
  </si>
  <si>
    <t>일반관리비</t>
    <phoneticPr fontId="7" type="noConversion"/>
  </si>
  <si>
    <t>계</t>
    <phoneticPr fontId="7" type="noConversion"/>
  </si>
  <si>
    <t>주 1)</t>
    <phoneticPr fontId="7" type="noConversion"/>
  </si>
  <si>
    <t>주 2)</t>
    <phoneticPr fontId="7" type="noConversion"/>
  </si>
  <si>
    <t>주 3)</t>
    <phoneticPr fontId="7" type="noConversion"/>
  </si>
  <si>
    <t>주 4)</t>
    <phoneticPr fontId="7" type="noConversion"/>
  </si>
  <si>
    <t>일반관리비율산출표</t>
    <phoneticPr fontId="7" type="noConversion"/>
  </si>
  <si>
    <t>비                  목</t>
    <phoneticPr fontId="14" type="noConversion"/>
  </si>
  <si>
    <t>비    고</t>
    <phoneticPr fontId="14" type="noConversion"/>
  </si>
  <si>
    <t>1)</t>
    <phoneticPr fontId="7" type="noConversion"/>
  </si>
  <si>
    <t xml:space="preserve"> 주 1)</t>
    <phoneticPr fontId="7" type="noConversion"/>
  </si>
  <si>
    <t>2)</t>
    <phoneticPr fontId="7" type="noConversion"/>
  </si>
  <si>
    <t>동기간의 일반관리비</t>
    <phoneticPr fontId="7" type="noConversion"/>
  </si>
  <si>
    <t>불인금액</t>
    <phoneticPr fontId="7" type="noConversion"/>
  </si>
  <si>
    <t>① 접대비</t>
    <phoneticPr fontId="7" type="noConversion"/>
  </si>
  <si>
    <t>② 광고선전비</t>
    <phoneticPr fontId="7" type="noConversion"/>
  </si>
  <si>
    <t>③ 운반비</t>
    <phoneticPr fontId="7" type="noConversion"/>
  </si>
  <si>
    <t>④ 대손상각비</t>
    <phoneticPr fontId="7" type="noConversion"/>
  </si>
  <si>
    <t>⑤ 무형자산상각비</t>
    <phoneticPr fontId="7" type="noConversion"/>
  </si>
  <si>
    <t>⑥ 기타판매비와관리비</t>
    <phoneticPr fontId="7" type="noConversion"/>
  </si>
  <si>
    <t>3)</t>
    <phoneticPr fontId="7" type="noConversion"/>
  </si>
  <si>
    <t>일반관리비율(%)</t>
    <phoneticPr fontId="7" type="noConversion"/>
  </si>
  <si>
    <t xml:space="preserve"> 주 2)</t>
    <phoneticPr fontId="7" type="noConversion"/>
  </si>
  <si>
    <t>기업경영분석
자료(백만원)</t>
    <phoneticPr fontId="14" type="noConversion"/>
  </si>
  <si>
    <t>비    목</t>
    <phoneticPr fontId="7" type="noConversion"/>
  </si>
  <si>
    <t xml:space="preserve">   2) 단가 : 시중유통거래가격 참조</t>
    <phoneticPr fontId="7" type="noConversion"/>
  </si>
  <si>
    <t>3. 전기·가스 및 상수도업</t>
  </si>
  <si>
    <t xml:space="preserve">   어업</t>
  </si>
  <si>
    <t xml:space="preserve">   보건 및 사회복지사업</t>
  </si>
  <si>
    <t xml:space="preserve">   교육서비스업</t>
  </si>
  <si>
    <t xml:space="preserve">   전자제품 제조업</t>
  </si>
  <si>
    <t>계</t>
    <phoneticPr fontId="5" type="noConversion"/>
  </si>
  <si>
    <t>적용직종</t>
    <phoneticPr fontId="16" type="noConversion"/>
  </si>
  <si>
    <t>M/M당
기본급</t>
    <phoneticPr fontId="6" type="noConversion"/>
  </si>
  <si>
    <t>관  련  법  규</t>
    <phoneticPr fontId="7" type="noConversion"/>
  </si>
  <si>
    <t>순용역원가</t>
    <phoneticPr fontId="6" type="noConversion"/>
  </si>
  <si>
    <t>단위 : 원</t>
    <phoneticPr fontId="5" type="noConversion"/>
  </si>
  <si>
    <t xml:space="preserve">   5) 년간용역비 : 월간용역비 × 적용개월수</t>
    <phoneticPr fontId="5" type="noConversion"/>
  </si>
  <si>
    <t>목       차</t>
    <phoneticPr fontId="6" type="noConversion"/>
  </si>
  <si>
    <t>Ⅰ.</t>
    <phoneticPr fontId="6" type="noConversion"/>
  </si>
  <si>
    <t>예정원가조사보고서 ----------------------------------------------------</t>
    <phoneticPr fontId="6" type="noConversion"/>
  </si>
  <si>
    <t>Ⅱ.</t>
    <phoneticPr fontId="6" type="noConversion"/>
  </si>
  <si>
    <t>원가조사의 개요 -------------------------------------------------------</t>
    <phoneticPr fontId="6" type="noConversion"/>
  </si>
  <si>
    <t>Ⅲ.</t>
    <phoneticPr fontId="6" type="noConversion"/>
  </si>
  <si>
    <t>Ⅳ.</t>
    <phoneticPr fontId="6" type="noConversion"/>
  </si>
  <si>
    <t>원가비목별계산기준 ----------------------------------------------------</t>
    <phoneticPr fontId="6" type="noConversion"/>
  </si>
  <si>
    <t>비       목</t>
    <phoneticPr fontId="7" type="noConversion"/>
  </si>
  <si>
    <t>관  련  법  규</t>
    <phoneticPr fontId="7" type="noConversion"/>
  </si>
  <si>
    <t>산     정     기     준</t>
    <phoneticPr fontId="7" type="noConversion"/>
  </si>
  <si>
    <t>적  용  방  법</t>
    <phoneticPr fontId="7" type="noConversion"/>
  </si>
  <si>
    <t>기     본     급</t>
    <phoneticPr fontId="7" type="noConversion"/>
  </si>
  <si>
    <t>상       여       금</t>
    <phoneticPr fontId="6" type="noConversion"/>
  </si>
  <si>
    <t>퇴 직 급 여 충 당 금</t>
    <phoneticPr fontId="6" type="noConversion"/>
  </si>
  <si>
    <t>인건비산정기준 및 관련법규</t>
    <phoneticPr fontId="16" type="noConversion"/>
  </si>
  <si>
    <t>고용보험료</t>
  </si>
  <si>
    <t>근로기준법 제60조</t>
    <phoneticPr fontId="7" type="noConversion"/>
  </si>
  <si>
    <t>근로기준법 제56조</t>
    <phoneticPr fontId="7" type="noConversion"/>
  </si>
  <si>
    <t>인
건
비</t>
    <phoneticPr fontId="6" type="noConversion"/>
  </si>
  <si>
    <t>인
건
비</t>
    <phoneticPr fontId="6" type="noConversion"/>
  </si>
  <si>
    <t>비율
(%)</t>
    <phoneticPr fontId="18" type="noConversion"/>
  </si>
  <si>
    <t>구  분</t>
    <phoneticPr fontId="7" type="noConversion"/>
  </si>
  <si>
    <t>주 1)</t>
    <phoneticPr fontId="7" type="noConversion"/>
  </si>
  <si>
    <t>휴일근로수당</t>
  </si>
  <si>
    <t>비  고</t>
    <phoneticPr fontId="7" type="noConversion"/>
  </si>
  <si>
    <t>보험료산출표</t>
    <phoneticPr fontId="15" type="noConversion"/>
  </si>
  <si>
    <t>경
비</t>
    <phoneticPr fontId="6" type="noConversion"/>
  </si>
  <si>
    <t>제
수
당</t>
    <phoneticPr fontId="7" type="noConversion"/>
  </si>
  <si>
    <t>휴일근로수당</t>
    <phoneticPr fontId="5" type="noConversion"/>
  </si>
  <si>
    <t>주 3)</t>
    <phoneticPr fontId="5" type="noConversion"/>
  </si>
  <si>
    <t xml:space="preserve"> 구      분</t>
    <phoneticPr fontId="7" type="noConversion"/>
  </si>
  <si>
    <t xml:space="preserve"> 비      목</t>
    <phoneticPr fontId="7" type="noConversion"/>
  </si>
  <si>
    <t>기    본    급</t>
    <phoneticPr fontId="6" type="noConversion"/>
  </si>
  <si>
    <t>상       여       금</t>
    <phoneticPr fontId="7" type="noConversion"/>
  </si>
  <si>
    <t>퇴 직 급 여 충 당 금</t>
    <phoneticPr fontId="7" type="noConversion"/>
  </si>
  <si>
    <t>계</t>
    <phoneticPr fontId="7" type="noConversion"/>
  </si>
  <si>
    <t>국민연금</t>
    <phoneticPr fontId="7" type="noConversion"/>
  </si>
  <si>
    <t>고용보험료</t>
    <phoneticPr fontId="7" type="noConversion"/>
  </si>
  <si>
    <t>국민건강보험료</t>
    <phoneticPr fontId="7" type="noConversion"/>
  </si>
  <si>
    <t>임금채권보장보험료</t>
    <phoneticPr fontId="7" type="noConversion"/>
  </si>
  <si>
    <t>식대</t>
    <phoneticPr fontId="7" type="noConversion"/>
  </si>
  <si>
    <t xml:space="preserve">   자동차 및 모터사이클 수리업</t>
  </si>
  <si>
    <t xml:space="preserve">   전문기술서비스업</t>
  </si>
  <si>
    <t>휴일근로수당</t>
    <phoneticPr fontId="5" type="noConversion"/>
  </si>
  <si>
    <t xml:space="preserve">   2) 일반관리비율 = (동기간의 일반관리비 ÷ 매출원가) × 100</t>
    <phoneticPr fontId="7" type="noConversion"/>
  </si>
  <si>
    <t>2. 일반관리비 적용비율</t>
    <phoneticPr fontId="7" type="noConversion"/>
  </si>
  <si>
    <t>경
비</t>
    <phoneticPr fontId="6" type="noConversion"/>
  </si>
  <si>
    <t>M/D당
임율</t>
    <phoneticPr fontId="6" type="noConversion"/>
  </si>
  <si>
    <t>월근무
일수</t>
    <phoneticPr fontId="6" type="noConversion"/>
  </si>
  <si>
    <t>자격기준</t>
    <phoneticPr fontId="5" type="noConversion"/>
  </si>
  <si>
    <t>소요
인원</t>
    <phoneticPr fontId="16" type="noConversion"/>
  </si>
  <si>
    <t>노인장기요양보험료</t>
    <phoneticPr fontId="5" type="noConversion"/>
  </si>
  <si>
    <t>사     업     소     세</t>
    <phoneticPr fontId="5" type="noConversion"/>
  </si>
  <si>
    <t>적용직종명</t>
    <phoneticPr fontId="7" type="noConversion"/>
  </si>
  <si>
    <t>금  액</t>
    <phoneticPr fontId="7" type="noConversion"/>
  </si>
  <si>
    <t>사업소세산출표</t>
    <phoneticPr fontId="21" type="noConversion"/>
  </si>
  <si>
    <t>주 1)</t>
    <phoneticPr fontId="5" type="noConversion"/>
  </si>
  <si>
    <t>주 3)</t>
    <phoneticPr fontId="7" type="noConversion"/>
  </si>
  <si>
    <t>적용대상액
(급여액)</t>
    <phoneticPr fontId="7" type="noConversion"/>
  </si>
  <si>
    <t>비    고</t>
    <phoneticPr fontId="7" type="noConversion"/>
  </si>
  <si>
    <t>주 2)</t>
    <phoneticPr fontId="7" type="noConversion"/>
  </si>
  <si>
    <t>비  고</t>
    <phoneticPr fontId="5" type="noConversion"/>
  </si>
  <si>
    <t>구      분</t>
    <phoneticPr fontId="5" type="noConversion"/>
  </si>
  <si>
    <t>적용직종명</t>
    <phoneticPr fontId="5" type="noConversion"/>
  </si>
  <si>
    <t>식대</t>
    <phoneticPr fontId="5" type="noConversion"/>
  </si>
  <si>
    <t>주 1)</t>
    <phoneticPr fontId="5" type="noConversion"/>
  </si>
  <si>
    <t>구분</t>
    <phoneticPr fontId="7" type="noConversion"/>
  </si>
  <si>
    <t>적용직종명</t>
    <phoneticPr fontId="7" type="noConversion"/>
  </si>
  <si>
    <t>담당업무</t>
    <phoneticPr fontId="5" type="noConversion"/>
  </si>
  <si>
    <t>노인장기요양보험료</t>
    <phoneticPr fontId="5" type="noConversion"/>
  </si>
  <si>
    <t>제
수
당</t>
    <phoneticPr fontId="7" type="noConversion"/>
  </si>
  <si>
    <t>직책수당</t>
    <phoneticPr fontId="5" type="noConversion"/>
  </si>
  <si>
    <t>제
수
당</t>
    <phoneticPr fontId="6" type="noConversion"/>
  </si>
  <si>
    <t>교         육        비</t>
    <phoneticPr fontId="5" type="noConversion"/>
  </si>
  <si>
    <t>기
타</t>
    <phoneticPr fontId="7" type="noConversion"/>
  </si>
  <si>
    <t>교육비</t>
    <phoneticPr fontId="7" type="noConversion"/>
  </si>
  <si>
    <t>사업소세</t>
    <phoneticPr fontId="7" type="noConversion"/>
  </si>
  <si>
    <t>교육비산출표</t>
    <phoneticPr fontId="21" type="noConversion"/>
  </si>
  <si>
    <t>적용
개월수</t>
    <phoneticPr fontId="18" type="noConversion"/>
  </si>
  <si>
    <t>년간비용</t>
    <phoneticPr fontId="7" type="noConversion"/>
  </si>
  <si>
    <t>월간비용</t>
    <phoneticPr fontId="7" type="noConversion"/>
  </si>
  <si>
    <t>주 6)</t>
    <phoneticPr fontId="7" type="noConversion"/>
  </si>
  <si>
    <t>주 7)</t>
  </si>
  <si>
    <t xml:space="preserve">   5) 직책수당 : 적용직종별 등급을 감안</t>
    <phoneticPr fontId="5" type="noConversion"/>
  </si>
  <si>
    <t xml:space="preserve">                    월근로시간 = {(40시간(월~금)+8시간(일요일))÷7일}×(365일/12개월) = 209시간</t>
    <phoneticPr fontId="5" type="noConversion"/>
  </si>
  <si>
    <t>순용역원가 + 일반관리비 + 이윤</t>
    <phoneticPr fontId="5" type="noConversion"/>
  </si>
  <si>
    <t>비    고</t>
    <phoneticPr fontId="6" type="noConversion"/>
  </si>
  <si>
    <t>구           분</t>
    <phoneticPr fontId="15" type="noConversion"/>
  </si>
  <si>
    <t>계</t>
    <phoneticPr fontId="15" type="noConversion"/>
  </si>
  <si>
    <t xml:space="preserve">                    월근로시간 = {(40시간(월~금)+8시간(일요일))÷7일}×(365일/12개월) = 209시간</t>
    <phoneticPr fontId="5" type="noConversion"/>
  </si>
  <si>
    <t xml:space="preserve">&lt; 표 : 1 &gt; </t>
    <phoneticPr fontId="6" type="noConversion"/>
  </si>
  <si>
    <t>보     험     료</t>
    <phoneticPr fontId="5" type="noConversion"/>
  </si>
  <si>
    <t>주) 년간비용 : 적용대상자별 직무교육에 필요한 교육비용 적용</t>
    <phoneticPr fontId="7" type="noConversion"/>
  </si>
  <si>
    <t>단위 : 원/월</t>
    <phoneticPr fontId="5" type="noConversion"/>
  </si>
  <si>
    <t>제
수
당</t>
    <phoneticPr fontId="7" type="noConversion"/>
  </si>
  <si>
    <t>인건비 + 경비</t>
    <phoneticPr fontId="7" type="noConversion"/>
  </si>
  <si>
    <t>연장근로시간산출표</t>
    <phoneticPr fontId="15" type="noConversion"/>
  </si>
  <si>
    <t>월간주수</t>
    <phoneticPr fontId="7" type="noConversion"/>
  </si>
  <si>
    <t>월간연장
근로시간</t>
    <phoneticPr fontId="7" type="noConversion"/>
  </si>
  <si>
    <t>근무시간</t>
    <phoneticPr fontId="7" type="noConversion"/>
  </si>
  <si>
    <t>주당연장
근로시간</t>
    <phoneticPr fontId="7" type="noConversion"/>
  </si>
  <si>
    <t xml:space="preserve">   3) 월간연장근로시간 : 주당연장근로시간 × 월간주수</t>
    <phoneticPr fontId="7" type="noConversion"/>
  </si>
  <si>
    <t>휴일근로시간산출표</t>
    <phoneticPr fontId="15" type="noConversion"/>
  </si>
  <si>
    <t>월간휴일
근로시간</t>
    <phoneticPr fontId="7" type="noConversion"/>
  </si>
  <si>
    <t>기본</t>
    <phoneticPr fontId="5" type="noConversion"/>
  </si>
  <si>
    <t>휴일</t>
    <phoneticPr fontId="5" type="noConversion"/>
  </si>
  <si>
    <t>연장</t>
    <phoneticPr fontId="5" type="noConversion"/>
  </si>
  <si>
    <t>식비산출표</t>
    <phoneticPr fontId="5" type="noConversion"/>
  </si>
  <si>
    <t>합계</t>
    <phoneticPr fontId="6" type="noConversion"/>
  </si>
  <si>
    <t>합계</t>
    <phoneticPr fontId="6" type="noConversion"/>
  </si>
  <si>
    <t>부가가치세(10%)</t>
    <phoneticPr fontId="5" type="noConversion"/>
  </si>
  <si>
    <t>총계</t>
    <phoneticPr fontId="5" type="noConversion"/>
  </si>
  <si>
    <t>부가가치세(10%)</t>
    <phoneticPr fontId="6" type="noConversion"/>
  </si>
  <si>
    <t>총계</t>
    <phoneticPr fontId="6" type="noConversion"/>
  </si>
  <si>
    <t>합계 × 10%</t>
    <phoneticPr fontId="5" type="noConversion"/>
  </si>
  <si>
    <t>합계 + 부가가치세</t>
    <phoneticPr fontId="5" type="noConversion"/>
  </si>
  <si>
    <t>식  대</t>
    <phoneticPr fontId="5" type="noConversion"/>
  </si>
  <si>
    <t>복리
후생비</t>
    <phoneticPr fontId="7" type="noConversion"/>
  </si>
  <si>
    <t>복리
후생비</t>
    <phoneticPr fontId="7" type="noConversion"/>
  </si>
  <si>
    <t>용역원가계산서</t>
    <phoneticPr fontId="6" type="noConversion"/>
  </si>
  <si>
    <t xml:space="preserve">&lt; 표 : 2 &gt; </t>
    <phoneticPr fontId="6" type="noConversion"/>
  </si>
  <si>
    <t xml:space="preserve">&lt; 표 : 3 &gt; </t>
    <phoneticPr fontId="6" type="noConversion"/>
  </si>
  <si>
    <t xml:space="preserve">&lt; 표 : 7 &gt; </t>
    <phoneticPr fontId="7" type="noConversion"/>
  </si>
  <si>
    <t xml:space="preserve">&lt; 표 : 22 &gt; </t>
    <phoneticPr fontId="7" type="noConversion"/>
  </si>
  <si>
    <t>기업경영분석자료</t>
    <phoneticPr fontId="14" type="noConversion"/>
  </si>
  <si>
    <t>* 손익산출서</t>
    <phoneticPr fontId="17" type="noConversion"/>
  </si>
  <si>
    <t>(단위 : 백만원)</t>
    <phoneticPr fontId="17" type="noConversion"/>
  </si>
  <si>
    <t>내역</t>
  </si>
  <si>
    <t>구성비(%)</t>
  </si>
  <si>
    <t>매출액</t>
    <phoneticPr fontId="5" type="noConversion"/>
  </si>
  <si>
    <t>매출원가</t>
    <phoneticPr fontId="5" type="noConversion"/>
  </si>
  <si>
    <t>매출총손익</t>
  </si>
  <si>
    <t>판매비와관리비</t>
    <phoneticPr fontId="5" type="noConversion"/>
  </si>
  <si>
    <t>급여</t>
    <phoneticPr fontId="7" type="noConversion"/>
  </si>
  <si>
    <t>퇴직급여</t>
    <phoneticPr fontId="7" type="noConversion"/>
  </si>
  <si>
    <t>복리후생비</t>
    <phoneticPr fontId="5" type="noConversion"/>
  </si>
  <si>
    <t>수도광열비</t>
    <phoneticPr fontId="5" type="noConversion"/>
  </si>
  <si>
    <t>세금과공과</t>
    <phoneticPr fontId="5" type="noConversion"/>
  </si>
  <si>
    <t>임차료</t>
    <phoneticPr fontId="7" type="noConversion"/>
  </si>
  <si>
    <t>감가상각비</t>
    <phoneticPr fontId="5" type="noConversion"/>
  </si>
  <si>
    <t>접대비</t>
    <phoneticPr fontId="7" type="noConversion"/>
  </si>
  <si>
    <t>불 인 금 액</t>
    <phoneticPr fontId="5" type="noConversion"/>
  </si>
  <si>
    <t>광고선전비</t>
    <phoneticPr fontId="5" type="noConversion"/>
  </si>
  <si>
    <t>경상개발비.연구비</t>
    <phoneticPr fontId="5" type="noConversion"/>
  </si>
  <si>
    <t>보험료</t>
    <phoneticPr fontId="5" type="noConversion"/>
  </si>
  <si>
    <t>운반.하역.보관.포장비</t>
    <phoneticPr fontId="5" type="noConversion"/>
  </si>
  <si>
    <t>대손상각비</t>
    <phoneticPr fontId="7" type="noConversion"/>
  </si>
  <si>
    <t>"</t>
    <phoneticPr fontId="8" type="noConversion"/>
  </si>
  <si>
    <t>무형자산상각비</t>
    <phoneticPr fontId="8" type="noConversion"/>
  </si>
  <si>
    <t>(개발비상각)</t>
    <phoneticPr fontId="8" type="noConversion"/>
  </si>
  <si>
    <t>지급수수료</t>
    <phoneticPr fontId="8" type="noConversion"/>
  </si>
  <si>
    <t>기타판매비와관리비</t>
    <phoneticPr fontId="7" type="noConversion"/>
  </si>
  <si>
    <t>영업손익</t>
    <phoneticPr fontId="14" type="noConversion"/>
  </si>
  <si>
    <t>영업외수익</t>
    <phoneticPr fontId="5" type="noConversion"/>
  </si>
  <si>
    <t>이자수익</t>
    <phoneticPr fontId="14" type="noConversion"/>
  </si>
  <si>
    <t>배당금수익</t>
    <phoneticPr fontId="14" type="noConversion"/>
  </si>
  <si>
    <t>외환차익</t>
    <phoneticPr fontId="5" type="noConversion"/>
  </si>
  <si>
    <t>외화환산이익</t>
    <phoneticPr fontId="7" type="noConversion"/>
  </si>
  <si>
    <t>파생금융상품거래이익</t>
    <phoneticPr fontId="7" type="noConversion"/>
  </si>
  <si>
    <t>파생금융상품평가이익</t>
    <phoneticPr fontId="7" type="noConversion"/>
  </si>
  <si>
    <t>투자·유형자산처분이익</t>
    <phoneticPr fontId="8" type="noConversion"/>
  </si>
  <si>
    <t>지분법평가이익</t>
    <phoneticPr fontId="5" type="noConversion"/>
  </si>
  <si>
    <t>기타영업외수익</t>
    <phoneticPr fontId="5" type="noConversion"/>
  </si>
  <si>
    <t>영업외비용</t>
    <phoneticPr fontId="5" type="noConversion"/>
  </si>
  <si>
    <t>이자비용</t>
    <phoneticPr fontId="14" type="noConversion"/>
  </si>
  <si>
    <t>외환차손</t>
    <phoneticPr fontId="14" type="noConversion"/>
  </si>
  <si>
    <t>외화환산손실</t>
    <phoneticPr fontId="14" type="noConversion"/>
  </si>
  <si>
    <t>파생금융상품거래손실</t>
    <phoneticPr fontId="8" type="noConversion"/>
  </si>
  <si>
    <t>파생금융상품평가손실</t>
    <phoneticPr fontId="7" type="noConversion"/>
  </si>
  <si>
    <t>투자·유형자산처분손실</t>
    <phoneticPr fontId="8" type="noConversion"/>
  </si>
  <si>
    <t>지분법평가손실</t>
    <phoneticPr fontId="5" type="noConversion"/>
  </si>
  <si>
    <t>자산재평가손실</t>
    <phoneticPr fontId="5" type="noConversion"/>
  </si>
  <si>
    <t>기타영업외비용</t>
    <phoneticPr fontId="5" type="noConversion"/>
  </si>
  <si>
    <t>법인세차감전순손익</t>
  </si>
  <si>
    <t>법인세비용</t>
    <phoneticPr fontId="7" type="noConversion"/>
  </si>
  <si>
    <t>계속사업이익</t>
    <phoneticPr fontId="7" type="noConversion"/>
  </si>
  <si>
    <t>중단사업손익</t>
    <phoneticPr fontId="7" type="noConversion"/>
  </si>
  <si>
    <t>당기순손익</t>
    <phoneticPr fontId="7" type="noConversion"/>
  </si>
  <si>
    <t xml:space="preserve">    CODE NO. N.『사업시설관리 및 사업지원 서비스업』</t>
    <phoneticPr fontId="7" type="noConversion"/>
  </si>
  <si>
    <t xml:space="preserve">&lt; 표 : 18 &gt; </t>
    <phoneticPr fontId="7" type="noConversion"/>
  </si>
  <si>
    <t>산출근거 --------------------------------------------------------</t>
    <phoneticPr fontId="6" type="noConversion"/>
  </si>
  <si>
    <t>일근로시간</t>
    <phoneticPr fontId="7" type="noConversion"/>
  </si>
  <si>
    <t>주 1) 일근로시간 : 일 기본근로시간 8시간 적용</t>
    <phoneticPr fontId="7" type="noConversion"/>
  </si>
  <si>
    <t>(일)</t>
    <phoneticPr fontId="7" type="noConversion"/>
  </si>
  <si>
    <t>(M/M)</t>
    <phoneticPr fontId="7" type="noConversion"/>
  </si>
  <si>
    <t>(M/D)</t>
    <phoneticPr fontId="7" type="noConversion"/>
  </si>
  <si>
    <t>(HR)</t>
    <phoneticPr fontId="7" type="noConversion"/>
  </si>
  <si>
    <t>(회)</t>
    <phoneticPr fontId="7" type="noConversion"/>
  </si>
  <si>
    <t>단위 : 원</t>
    <phoneticPr fontId="7" type="noConversion"/>
  </si>
  <si>
    <t>(주)</t>
    <phoneticPr fontId="7" type="noConversion"/>
  </si>
  <si>
    <t xml:space="preserve">   2) 월간주수 : 365일/년 ÷ 7일/주 ÷ 12개월 = 4.34주</t>
    <phoneticPr fontId="7" type="noConversion"/>
  </si>
  <si>
    <t>통계청승인기관 발표</t>
    <phoneticPr fontId="5" type="noConversion"/>
  </si>
  <si>
    <t>시중유통거래가격</t>
    <phoneticPr fontId="5" type="noConversion"/>
  </si>
  <si>
    <t>안내</t>
    <phoneticPr fontId="5" type="noConversion"/>
  </si>
  <si>
    <t>단위(1인)당
월간용역비</t>
    <phoneticPr fontId="7" type="noConversion"/>
  </si>
  <si>
    <t>투입
인원</t>
    <phoneticPr fontId="7" type="noConversion"/>
  </si>
  <si>
    <t xml:space="preserve">   * 부가가치세 포함임</t>
    <phoneticPr fontId="5" type="noConversion"/>
  </si>
  <si>
    <t xml:space="preserve">   3) 월간용역비 : 소요인원 × 단위(1인)당월간용역비</t>
    <phoneticPr fontId="5" type="noConversion"/>
  </si>
  <si>
    <t>경력 1년 이상자</t>
    <phoneticPr fontId="5" type="noConversion"/>
  </si>
  <si>
    <t>주) 소요인원 : 제시된 과업지시서 참조</t>
    <phoneticPr fontId="16" type="noConversion"/>
  </si>
  <si>
    <t>경비산정기준표</t>
    <phoneticPr fontId="16" type="noConversion"/>
  </si>
  <si>
    <t>비       목</t>
    <phoneticPr fontId="7" type="noConversion"/>
  </si>
  <si>
    <t>관  련  법  규</t>
    <phoneticPr fontId="7" type="noConversion"/>
  </si>
  <si>
    <t>산         정         기         준</t>
    <phoneticPr fontId="7" type="noConversion"/>
  </si>
  <si>
    <t>적  용  방  법</t>
    <phoneticPr fontId="7" type="noConversion"/>
  </si>
  <si>
    <t>비 고</t>
    <phoneticPr fontId="7" type="noConversion"/>
  </si>
  <si>
    <t>보
험
료</t>
    <phoneticPr fontId="7" type="noConversion"/>
  </si>
  <si>
    <t>고용보험및산업재해보상보험의보험료징수 등에관한법률 제14조 3항,4항</t>
  </si>
  <si>
    <t xml:space="preserve">사업장가입자의 연금보험료중 기여금은 사업장가입자 본인이, 부담금은 사용자가 부담하되, 그 금액은 각각 표준소득월액의 1천분의 45에 해당하는 액으로 한다. </t>
  </si>
  <si>
    <t>(기본급+제수당+상여금)×4.5%</t>
  </si>
  <si>
    <t>노인장기요양보험료</t>
  </si>
  <si>
    <t xml:space="preserve">(보헙료의 납부의무) 직장가입자의 보험료는 사용자가 납부한다.
 노인장기요양보험법에 의한 보험요율은 국민건강보험료의 6.55% </t>
  </si>
  <si>
    <t>산출건강보험료 × 6.55%</t>
  </si>
  <si>
    <t>(기본급+제수당+상여금)×0.08%</t>
  </si>
  <si>
    <t>산업재해보상보험요율</t>
    <phoneticPr fontId="21" type="noConversion"/>
  </si>
  <si>
    <t>(단위 : 1000분율)</t>
    <phoneticPr fontId="7" type="noConversion"/>
  </si>
  <si>
    <t>사   업   종   류</t>
    <phoneticPr fontId="7" type="noConversion"/>
  </si>
  <si>
    <t>보험요율</t>
    <phoneticPr fontId="7" type="noConversion"/>
  </si>
  <si>
    <t>1. 광업</t>
  </si>
  <si>
    <t xml:space="preserve">   채 석 업</t>
  </si>
  <si>
    <t xml:space="preserve">   기타 광업</t>
  </si>
  <si>
    <t>4. 건 설 업</t>
  </si>
  <si>
    <t xml:space="preserve">   수상운수업, 항만하역 및 화물</t>
  </si>
  <si>
    <t xml:space="preserve">   펄프․지류제조업 및 제본 또는 </t>
  </si>
  <si>
    <t xml:space="preserve">   취급사업</t>
  </si>
  <si>
    <t xml:space="preserve">   인쇄물 가공업</t>
  </si>
  <si>
    <t xml:space="preserve">   신문·화폐발행, 출판업 및 경인쇄업</t>
  </si>
  <si>
    <t xml:space="preserve">   인 쇄 업</t>
  </si>
  <si>
    <t xml:space="preserve">   창 고 업</t>
  </si>
  <si>
    <t xml:space="preserve">   통 신 업</t>
  </si>
  <si>
    <t>6. 임 업</t>
  </si>
  <si>
    <t>7. 어 업</t>
  </si>
  <si>
    <t xml:space="preserve">   연탄 및 응집고체 연료생산업</t>
  </si>
  <si>
    <t xml:space="preserve">   양식어업및어업관련서비스업</t>
  </si>
  <si>
    <t>8. 농 업</t>
  </si>
  <si>
    <t xml:space="preserve">   비금속광물제품 및 금속제품
   제조업 또는 금속가공업</t>
    <phoneticPr fontId="7" type="noConversion"/>
  </si>
  <si>
    <t xml:space="preserve">   도 금 업</t>
  </si>
  <si>
    <t xml:space="preserve">   도소매 및 소비자용품수리업</t>
  </si>
  <si>
    <t xml:space="preserve">   부동산업 및 임대업</t>
  </si>
  <si>
    <t>10. 금융 보험업</t>
  </si>
  <si>
    <t xml:space="preserve">   * 해외파견자 : 17/1000</t>
  </si>
  <si>
    <t xml:space="preserve">   3) 노인장기요양보험료 : 국민건강보험료 × 6.55%</t>
    <phoneticPr fontId="5" type="noConversion"/>
  </si>
  <si>
    <t>주) 2011년 한국은행발간 기업경영분석자료 참조</t>
    <phoneticPr fontId="7" type="noConversion"/>
  </si>
  <si>
    <t xml:space="preserve">&lt; 표 : 20 &gt; </t>
    <phoneticPr fontId="7" type="noConversion"/>
  </si>
  <si>
    <t xml:space="preserve">&lt; 표 : 21 &gt; </t>
    <phoneticPr fontId="7" type="noConversion"/>
  </si>
  <si>
    <t>주 1) 주당연장근로시간 : 근로기준법 제 56조에 의거 적용</t>
    <phoneticPr fontId="7" type="noConversion"/>
  </si>
  <si>
    <t>전문용역업체 실적기준</t>
    <phoneticPr fontId="7" type="noConversion"/>
  </si>
  <si>
    <t xml:space="preserve">&lt; 표 : 19 &gt; </t>
    <phoneticPr fontId="7" type="noConversion"/>
  </si>
  <si>
    <t>Ⅰ. 예정원가조사보고서</t>
    <phoneticPr fontId="7" type="noConversion"/>
  </si>
  <si>
    <t>Ⅱ. 원가조사의 개요</t>
    <phoneticPr fontId="7" type="noConversion"/>
  </si>
  <si>
    <t>Ⅲ. 원가비목별계산기준</t>
    <phoneticPr fontId="7" type="noConversion"/>
  </si>
  <si>
    <t>&lt; 표 : 2 &gt;</t>
  </si>
  <si>
    <t>&lt; 표 : 3 &gt;</t>
  </si>
  <si>
    <t>&lt; 표 : 4 &gt;</t>
  </si>
  <si>
    <t>&lt; 표 : 5 &gt;</t>
  </si>
  <si>
    <t>&lt; 표 : 6 &gt;</t>
  </si>
  <si>
    <t>&lt; 표 : 7 &gt;</t>
  </si>
  <si>
    <t>&lt; 표 : 8 &gt;</t>
  </si>
  <si>
    <t>&lt; 표 : 9 &gt;</t>
  </si>
  <si>
    <t>&lt; 표 : 10 &gt;</t>
  </si>
  <si>
    <t>&lt; 표 : 11 &gt;</t>
  </si>
  <si>
    <t>&lt; 표 : 12 &gt;</t>
  </si>
  <si>
    <t>&lt; 표 : 13 &gt;</t>
  </si>
  <si>
    <t>&lt; 표 : 14 &gt;</t>
  </si>
  <si>
    <t>&lt; 표 : 15 &gt;</t>
  </si>
  <si>
    <t>&lt; 표 : 16 &gt;</t>
  </si>
  <si>
    <t>&lt; 표 : 17 &gt;</t>
  </si>
  <si>
    <t>&lt; 표 : 18 &gt;</t>
  </si>
  <si>
    <t>&lt; 표 : 19 &gt;</t>
  </si>
  <si>
    <t>&lt; 표 : 20 &gt;</t>
  </si>
  <si>
    <t>Ⅴ. 산출근거</t>
    <phoneticPr fontId="7" type="noConversion"/>
  </si>
  <si>
    <t>&lt; 표 : 22 &gt;</t>
  </si>
  <si>
    <t>&lt; 표 : 24 &gt;</t>
  </si>
  <si>
    <t>피복비</t>
    <phoneticPr fontId="5" type="noConversion"/>
  </si>
  <si>
    <t>피복비산출표</t>
    <phoneticPr fontId="5" type="noConversion"/>
  </si>
  <si>
    <t>인원</t>
    <phoneticPr fontId="5" type="noConversion"/>
  </si>
  <si>
    <t>피복비</t>
    <phoneticPr fontId="7" type="noConversion"/>
  </si>
  <si>
    <t>체력단련비</t>
    <phoneticPr fontId="5" type="noConversion"/>
  </si>
  <si>
    <t>체력단련비산출표</t>
    <phoneticPr fontId="5" type="noConversion"/>
  </si>
  <si>
    <t>체력단련비</t>
    <phoneticPr fontId="7" type="noConversion"/>
  </si>
  <si>
    <t>2.</t>
  </si>
  <si>
    <t>3.</t>
  </si>
  <si>
    <t>4.</t>
  </si>
  <si>
    <t>5.</t>
  </si>
  <si>
    <t>6.</t>
  </si>
  <si>
    <t>Ⅳ. 용역원가집계표</t>
    <phoneticPr fontId="7" type="noConversion"/>
  </si>
  <si>
    <t>Ⅳ. 용역원가집계표</t>
    <phoneticPr fontId="6" type="noConversion"/>
  </si>
  <si>
    <t>1.</t>
    <phoneticPr fontId="7" type="noConversion"/>
  </si>
  <si>
    <t>용역원가계산서</t>
    <phoneticPr fontId="7" type="noConversion"/>
  </si>
  <si>
    <t>직종별용역원가계산서</t>
  </si>
  <si>
    <t>인건비</t>
    <phoneticPr fontId="7" type="noConversion"/>
  </si>
  <si>
    <t>경비</t>
    <phoneticPr fontId="7" type="noConversion"/>
  </si>
  <si>
    <t>일반관리비</t>
    <phoneticPr fontId="7" type="noConversion"/>
  </si>
  <si>
    <t>이윤</t>
    <phoneticPr fontId="7" type="noConversion"/>
  </si>
  <si>
    <t>기업경영분석자료</t>
    <phoneticPr fontId="7" type="noConversion"/>
  </si>
  <si>
    <t xml:space="preserve">&lt; 표 : 4 &gt; </t>
    <phoneticPr fontId="13" type="noConversion"/>
  </si>
  <si>
    <t xml:space="preserve">&lt; 표 : 5 &gt; </t>
    <phoneticPr fontId="6" type="noConversion"/>
  </si>
  <si>
    <t xml:space="preserve">&lt; 표 : 6 &gt; </t>
    <phoneticPr fontId="7" type="noConversion"/>
  </si>
  <si>
    <t xml:space="preserve">&lt; 표 : 8 &gt; </t>
    <phoneticPr fontId="16" type="noConversion"/>
  </si>
  <si>
    <t xml:space="preserve">&lt; 표 : 10 &gt; </t>
    <phoneticPr fontId="16" type="noConversion"/>
  </si>
  <si>
    <t xml:space="preserve">&lt; 표 : 11 &gt; </t>
    <phoneticPr fontId="8" type="noConversion"/>
  </si>
  <si>
    <t xml:space="preserve">&lt; 표 : 12 &gt; </t>
    <phoneticPr fontId="13" type="noConversion"/>
  </si>
  <si>
    <t xml:space="preserve">&lt; 표 : 13 &gt; </t>
    <phoneticPr fontId="16" type="noConversion"/>
  </si>
  <si>
    <t xml:space="preserve">&lt; 표 : 14 &gt; </t>
    <phoneticPr fontId="19" type="noConversion"/>
  </si>
  <si>
    <t xml:space="preserve">&lt; 표 : 15 &gt; </t>
    <phoneticPr fontId="8" type="noConversion"/>
  </si>
  <si>
    <t xml:space="preserve">&lt; 표 : 16 &gt; </t>
    <phoneticPr fontId="7" type="noConversion"/>
  </si>
  <si>
    <t xml:space="preserve">&lt; 표 : 17 &gt; </t>
    <phoneticPr fontId="7" type="noConversion"/>
  </si>
  <si>
    <t xml:space="preserve">&lt; 표 : 23 &gt; </t>
    <phoneticPr fontId="7" type="noConversion"/>
  </si>
  <si>
    <t xml:space="preserve">&lt; 표 : 24 &gt; </t>
    <phoneticPr fontId="7" type="noConversion"/>
  </si>
  <si>
    <t xml:space="preserve">&lt; 표 : 25 &gt; </t>
    <phoneticPr fontId="17" type="noConversion"/>
  </si>
  <si>
    <t>1. 용역원가계산서</t>
    <phoneticPr fontId="7" type="noConversion"/>
  </si>
  <si>
    <t>&lt; 표 : 1 &gt;</t>
    <phoneticPr fontId="5" type="noConversion"/>
  </si>
  <si>
    <t>2. 인건비</t>
    <phoneticPr fontId="7" type="noConversion"/>
  </si>
  <si>
    <t>3. 경비</t>
    <phoneticPr fontId="7" type="noConversion"/>
  </si>
  <si>
    <t>4. 일반관리비</t>
    <phoneticPr fontId="7" type="noConversion"/>
  </si>
  <si>
    <t>&lt; 표 : 21 &gt;</t>
    <phoneticPr fontId="5" type="noConversion"/>
  </si>
  <si>
    <t>5. 이윤</t>
    <phoneticPr fontId="7" type="noConversion"/>
  </si>
  <si>
    <t>&lt; 표 : 23 &gt;</t>
    <phoneticPr fontId="5" type="noConversion"/>
  </si>
  <si>
    <t>6. 기업경영분석자료</t>
    <phoneticPr fontId="7" type="noConversion"/>
  </si>
  <si>
    <t>&lt; 표 : 25 &gt;</t>
    <phoneticPr fontId="5" type="noConversion"/>
  </si>
  <si>
    <t>1. 용역원가계산서 --------------------------------------------------------</t>
    <phoneticPr fontId="6" type="noConversion"/>
  </si>
  <si>
    <t>Ⅴ.</t>
    <phoneticPr fontId="6" type="noConversion"/>
  </si>
  <si>
    <t>2. 인건비 --------------------------------------------------------</t>
    <phoneticPr fontId="7" type="noConversion"/>
  </si>
  <si>
    <t>3. 경비 --------------------------------------------------------</t>
    <phoneticPr fontId="7" type="noConversion"/>
  </si>
  <si>
    <t>4. 일반관리비 --------------------------------------------------------</t>
    <phoneticPr fontId="7" type="noConversion"/>
  </si>
  <si>
    <t>5. 이윤 --------------------------------------------------------</t>
    <phoneticPr fontId="7" type="noConversion"/>
  </si>
  <si>
    <t>6. 기업경영분석자료 --------------------------------------------------------</t>
    <phoneticPr fontId="7" type="noConversion"/>
  </si>
  <si>
    <t>용역원가집계표 ----------------------------------------------------</t>
    <phoneticPr fontId="6" type="noConversion"/>
  </si>
  <si>
    <t>행정안전부예규
기준비율(%)</t>
    <phoneticPr fontId="7" type="noConversion"/>
  </si>
  <si>
    <t>주) 지방자치단체 원가계산 및 예정가격 작성요령(행정안전부예규 제404호, 2012.3.22)</t>
    <phoneticPr fontId="7" type="noConversion"/>
  </si>
  <si>
    <t>행정안전부
예규기준</t>
  </si>
  <si>
    <t xml:space="preserve">   2) 비율(%) : 지방세법 제100조 종업원할(급여총액의 1,000분의 5)</t>
    <phoneticPr fontId="7" type="noConversion"/>
  </si>
  <si>
    <t xml:space="preserve">   계량기·광학기계·기타정밀 기구제조업</t>
    <phoneticPr fontId="5" type="noConversion"/>
  </si>
  <si>
    <t xml:space="preserve">   여객자동차운수업</t>
    <phoneticPr fontId="5" type="noConversion"/>
  </si>
  <si>
    <t xml:space="preserve">   소형화물운수업 및 택배업·퀵서비스업</t>
    <phoneticPr fontId="5" type="noConversion"/>
  </si>
  <si>
    <t xml:space="preserve">   도자기 및 기타 요업제품 제조업</t>
    <phoneticPr fontId="5" type="noConversion"/>
  </si>
  <si>
    <t xml:space="preserve">   수송용기계기구제조업</t>
    <phoneticPr fontId="5" type="noConversion"/>
  </si>
  <si>
    <t>1. 행정안전부예규기준 및 기업경영분석자료 비교</t>
    <phoneticPr fontId="5" type="noConversion"/>
  </si>
  <si>
    <t>유경험자</t>
  </si>
  <si>
    <t>단위 : 원/월</t>
    <phoneticPr fontId="7" type="noConversion"/>
  </si>
  <si>
    <t>월근로시간</t>
    <phoneticPr fontId="7" type="noConversion"/>
  </si>
  <si>
    <t>구          분</t>
    <phoneticPr fontId="15" type="noConversion"/>
  </si>
  <si>
    <t>금     액</t>
    <phoneticPr fontId="6" type="noConversion"/>
  </si>
  <si>
    <t>관  련  법  규</t>
    <phoneticPr fontId="7" type="noConversion"/>
  </si>
  <si>
    <t>비   고</t>
    <phoneticPr fontId="7" type="noConversion"/>
  </si>
  <si>
    <t>기       본       급</t>
    <phoneticPr fontId="6" type="noConversion"/>
  </si>
  <si>
    <t>통계청승인기관 발표</t>
    <phoneticPr fontId="5" type="noConversion"/>
  </si>
  <si>
    <t>제
수
당</t>
    <phoneticPr fontId="6" type="noConversion"/>
  </si>
  <si>
    <t>연장근로수당</t>
    <phoneticPr fontId="5" type="noConversion"/>
  </si>
  <si>
    <t>근로기준법 제56조</t>
    <phoneticPr fontId="7" type="noConversion"/>
  </si>
  <si>
    <t>휴일근로수당</t>
    <phoneticPr fontId="5" type="noConversion"/>
  </si>
  <si>
    <t>년차수당</t>
    <phoneticPr fontId="7" type="noConversion"/>
  </si>
  <si>
    <t>근로기준법 제60조</t>
    <phoneticPr fontId="7" type="noConversion"/>
  </si>
  <si>
    <t>직책수당</t>
    <phoneticPr fontId="5" type="noConversion"/>
  </si>
  <si>
    <t>시중유통거래가격</t>
    <phoneticPr fontId="5" type="noConversion"/>
  </si>
  <si>
    <t>소계</t>
    <phoneticPr fontId="7" type="noConversion"/>
  </si>
  <si>
    <t>상       여       금</t>
    <phoneticPr fontId="6" type="noConversion"/>
  </si>
  <si>
    <t>전문용역업체 실적기준</t>
    <phoneticPr fontId="7" type="noConversion"/>
  </si>
  <si>
    <t>주 6)</t>
    <phoneticPr fontId="7" type="noConversion"/>
  </si>
  <si>
    <t>퇴 직 급 여 충 당 금</t>
    <phoneticPr fontId="6" type="noConversion"/>
  </si>
  <si>
    <t>근로기준법 제34조</t>
    <phoneticPr fontId="7" type="noConversion"/>
  </si>
  <si>
    <t>계</t>
    <phoneticPr fontId="15" type="noConversion"/>
  </si>
  <si>
    <t xml:space="preserve">                    월근로시간 = {(40시간(월~금)+8시간(일요일))÷7일}×(365일/12개월) = 209시간</t>
    <phoneticPr fontId="5" type="noConversion"/>
  </si>
  <si>
    <t xml:space="preserve">   5) 직책수당 : 적용직종별 등급을 감안</t>
    <phoneticPr fontId="5" type="noConversion"/>
  </si>
  <si>
    <t>인건비 + 경비</t>
    <phoneticPr fontId="7" type="noConversion"/>
  </si>
  <si>
    <t>단위 : 원</t>
  </si>
  <si>
    <t>월간
휴일근무횟수</t>
    <phoneticPr fontId="7" type="noConversion"/>
  </si>
  <si>
    <t xml:space="preserve">   2) 월간휴일근무횟수 : 월 1회 휴일근무 기준</t>
    <phoneticPr fontId="7" type="noConversion"/>
  </si>
  <si>
    <t xml:space="preserve">   3) 월간휴일근로시간 : 휴일근로시간 × 월간휴일근무횟수</t>
    <phoneticPr fontId="7" type="noConversion"/>
  </si>
  <si>
    <t>일반관리비(4%)</t>
    <phoneticPr fontId="6" type="noConversion"/>
  </si>
  <si>
    <t>이                 윤(6%)</t>
    <phoneticPr fontId="6" type="noConversion"/>
  </si>
  <si>
    <t>순용역원가 × 4%</t>
    <phoneticPr fontId="5" type="noConversion"/>
  </si>
  <si>
    <t>(인건비+경비+일반관리비)×6%</t>
    <phoneticPr fontId="5" type="noConversion"/>
  </si>
  <si>
    <t>고용노동부고시 제2013-56호(2014.1.1)</t>
  </si>
  <si>
    <t>국민연금법 제88조 2항, 3항</t>
  </si>
  <si>
    <t>고용보험 및 산업재해보상보험의 보험료징수등에 관한 법률 제14조 1항, 시행령 제12조</t>
  </si>
  <si>
    <t xml:space="preserve"> 시행령 제12조 법제14조1항의 규정에 의한 고용보험료율은 다음 각호와 같다.
 1. 고용안정. 직업능력개발사업의 보험료율은 다음 각 목의 구분에 따른 보험료율
   가. 상시근로자수가 150인 미만의 사업주의 사업 : 1만분의 25
   나. 상시근로자수가 150인 이상의 사업주의 사업으로서 "고용보험법시행령" 제12조에
       따른 우선지원 대상기업의 범위에 해당하는 사업 : 1만분의 45
   다. 상시근로자수가 150인 이상 1천인 미만인 사업주의 사업으로서 
       나목에 해당하지 아니하는 사업 : 1만분의 65
   라. 상시근로자수가 1천인 이상인 사업주의 사업으로서 나목에 해당하지 아니하는 
       사업 및 국가ㆍ지방자치단체가 직접 행하는 사업 : 1만분의 85
 2. 실업급여의 보험율 : 1천분의 13(사업주 부담 0.65%)
 * 산출식 : 0.25%(고용안정.직업능력개발사업요율)+0.65%(실업급여의 보험율)</t>
  </si>
  <si>
    <t>국민건강보험법 제73조, 시행령 제44조</t>
  </si>
  <si>
    <t>노인장기요양보험법 제9조 1항, 시행령 제4조</t>
  </si>
  <si>
    <t>임금채권보장법 제9조 2항 시행령 제13조</t>
  </si>
  <si>
    <t>고용노동부고시 제2013-67호(2013.12.26)의 규정에 의하여 임금채권보장기금 사업주부담금비율은 0.8/1000(전업종공통)</t>
  </si>
  <si>
    <t>(기본급+제수당+상여금)×0.9%</t>
    <phoneticPr fontId="5" type="noConversion"/>
  </si>
  <si>
    <r>
      <t>1</t>
    </r>
    <r>
      <rPr>
        <sz val="10"/>
        <rFont val="바탕체"/>
        <family val="1"/>
        <charset val="129"/>
      </rPr>
      <t>.</t>
    </r>
    <phoneticPr fontId="5" type="noConversion"/>
  </si>
  <si>
    <r>
      <t>2</t>
    </r>
    <r>
      <rPr>
        <sz val="10"/>
        <rFont val="바탕체"/>
        <family val="1"/>
        <charset val="129"/>
      </rPr>
      <t>.</t>
    </r>
    <phoneticPr fontId="5" type="noConversion"/>
  </si>
  <si>
    <t>다산홀</t>
    <phoneticPr fontId="5" type="noConversion"/>
  </si>
  <si>
    <t>다산홀운영</t>
    <phoneticPr fontId="5" type="noConversion"/>
  </si>
  <si>
    <t>운전사무</t>
    <phoneticPr fontId="5" type="noConversion"/>
  </si>
  <si>
    <t>운전원</t>
    <phoneticPr fontId="5" type="noConversion"/>
  </si>
  <si>
    <r>
      <t>＊다산홀 대관</t>
    </r>
    <r>
      <rPr>
        <sz val="10"/>
        <rFont val="바탕체"/>
        <family val="1"/>
        <charset val="129"/>
      </rPr>
      <t xml:space="preserve"> 등의 운영업무</t>
    </r>
    <phoneticPr fontId="5" type="noConversion"/>
  </si>
  <si>
    <t>＊승용차 운전업무</t>
    <phoneticPr fontId="5" type="noConversion"/>
  </si>
  <si>
    <t>＊비서업무 등의 사무보조업무</t>
    <phoneticPr fontId="5" type="noConversion"/>
  </si>
  <si>
    <t>사무보조원</t>
    <phoneticPr fontId="5" type="noConversion"/>
  </si>
  <si>
    <t>다산홀운영</t>
    <phoneticPr fontId="7" type="noConversion"/>
  </si>
  <si>
    <t>운전원</t>
    <phoneticPr fontId="7" type="noConversion"/>
  </si>
  <si>
    <t>사무보조원</t>
    <phoneticPr fontId="7" type="noConversion"/>
  </si>
  <si>
    <t>다산홀</t>
    <phoneticPr fontId="7" type="noConversion"/>
  </si>
  <si>
    <t>운전</t>
    <phoneticPr fontId="7" type="noConversion"/>
  </si>
  <si>
    <t>사무</t>
    <phoneticPr fontId="5" type="noConversion"/>
  </si>
  <si>
    <r>
      <t>경력 3</t>
    </r>
    <r>
      <rPr>
        <sz val="10"/>
        <rFont val="바탕체"/>
        <family val="1"/>
        <charset val="129"/>
      </rPr>
      <t>년 이상자</t>
    </r>
    <phoneticPr fontId="5" type="noConversion"/>
  </si>
  <si>
    <r>
      <t xml:space="preserve">(보헙료의 납부의무) 직장가입자의 보험료는 사용자가 납부한다.
 국민건강보험법 시행령 제44조에 의한 보험요율의 표준보수월액의 </t>
    </r>
    <r>
      <rPr>
        <sz val="10"/>
        <rFont val="바탕체"/>
        <family val="1"/>
        <charset val="129"/>
      </rPr>
      <t>6.07</t>
    </r>
    <r>
      <rPr>
        <sz val="10"/>
        <rFont val="바탕체"/>
        <family val="1"/>
        <charset val="129"/>
      </rPr>
      <t>%(사용자부담 50%,근로자부담 50%)</t>
    </r>
    <phoneticPr fontId="5" type="noConversion"/>
  </si>
  <si>
    <r>
      <t>(기본급+제수당+상여금)×</t>
    </r>
    <r>
      <rPr>
        <sz val="10"/>
        <rFont val="바탕체"/>
        <family val="1"/>
        <charset val="129"/>
      </rPr>
      <t>3.035</t>
    </r>
    <r>
      <rPr>
        <sz val="10"/>
        <rFont val="바탕체"/>
        <family val="1"/>
        <charset val="129"/>
      </rPr>
      <t>%</t>
    </r>
    <phoneticPr fontId="5" type="noConversion"/>
  </si>
  <si>
    <t>17</t>
  </si>
  <si>
    <t>246</t>
  </si>
  <si>
    <t>76</t>
  </si>
  <si>
    <t>72</t>
  </si>
  <si>
    <t>37</t>
  </si>
  <si>
    <t>20</t>
  </si>
  <si>
    <t>89</t>
  </si>
  <si>
    <t>32</t>
  </si>
  <si>
    <t>51</t>
  </si>
  <si>
    <t>16</t>
  </si>
  <si>
    <t>12</t>
  </si>
  <si>
    <t>27</t>
  </si>
  <si>
    <t>314</t>
  </si>
  <si>
    <t>85</t>
  </si>
  <si>
    <t>15</t>
  </si>
  <si>
    <t>24</t>
  </si>
  <si>
    <t>29</t>
  </si>
  <si>
    <r>
      <t>1</t>
    </r>
    <r>
      <rPr>
        <sz val="10"/>
        <rFont val="바탕체"/>
        <family val="1"/>
        <charset val="129"/>
      </rPr>
      <t>7</t>
    </r>
  </si>
  <si>
    <t>26</t>
  </si>
  <si>
    <t>46</t>
  </si>
  <si>
    <t>18</t>
  </si>
  <si>
    <t>11</t>
  </si>
  <si>
    <t>9</t>
  </si>
  <si>
    <t>31</t>
  </si>
  <si>
    <t>7</t>
  </si>
  <si>
    <t>21</t>
  </si>
  <si>
    <r>
      <t>주) 노동부 고시 제201</t>
    </r>
    <r>
      <rPr>
        <sz val="10"/>
        <rFont val="바탕체"/>
        <family val="1"/>
        <charset val="129"/>
      </rPr>
      <t>4-58호</t>
    </r>
    <phoneticPr fontId="7" type="noConversion"/>
  </si>
  <si>
    <t>기본급÷월근로시간×연장근로시간×연장할증</t>
  </si>
  <si>
    <t>근로기준법 제55조</t>
  </si>
  <si>
    <t>1일 8시간과 주40시간을 적용하고 근로기준법 제55조에 의한 유급 휴가일을 포함하여 월 26일을 기준으로 산출</t>
  </si>
  <si>
    <t>시중노임단가×26일</t>
  </si>
  <si>
    <t>근로기준법 제56조 및
 부칙 제6조 2항</t>
  </si>
  <si>
    <t>연장근로에 대하여 통상임금의 100분의 50이상을 가산하여 지급하여야 한다.</t>
  </si>
  <si>
    <t>근로기준법 제56조</t>
  </si>
  <si>
    <t>휴일근로에 대하여 통상임금의 100분의 50이상을 가산하여 지급하여야 한다.</t>
  </si>
  <si>
    <t>기본급÷월근로시간×휴일근로시간×휴일할증</t>
  </si>
  <si>
    <t>근로기준법 제60조</t>
  </si>
  <si>
    <t>사용자는 1년간 8할 이상 출근한 근로자에게 15일의 유급휴가를 주어야 한다.</t>
  </si>
  <si>
    <t>기본급÷월근로시간×일근로시간×15일/년
 ÷12개월</t>
  </si>
  <si>
    <t>전문용역업체 실적기준</t>
  </si>
  <si>
    <t>근로기준법 제34조
 근로자퇴직급여 보장법 제8조</t>
  </si>
  <si>
    <t>퇴직금제도를 설정하고자 하는 사용자는 계속근로기간 1년에 대하여 30일분
 이상의 평균임금을 퇴직금으로 퇴직하는 근로자에게 지급할 수 있는 제도를
 설정하여야 한다.</t>
  </si>
  <si>
    <t>(기본급+제수당+상여금)÷12개월</t>
  </si>
  <si>
    <t>순용역원가 × 4%</t>
    <phoneticPr fontId="5" type="noConversion"/>
  </si>
  <si>
    <t>일반관리비(4%)</t>
    <phoneticPr fontId="6" type="noConversion"/>
  </si>
  <si>
    <t>다산홀운영</t>
    <phoneticPr fontId="7" type="noConversion"/>
  </si>
  <si>
    <t>전기기능사</t>
    <phoneticPr fontId="7" type="noConversion"/>
  </si>
  <si>
    <t>사무보조원</t>
    <phoneticPr fontId="7" type="noConversion"/>
  </si>
  <si>
    <t>단순노무종사원</t>
    <phoneticPr fontId="7" type="noConversion"/>
  </si>
  <si>
    <t>행정안전부예규에 의거 기준단가의 년 400%를 계상 할 수 있으나 본 조사에서는 전문용역업체 실적을 기준으로 직종별 기준단가에서 직종별 평균하여 계상</t>
    <phoneticPr fontId="5" type="noConversion"/>
  </si>
  <si>
    <t>단순노무종사원</t>
    <phoneticPr fontId="7" type="noConversion"/>
  </si>
  <si>
    <t>운 전 원</t>
    <phoneticPr fontId="7" type="noConversion"/>
  </si>
  <si>
    <t>기본급×50% ~ 400%</t>
    <phoneticPr fontId="5" type="noConversion"/>
  </si>
  <si>
    <t>건 명 : 경기문화재단 2017년도 파견 용역</t>
    <phoneticPr fontId="7" type="noConversion"/>
  </si>
  <si>
    <t>[ 경기문화재단 2017년도 파견용역 ]</t>
    <phoneticPr fontId="7" type="noConversion"/>
  </si>
  <si>
    <t xml:space="preserve">주 1) M/D당임율 : 중소제조업 직종별 임금조사 보고서(2016년 10월)참조 </t>
    <phoneticPr fontId="7" type="noConversion"/>
  </si>
  <si>
    <t xml:space="preserve">   4) 적용개월수 : 2017년 1월 1일 ~ 2017년 12월 31까지 12개월기준</t>
    <phoneticPr fontId="5" type="noConversion"/>
  </si>
  <si>
    <t>근무시간</t>
    <phoneticPr fontId="7" type="noConversion"/>
  </si>
  <si>
    <r>
      <t>사무,</t>
    </r>
    <r>
      <rPr>
        <sz val="10"/>
        <rFont val="바탕체"/>
        <family val="1"/>
        <charset val="129"/>
      </rPr>
      <t xml:space="preserve"> 다산홀</t>
    </r>
    <phoneticPr fontId="7" type="noConversion"/>
  </si>
  <si>
    <t>운   전</t>
    <phoneticPr fontId="7" type="noConversion"/>
  </si>
  <si>
    <t xml:space="preserve">   3) 휴일근로수당 : 1,732,380(기본급)÷209(월근로시간)×8시간(휴일근로시간)×1.5(할증)</t>
  </si>
  <si>
    <t xml:space="preserve">   3) 휴일근로수당 : 2,246,244(기본급)÷209(월근로시간)×0시간(휴일근로시간)×1.5(할증)</t>
  </si>
  <si>
    <t>사무보조</t>
    <phoneticPr fontId="7" type="noConversion"/>
  </si>
  <si>
    <t>구    분</t>
    <phoneticPr fontId="7" type="noConversion"/>
  </si>
  <si>
    <t>심 사 요 청 액</t>
    <phoneticPr fontId="107" type="noConversion"/>
  </si>
  <si>
    <t xml:space="preserve">심   사   금   액 </t>
    <phoneticPr fontId="107" type="noConversion"/>
  </si>
  <si>
    <t>조 정 액</t>
    <phoneticPr fontId="107" type="noConversion"/>
  </si>
  <si>
    <t>조 정 률</t>
    <phoneticPr fontId="107" type="noConversion"/>
  </si>
  <si>
    <t xml:space="preserve">산출근거 </t>
    <phoneticPr fontId="107" type="noConversion"/>
  </si>
  <si>
    <t xml:space="preserve">기본급 </t>
    <phoneticPr fontId="7" type="noConversion"/>
  </si>
  <si>
    <t xml:space="preserve">제
수
당 </t>
    <phoneticPr fontId="7" type="noConversion"/>
  </si>
  <si>
    <t xml:space="preserve"> 소계</t>
    <phoneticPr fontId="7" type="noConversion"/>
  </si>
  <si>
    <t>상여금</t>
    <phoneticPr fontId="7" type="noConversion"/>
  </si>
  <si>
    <t>퇴직급여충당금</t>
    <phoneticPr fontId="7" type="noConversion"/>
  </si>
  <si>
    <t>(기본급+제수당+상여금)/12</t>
    <phoneticPr fontId="7" type="noConversion"/>
  </si>
  <si>
    <t xml:space="preserve">소 계 </t>
    <phoneticPr fontId="7" type="noConversion"/>
  </si>
  <si>
    <t>복
리
후
생
비</t>
    <phoneticPr fontId="7" type="noConversion"/>
  </si>
  <si>
    <t>건강보험료*6.55%</t>
    <phoneticPr fontId="7" type="noConversion"/>
  </si>
  <si>
    <t>(인건비소계-퇴직급여충당금)*0.06%</t>
    <phoneticPr fontId="7" type="noConversion"/>
  </si>
  <si>
    <t>소계</t>
    <phoneticPr fontId="7" type="noConversion"/>
  </si>
  <si>
    <t>사업소세</t>
    <phoneticPr fontId="7" type="noConversion"/>
  </si>
  <si>
    <t>(인건비소계-퇴직급여충당금)*0.5%</t>
    <phoneticPr fontId="7" type="noConversion"/>
  </si>
  <si>
    <t>소계</t>
    <phoneticPr fontId="7" type="noConversion"/>
  </si>
  <si>
    <t>순원가</t>
    <phoneticPr fontId="7" type="noConversion"/>
  </si>
  <si>
    <t>인건비+복리후생비+경비</t>
    <phoneticPr fontId="7" type="noConversion"/>
  </si>
  <si>
    <t>일반관리비</t>
    <phoneticPr fontId="7" type="noConversion"/>
  </si>
  <si>
    <t>이   윤</t>
    <phoneticPr fontId="7" type="noConversion"/>
  </si>
  <si>
    <t>인건비+복리후생비+경비+일반관리비+이윤</t>
    <phoneticPr fontId="7" type="noConversion"/>
  </si>
  <si>
    <t>부가가치세</t>
    <phoneticPr fontId="7" type="noConversion"/>
  </si>
  <si>
    <t>(인건비+복리후생비+경비+일반관리비+이윤)*10%</t>
    <phoneticPr fontId="7" type="noConversion"/>
  </si>
  <si>
    <t>합    계</t>
    <phoneticPr fontId="7" type="noConversion"/>
  </si>
  <si>
    <t>인건비+복리후생비+경비+일반관리비+이윤+부가세</t>
    <phoneticPr fontId="7" type="noConversion"/>
  </si>
  <si>
    <t>운전원</t>
    <phoneticPr fontId="107" type="noConversion"/>
  </si>
  <si>
    <t>휴일근로수당</t>
    <phoneticPr fontId="5" type="noConversion"/>
  </si>
  <si>
    <t>연장근로수당</t>
    <phoneticPr fontId="5" type="noConversion"/>
  </si>
  <si>
    <t>연차수당</t>
    <phoneticPr fontId="5" type="noConversion"/>
  </si>
  <si>
    <t>국민연금</t>
    <phoneticPr fontId="5" type="noConversion"/>
  </si>
  <si>
    <t>산재보험료</t>
    <phoneticPr fontId="5" type="noConversion"/>
  </si>
  <si>
    <t>고용보험료</t>
    <phoneticPr fontId="5" type="noConversion"/>
  </si>
  <si>
    <t>건강보험료</t>
    <phoneticPr fontId="5" type="noConversion"/>
  </si>
  <si>
    <t>노인장기요양보험료</t>
    <phoneticPr fontId="5" type="noConversion"/>
  </si>
  <si>
    <t>임금채권보장보험료</t>
    <phoneticPr fontId="5" type="noConversion"/>
  </si>
  <si>
    <t>기
타</t>
    <phoneticPr fontId="5" type="noConversion"/>
  </si>
  <si>
    <t>소계(월)</t>
    <phoneticPr fontId="5" type="noConversion"/>
  </si>
  <si>
    <t>계(년)</t>
    <phoneticPr fontId="107" type="noConversion"/>
  </si>
  <si>
    <t>계(년)</t>
    <phoneticPr fontId="107" type="noConversion"/>
  </si>
  <si>
    <t>소계(월)</t>
    <phoneticPr fontId="5" type="noConversion"/>
  </si>
  <si>
    <t>운전원(2명)</t>
    <phoneticPr fontId="5" type="noConversion"/>
  </si>
  <si>
    <t>운전원(2명)</t>
    <phoneticPr fontId="5" type="noConversion"/>
  </si>
  <si>
    <t>인
건
비</t>
    <phoneticPr fontId="5" type="noConversion"/>
  </si>
  <si>
    <t>사무보조원(1명)</t>
    <phoneticPr fontId="5" type="noConversion"/>
  </si>
  <si>
    <t>다산홀운영(1명)</t>
    <phoneticPr fontId="5" type="noConversion"/>
  </si>
  <si>
    <t>시중노임단가*26일</t>
    <phoneticPr fontId="7" type="noConversion"/>
  </si>
  <si>
    <t>(기본급/월근로시간)*연장근로시간*연장할증</t>
    <phoneticPr fontId="7" type="noConversion"/>
  </si>
  <si>
    <t>(기본급/월근로시간)*휴일근로시간*휴일할증</t>
    <phoneticPr fontId="7" type="noConversion"/>
  </si>
  <si>
    <t>(기본급/월근로시간)*8시간*15일/12월</t>
    <phoneticPr fontId="7" type="noConversion"/>
  </si>
  <si>
    <t>기본급*(50~400%)</t>
    <phoneticPr fontId="7" type="noConversion"/>
  </si>
  <si>
    <t>(인건비소계-퇴직급여충당금)*(0.9~1.7%)</t>
    <phoneticPr fontId="7" type="noConversion"/>
  </si>
  <si>
    <t>(인건비소계-퇴직급여충당금)*4.5%</t>
    <phoneticPr fontId="7" type="noConversion"/>
  </si>
  <si>
    <t>(인건비소계-퇴직급여충당금)*0.9%</t>
    <phoneticPr fontId="7" type="noConversion"/>
  </si>
  <si>
    <t>(인건비소계-퇴직급여충당금)*3.06%</t>
    <phoneticPr fontId="7" type="noConversion"/>
  </si>
  <si>
    <t>(인건비+복리후생비+경비)*4%</t>
    <phoneticPr fontId="7" type="noConversion"/>
  </si>
  <si>
    <t>(인건비+복리후생비+경비+일반관리비)*6%</t>
    <phoneticPr fontId="7" type="noConversion"/>
  </si>
  <si>
    <r>
      <t xml:space="preserve">                                                </t>
    </r>
    <r>
      <rPr>
        <b/>
        <sz val="28"/>
        <rFont val="HY태백B"/>
        <family val="1"/>
        <charset val="129"/>
      </rPr>
      <t xml:space="preserve">   </t>
    </r>
    <r>
      <rPr>
        <b/>
        <sz val="28"/>
        <rFont val="문체부 제목 돋음체"/>
        <family val="3"/>
        <charset val="129"/>
      </rPr>
      <t>심  사  내  역  서</t>
    </r>
    <phoneticPr fontId="107" type="noConversion"/>
  </si>
  <si>
    <t xml:space="preserve">   ○ 용역명 : 2017년도 경기문화재단 파견근로 용역                                                                                                                                                                                                                                                                                                   (단위 : 원)</t>
    <phoneticPr fontId="107" type="noConversion"/>
  </si>
  <si>
    <r>
      <t>(기본급+제수당+상여금)×</t>
    </r>
    <r>
      <rPr>
        <sz val="10"/>
        <rFont val="바탕체"/>
        <family val="1"/>
        <charset val="129"/>
      </rPr>
      <t>1.9</t>
    </r>
    <r>
      <rPr>
        <sz val="10"/>
        <rFont val="바탕체"/>
        <family val="1"/>
        <charset val="129"/>
      </rPr>
      <t>%</t>
    </r>
    <phoneticPr fontId="7" type="noConversion"/>
  </si>
</sst>
</file>

<file path=xl/styles.xml><?xml version="1.0" encoding="utf-8"?>
<styleSheet xmlns="http://schemas.openxmlformats.org/spreadsheetml/2006/main">
  <numFmts count="61">
    <numFmt numFmtId="41" formatCode="_-* #,##0_-;\-* #,##0_-;_-* &quot;-&quot;_-;_-@_-"/>
    <numFmt numFmtId="24" formatCode="\$#,##0_);[Red]\(\$#,##0\)"/>
    <numFmt numFmtId="176" formatCode="_-* #,##0.0_-;\-* #,##0.0_-;_-* &quot;-&quot;_-;_-@_-"/>
    <numFmt numFmtId="177" formatCode="0.0"/>
    <numFmt numFmtId="178" formatCode="_ * #,##0_ ;_ * \-#,##0_ ;_ * &quot;-&quot;_ ;_ @_ "/>
    <numFmt numFmtId="179" formatCode="#,##0_ "/>
    <numFmt numFmtId="180" formatCode="#,##0.000"/>
    <numFmt numFmtId="181" formatCode="0_);[Red]\(0\)"/>
    <numFmt numFmtId="182" formatCode="#,##0.0_);[Red]\(#,##0.0\)"/>
    <numFmt numFmtId="183" formatCode="#,##0_);[Red]\(#,##0\)"/>
    <numFmt numFmtId="184" formatCode="_ * #,##0.00_ ;_ * \-#,##0.00_ ;_ * &quot;-&quot;??_ ;_ @_ "/>
    <numFmt numFmtId="185" formatCode="#,##0.0_ "/>
    <numFmt numFmtId="186" formatCode="#,##0.00_ "/>
    <numFmt numFmtId="187" formatCode="#."/>
    <numFmt numFmtId="188" formatCode="#,##0.0"/>
    <numFmt numFmtId="189" formatCode="&quot;₩&quot;\!\$#\!\,##0_);[Red]&quot;₩&quot;\!\(&quot;₩&quot;\!\$#\!\,##0&quot;₩&quot;\!\)"/>
    <numFmt numFmtId="190" formatCode="_(&quot;$&quot;* #,##0_);_(&quot;$&quot;* \(#,##0\);_(&quot;$&quot;* &quot;-&quot;_);_(@_)"/>
    <numFmt numFmtId="191" formatCode="0\!.0000000000000000"/>
    <numFmt numFmtId="192" formatCode="&quot;$&quot;#\!\,##0\!.00_);[Red]&quot;₩&quot;\!\(&quot;$&quot;#\!\,##0\!.00&quot;₩&quot;\!\)"/>
    <numFmt numFmtId="193" formatCode="0.00_);[Red]\(0.00\)"/>
    <numFmt numFmtId="194" formatCode="0.00;[Red]0.00"/>
    <numFmt numFmtId="195" formatCode="_-* #,##0.0_-;&quot;₩&quot;\!\-* #,##0.0_-;_-* &quot;-&quot;_-;_-@_-"/>
    <numFmt numFmtId="196" formatCode="&quot;₩&quot;#,##0;&quot;₩&quot;&quot;₩&quot;&quot;₩&quot;&quot;₩&quot;&quot;₩&quot;&quot;₩&quot;\!\!\-#,##0"/>
    <numFmt numFmtId="197" formatCode="_ &quot;₩&quot;* #,##0.00_ ;_ &quot;₩&quot;* \-#,##0.00_ ;_ &quot;₩&quot;* &quot;-&quot;??_ ;_ @_ "/>
    <numFmt numFmtId="198" formatCode="#,##0;[Red]&quot;-&quot;#,##0"/>
    <numFmt numFmtId="199" formatCode="#\!\,##0;&quot;₩&quot;\!\-#\!\,##0\!.00"/>
    <numFmt numFmtId="200" formatCode="#,##0;\-#,##0.00"/>
    <numFmt numFmtId="201" formatCode="#,##0;&quot;-&quot;#,##0"/>
    <numFmt numFmtId="202" formatCode="&quot;₩&quot;#,##0;[Red]&quot;₩&quot;&quot;₩&quot;&quot;₩&quot;&quot;₩&quot;&quot;₩&quot;&quot;₩&quot;\!\!\-#,##0"/>
    <numFmt numFmtId="203" formatCode="&quot;₩&quot;#,##0.00;&quot;₩&quot;\-#,##0.00"/>
    <numFmt numFmtId="204" formatCode="&quot;M-S3-014-&quot;\ ###&quot;&quot;\ "/>
    <numFmt numFmtId="205" formatCode="&quot;004-30-&quot;\ ###&quot;호&quot;\ "/>
    <numFmt numFmtId="206" formatCode="&quot;M-S3-016-&quot;\ ###&quot;&quot;\ "/>
    <numFmt numFmtId="207" formatCode="&quot;M-S3-004-&quot;\ ###&quot;&quot;\ "/>
    <numFmt numFmtId="208" formatCode="_-* #,##0.00_-;&quot;₩&quot;&quot;₩&quot;&quot;₩&quot;&quot;₩&quot;\!\!\-* #,##0.00_-;_-* &quot;-&quot;??_-;_-@_-"/>
    <numFmt numFmtId="209" formatCode="_-&quot;₩&quot;* #,##0.00_-;&quot;₩&quot;&quot;₩&quot;&quot;₩&quot;&quot;₩&quot;\!\!\-&quot;₩&quot;* #,##0.00_-;_-&quot;₩&quot;* &quot;-&quot;??_-;_-@_-"/>
    <numFmt numFmtId="210" formatCode="&quot;₩&quot;#,##0.00;&quot;₩&quot;&quot;₩&quot;&quot;₩&quot;&quot;₩&quot;&quot;₩&quot;&quot;₩&quot;\!\!\-#,##0.00"/>
    <numFmt numFmtId="211" formatCode="&quot;$&quot;#,##0.00_);\(&quot;$&quot;#,##0.00\)"/>
    <numFmt numFmtId="212" formatCode="0000000000000"/>
    <numFmt numFmtId="213" formatCode="_-* #,##0.00\ _P_t_s_-;\-* #,##0.00\ _P_t_s_-;_-* &quot;-&quot;??\ _P_t_s_-;_-@_-"/>
    <numFmt numFmtId="214" formatCode="#,##0."/>
    <numFmt numFmtId="215" formatCode="\$#."/>
    <numFmt numFmtId="216" formatCode="yy/m"/>
    <numFmt numFmtId="217" formatCode="&quot;$&quot;#,##0;[Red]\-&quot;$&quot;#,##0"/>
    <numFmt numFmtId="218" formatCode="&quot;F&quot;\ #,##0_-;&quot;F&quot;\ #,##0\-"/>
    <numFmt numFmtId="219" formatCode="&quot;₩&quot;#,##0;[Red]&quot;₩&quot;&quot;₩&quot;&quot;₩&quot;&quot;₩&quot;&quot;₩&quot;&quot;₩&quot;&quot;₩&quot;&quot;₩&quot;&quot;₩&quot;\-#,##0"/>
    <numFmt numFmtId="220" formatCode="0.00000000_ "/>
    <numFmt numFmtId="221" formatCode="_-[$€-2]* #,##0.00_-;&quot;₩&quot;\!\-[$€-2]* #,##0.00_-;_-[$€-2]* &quot;-&quot;??_-"/>
    <numFmt numFmtId="222" formatCode="_-* #,##0.0_-;\-* #,##0.0_-;_-* &quot;-&quot;??_-;_-@_-"/>
    <numFmt numFmtId="223" formatCode="#,##0.0000;[Red]\-#,##0.0000"/>
    <numFmt numFmtId="224" formatCode="&quot;$&quot;#,##0.00_);[Red]\(&quot;$&quot;#,##0.00\)"/>
    <numFmt numFmtId="225" formatCode="#,##0.0;[Red]&quot;-&quot;#,##0.0"/>
    <numFmt numFmtId="226" formatCode="#,##0\ &quot;DM&quot;;[Red]\-#,##0\ &quot;DM&quot;"/>
    <numFmt numFmtId="227" formatCode="#,##0.00\ &quot;DM&quot;;[Red]\-#,##0.00\ &quot;DM&quot;"/>
    <numFmt numFmtId="228" formatCode="_ * #,##0_ ;_ * &quot;₩&quot;\!\-#,##0_ ;_ * &quot;-&quot;_ ;_ @_ "/>
    <numFmt numFmtId="229" formatCode="0.00_ "/>
    <numFmt numFmtId="230" formatCode="_-* #,##0.00_-;\-* #,##0.00_-;_-* &quot;-&quot;_-;_-@_-"/>
    <numFmt numFmtId="231" formatCode="_ * #,##0.00_ ;_ * \-#,##0.00_ ;_ * &quot;-&quot;_ ;_ @_ "/>
    <numFmt numFmtId="232" formatCode="#,##0.000_ "/>
    <numFmt numFmtId="233" formatCode="_-* #,##0_-;\-* #,##0_-;_-* &quot;-&quot;??_-;_-@_-"/>
    <numFmt numFmtId="234" formatCode="#,##0_);\(#,##0\)"/>
  </numFmts>
  <fonts count="114">
    <font>
      <sz val="10"/>
      <name val="바탕체"/>
      <family val="1"/>
      <charset val="129"/>
    </font>
    <font>
      <sz val="10"/>
      <name val="바탕체"/>
      <family val="1"/>
      <charset val="129"/>
    </font>
    <font>
      <sz val="10"/>
      <name val="바탕체"/>
      <family val="1"/>
      <charset val="129"/>
    </font>
    <font>
      <sz val="20"/>
      <name val="바탕체"/>
      <family val="1"/>
      <charset val="129"/>
    </font>
    <font>
      <sz val="10"/>
      <name val="Arial"/>
      <family val="2"/>
    </font>
    <font>
      <sz val="8"/>
      <name val="바탕체"/>
      <family val="1"/>
      <charset val="129"/>
    </font>
    <font>
      <sz val="8"/>
      <name val="바탕"/>
      <family val="1"/>
      <charset val="129"/>
    </font>
    <font>
      <sz val="8"/>
      <name val="돋움"/>
      <family val="3"/>
      <charset val="129"/>
    </font>
    <font>
      <sz val="12"/>
      <name val="바탕체"/>
      <family val="1"/>
      <charset val="129"/>
    </font>
    <font>
      <sz val="12"/>
      <name val="돋움체"/>
      <family val="3"/>
      <charset val="129"/>
    </font>
    <font>
      <sz val="12"/>
      <name val="명조"/>
      <family val="3"/>
      <charset val="129"/>
    </font>
    <font>
      <sz val="20"/>
      <name val="돋움체"/>
      <family val="3"/>
      <charset val="129"/>
    </font>
    <font>
      <u/>
      <sz val="20"/>
      <name val="돋움체"/>
      <family val="3"/>
      <charset val="129"/>
    </font>
    <font>
      <sz val="20"/>
      <name val="굴림체"/>
      <family val="3"/>
      <charset val="129"/>
    </font>
    <font>
      <sz val="11"/>
      <name val="돋움"/>
      <family val="3"/>
      <charset val="129"/>
    </font>
    <font>
      <sz val="11"/>
      <name val="굴림체"/>
      <family val="3"/>
      <charset val="129"/>
    </font>
    <font>
      <sz val="9"/>
      <name val="굴림체"/>
      <family val="3"/>
      <charset val="129"/>
    </font>
    <font>
      <sz val="12"/>
      <name val="굴림체"/>
      <family val="3"/>
      <charset val="129"/>
    </font>
    <font>
      <sz val="9"/>
      <name val="돋움체"/>
      <family val="3"/>
      <charset val="129"/>
    </font>
    <font>
      <sz val="14"/>
      <name val="뼻뮝"/>
      <family val="3"/>
      <charset val="129"/>
    </font>
    <font>
      <sz val="11"/>
      <name val="돋움체"/>
      <family val="3"/>
      <charset val="129"/>
    </font>
    <font>
      <sz val="10"/>
      <name val="굴림체"/>
      <family val="3"/>
      <charset val="129"/>
    </font>
    <font>
      <sz val="10"/>
      <color indexed="8"/>
      <name val="바탕체"/>
      <family val="1"/>
      <charset val="129"/>
    </font>
    <font>
      <sz val="20"/>
      <color indexed="8"/>
      <name val="바탕체"/>
      <family val="1"/>
      <charset val="129"/>
    </font>
    <font>
      <u/>
      <sz val="10"/>
      <color indexed="8"/>
      <name val="바탕체"/>
      <family val="1"/>
      <charset val="129"/>
    </font>
    <font>
      <sz val="11"/>
      <name val="바탕체"/>
      <family val="1"/>
      <charset val="129"/>
    </font>
    <font>
      <sz val="10"/>
      <name val="바탕체"/>
      <family val="1"/>
      <charset val="129"/>
    </font>
    <font>
      <sz val="1"/>
      <color indexed="8"/>
      <name val="Courier"/>
      <family val="3"/>
    </font>
    <font>
      <sz val="10"/>
      <name val="MS Sans Serif"/>
      <family val="2"/>
    </font>
    <font>
      <sz val="12"/>
      <name val="¹UAAA¼"/>
      <family val="3"/>
      <charset val="129"/>
    </font>
    <font>
      <sz val="12"/>
      <name val="¹????¼"/>
      <family val="1"/>
      <charset val="129"/>
    </font>
    <font>
      <sz val="10"/>
      <name val="Helv"/>
      <family val="2"/>
    </font>
    <font>
      <sz val="12"/>
      <name val="Times New Roman"/>
      <family val="1"/>
    </font>
    <font>
      <sz val="7"/>
      <name val="바탕체"/>
      <family val="1"/>
      <charset val="129"/>
    </font>
    <font>
      <b/>
      <sz val="1"/>
      <color indexed="8"/>
      <name val="Courier"/>
      <family val="3"/>
    </font>
    <font>
      <sz val="9"/>
      <color indexed="8"/>
      <name val="굴림체"/>
      <family val="3"/>
      <charset val="129"/>
    </font>
    <font>
      <u/>
      <sz val="11"/>
      <color indexed="36"/>
      <name val="돋움"/>
      <family val="3"/>
      <charset val="129"/>
    </font>
    <font>
      <sz val="10"/>
      <name val="돋움체"/>
      <family val="3"/>
      <charset val="129"/>
    </font>
    <font>
      <sz val="11"/>
      <name val="뼻뮝"/>
      <family val="3"/>
      <charset val="129"/>
    </font>
    <font>
      <sz val="10"/>
      <name val="바탕"/>
      <family val="1"/>
      <charset val="129"/>
    </font>
    <font>
      <b/>
      <sz val="10"/>
      <name val="바탕체"/>
      <family val="1"/>
      <charset val="129"/>
    </font>
    <font>
      <b/>
      <sz val="18"/>
      <name val="바탕체"/>
      <family val="1"/>
      <charset val="129"/>
    </font>
    <font>
      <b/>
      <sz val="12"/>
      <name val="바탕체"/>
      <family val="1"/>
      <charset val="129"/>
    </font>
    <font>
      <sz val="8"/>
      <name val="#중고딕"/>
      <family val="3"/>
      <charset val="129"/>
    </font>
    <font>
      <b/>
      <sz val="12"/>
      <color indexed="16"/>
      <name val="굴림체"/>
      <family val="3"/>
      <charset val="129"/>
    </font>
    <font>
      <sz val="10"/>
      <name val="명조"/>
      <family val="3"/>
      <charset val="129"/>
    </font>
    <font>
      <sz val="10"/>
      <name val="궁서(English)"/>
      <family val="3"/>
      <charset val="129"/>
    </font>
    <font>
      <sz val="12"/>
      <name val="견고딕"/>
      <family val="1"/>
      <charset val="129"/>
    </font>
    <font>
      <b/>
      <sz val="16"/>
      <name val="돋움체"/>
      <family val="3"/>
      <charset val="129"/>
    </font>
    <font>
      <sz val="10"/>
      <name val="Arial Narrow"/>
      <family val="2"/>
    </font>
    <font>
      <sz val="12"/>
      <name val="¹ÙÅÁÃ¼"/>
      <family val="1"/>
      <charset val="129"/>
    </font>
    <font>
      <sz val="12"/>
      <name val="System"/>
      <family val="2"/>
      <charset val="129"/>
    </font>
    <font>
      <sz val="9"/>
      <name val="Arial"/>
      <family val="2"/>
    </font>
    <font>
      <sz val="11"/>
      <name val="￥i￠￢￠?o"/>
      <family val="3"/>
      <charset val="129"/>
    </font>
    <font>
      <sz val="8"/>
      <name val="¹UAAA¼"/>
      <family val="1"/>
      <charset val="129"/>
    </font>
    <font>
      <b/>
      <sz val="10"/>
      <name val="Helv"/>
      <family val="2"/>
    </font>
    <font>
      <u/>
      <sz val="10"/>
      <color indexed="12"/>
      <name val="Arial"/>
      <family val="2"/>
    </font>
    <font>
      <sz val="10"/>
      <name val="MS Serif"/>
      <family val="1"/>
    </font>
    <font>
      <sz val="11"/>
      <name val="??"/>
      <family val="3"/>
    </font>
    <font>
      <sz val="10"/>
      <color indexed="16"/>
      <name val="MS Serif"/>
      <family val="1"/>
    </font>
    <font>
      <sz val="12"/>
      <color indexed="24"/>
      <name val="Arial"/>
      <family val="2"/>
    </font>
    <font>
      <sz val="8"/>
      <name val="Arial"/>
      <family val="2"/>
    </font>
    <font>
      <b/>
      <i/>
      <sz val="11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sz val="10"/>
      <name val="Univers (WN)"/>
      <family val="2"/>
    </font>
    <font>
      <sz val="10"/>
      <color indexed="12"/>
      <name val="Arial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Helv"/>
      <family val="2"/>
    </font>
    <font>
      <b/>
      <sz val="8"/>
      <name val="Times New Roman"/>
      <family val="1"/>
    </font>
    <font>
      <b/>
      <sz val="8"/>
      <color indexed="8"/>
      <name val="Helv"/>
      <family val="2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sz val="8"/>
      <color indexed="12"/>
      <name val="Arial"/>
      <family val="2"/>
    </font>
    <font>
      <u/>
      <sz val="10"/>
      <color indexed="36"/>
      <name val="Arial"/>
      <family val="2"/>
    </font>
    <font>
      <b/>
      <sz val="26"/>
      <name val="바탕체"/>
      <family val="1"/>
      <charset val="129"/>
    </font>
    <font>
      <b/>
      <sz val="11"/>
      <name val="바탕체"/>
      <family val="1"/>
      <charset val="129"/>
    </font>
    <font>
      <b/>
      <sz val="11"/>
      <name val="Arial"/>
      <family val="2"/>
    </font>
    <font>
      <sz val="14"/>
      <name val="바탕체"/>
      <family val="1"/>
      <charset val="129"/>
    </font>
    <font>
      <sz val="16"/>
      <name val="바탕체"/>
      <family val="1"/>
      <charset val="129"/>
    </font>
    <font>
      <sz val="10"/>
      <name val="돋움"/>
      <family val="3"/>
      <charset val="129"/>
    </font>
    <font>
      <sz val="20"/>
      <name val="돋움"/>
      <family val="3"/>
      <charset val="129"/>
    </font>
    <font>
      <b/>
      <sz val="12"/>
      <name val="휴먼모음T"/>
      <family val="1"/>
      <charset val="129"/>
    </font>
    <font>
      <sz val="12"/>
      <color indexed="9"/>
      <name val="바탕체"/>
      <family val="1"/>
      <charset val="129"/>
    </font>
    <font>
      <sz val="24"/>
      <name val="바탕체"/>
      <family val="1"/>
      <charset val="129"/>
    </font>
    <font>
      <b/>
      <sz val="24"/>
      <name val="휴먼모음T"/>
      <family val="1"/>
      <charset val="129"/>
    </font>
    <font>
      <sz val="24"/>
      <name val="휴먼모음T"/>
      <family val="1"/>
      <charset val="129"/>
    </font>
    <font>
      <sz val="13"/>
      <name val="휴먼모음T"/>
      <family val="1"/>
      <charset val="129"/>
    </font>
    <font>
      <b/>
      <sz val="13"/>
      <name val="휴먼모음T"/>
      <family val="1"/>
      <charset val="129"/>
    </font>
    <font>
      <b/>
      <sz val="10"/>
      <color rgb="FF0000CC"/>
      <name val="바탕체"/>
      <family val="1"/>
      <charset val="129"/>
    </font>
    <font>
      <b/>
      <sz val="10"/>
      <color rgb="FF0000FF"/>
      <name val="바탕체"/>
      <family val="1"/>
      <charset val="129"/>
    </font>
    <font>
      <sz val="10"/>
      <color theme="1"/>
      <name val="바탕체"/>
      <family val="1"/>
      <charset val="129"/>
    </font>
    <font>
      <b/>
      <sz val="12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sz val="10"/>
      <color rgb="FFFF0000"/>
      <name val="바탕체"/>
      <family val="1"/>
      <charset val="129"/>
    </font>
    <font>
      <b/>
      <sz val="26"/>
      <name val="HY태백B"/>
      <family val="1"/>
      <charset val="129"/>
    </font>
    <font>
      <b/>
      <sz val="28"/>
      <name val="HY태백B"/>
      <family val="1"/>
      <charset val="129"/>
    </font>
    <font>
      <b/>
      <sz val="28"/>
      <name val="문체부 제목 돋음체"/>
      <family val="3"/>
      <charset val="129"/>
    </font>
    <font>
      <sz val="8"/>
      <name val="맑은 고딕"/>
      <family val="3"/>
      <charset val="129"/>
    </font>
    <font>
      <b/>
      <sz val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b/>
      <sz val="11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88">
    <xf numFmtId="0" fontId="0" fillId="0" borderId="0"/>
    <xf numFmtId="187" fontId="27" fillId="0" borderId="0">
      <protection locked="0"/>
    </xf>
    <xf numFmtId="0" fontId="2" fillId="0" borderId="0"/>
    <xf numFmtId="0" fontId="17" fillId="0" borderId="0"/>
    <xf numFmtId="0" fontId="28" fillId="0" borderId="1">
      <alignment horizontal="center"/>
    </xf>
    <xf numFmtId="0" fontId="2" fillId="0" borderId="2">
      <alignment horizontal="centerContinuous" vertical="center"/>
    </xf>
    <xf numFmtId="3" fontId="8" fillId="0" borderId="0">
      <alignment vertical="center"/>
    </xf>
    <xf numFmtId="188" fontId="8" fillId="0" borderId="0">
      <alignment vertical="center"/>
    </xf>
    <xf numFmtId="4" fontId="8" fillId="0" borderId="0">
      <alignment vertical="center"/>
    </xf>
    <xf numFmtId="180" fontId="8" fillId="0" borderId="0">
      <alignment vertical="center"/>
    </xf>
    <xf numFmtId="3" fontId="9" fillId="0" borderId="3"/>
    <xf numFmtId="0" fontId="1" fillId="0" borderId="2">
      <alignment horizontal="centerContinuous" vertical="center"/>
    </xf>
    <xf numFmtId="0" fontId="1" fillId="0" borderId="2">
      <alignment horizontal="centerContinuous" vertical="center"/>
    </xf>
    <xf numFmtId="0" fontId="1" fillId="0" borderId="2">
      <alignment horizontal="centerContinuous" vertical="center"/>
    </xf>
    <xf numFmtId="0" fontId="1" fillId="0" borderId="2">
      <alignment horizontal="centerContinuous" vertical="center"/>
    </xf>
    <xf numFmtId="0" fontId="1" fillId="0" borderId="2">
      <alignment horizontal="centerContinuous" vertical="center"/>
    </xf>
    <xf numFmtId="0" fontId="1" fillId="0" borderId="2">
      <alignment horizontal="centerContinuous" vertical="center"/>
    </xf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1" fontId="14" fillId="0" borderId="0" applyNumberFormat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92" fontId="14" fillId="0" borderId="0" applyNumberFormat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1" fontId="14" fillId="0" borderId="0" applyNumberFormat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92" fontId="14" fillId="0" borderId="0" applyNumberFormat="0" applyFont="0" applyFill="0" applyBorder="0" applyAlignment="0" applyProtection="0"/>
    <xf numFmtId="24" fontId="2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8" fillId="0" borderId="0"/>
    <xf numFmtId="0" fontId="8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/>
    <xf numFmtId="0" fontId="4" fillId="0" borderId="0" applyNumberForma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" fillId="0" borderId="0"/>
    <xf numFmtId="0" fontId="15" fillId="0" borderId="4">
      <alignment vertical="center"/>
    </xf>
    <xf numFmtId="0" fontId="15" fillId="0" borderId="4">
      <alignment vertical="center"/>
    </xf>
    <xf numFmtId="0" fontId="14" fillId="0" borderId="4">
      <alignment vertical="center"/>
    </xf>
    <xf numFmtId="0" fontId="21" fillId="0" borderId="0" applyFont="0" applyFill="0" applyBorder="0" applyAlignment="0" applyProtection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8" fillId="0" borderId="0"/>
    <xf numFmtId="0" fontId="4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" fillId="0" borderId="0"/>
    <xf numFmtId="187" fontId="27" fillId="0" borderId="0">
      <protection locked="0"/>
    </xf>
    <xf numFmtId="193" fontId="14" fillId="0" borderId="0">
      <protection locked="0"/>
    </xf>
    <xf numFmtId="0" fontId="21" fillId="0" borderId="0" applyFont="0" applyFill="0" applyBorder="0" applyAlignment="0" applyProtection="0"/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0" fontId="4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1" fillId="0" borderId="0"/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0" fontId="21" fillId="0" borderId="0" applyFont="0" applyFill="0" applyBorder="0" applyAlignment="0" applyProtection="0"/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0" fontId="4" fillId="0" borderId="0"/>
    <xf numFmtId="0" fontId="21" fillId="0" borderId="0" applyFont="0" applyFill="0" applyBorder="0" applyAlignment="0" applyProtection="0"/>
    <xf numFmtId="193" fontId="14" fillId="0" borderId="0">
      <protection locked="0"/>
    </xf>
    <xf numFmtId="0" fontId="21" fillId="0" borderId="0" applyFont="0" applyFill="0" applyBorder="0" applyAlignment="0" applyProtection="0"/>
    <xf numFmtId="0" fontId="4" fillId="0" borderId="0"/>
    <xf numFmtId="0" fontId="21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" fillId="0" borderId="0"/>
    <xf numFmtId="0" fontId="3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 applyFont="0" applyFill="0" applyBorder="0" applyAlignment="0" applyProtection="0"/>
    <xf numFmtId="0" fontId="28" fillId="0" borderId="0"/>
    <xf numFmtId="0" fontId="4" fillId="0" borderId="0"/>
    <xf numFmtId="0" fontId="2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 applyFont="0" applyFill="0" applyBorder="0" applyAlignment="0" applyProtection="0"/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0" fontId="8" fillId="0" borderId="0"/>
    <xf numFmtId="0" fontId="31" fillId="0" borderId="0"/>
    <xf numFmtId="0" fontId="4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" fillId="0" borderId="0"/>
    <xf numFmtId="0" fontId="21" fillId="0" borderId="0" applyFont="0" applyFill="0" applyBorder="0" applyAlignment="0" applyProtection="0"/>
    <xf numFmtId="0" fontId="8" fillId="0" borderId="0"/>
    <xf numFmtId="193" fontId="14" fillId="0" borderId="0">
      <protection locked="0"/>
    </xf>
    <xf numFmtId="0" fontId="4" fillId="0" borderId="0"/>
    <xf numFmtId="0" fontId="21" fillId="0" borderId="0" applyFont="0" applyFill="0" applyBorder="0" applyAlignment="0" applyProtection="0"/>
    <xf numFmtId="0" fontId="4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187" fontId="27" fillId="0" borderId="0">
      <protection locked="0"/>
    </xf>
    <xf numFmtId="193" fontId="14" fillId="0" borderId="0">
      <protection locked="0"/>
    </xf>
    <xf numFmtId="0" fontId="27" fillId="0" borderId="0"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2" fillId="0" borderId="0"/>
    <xf numFmtId="194" fontId="14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9" fontId="2" fillId="0" borderId="0">
      <alignment vertical="center"/>
    </xf>
    <xf numFmtId="190" fontId="4" fillId="0" borderId="0" applyFont="0" applyFill="0" applyBorder="0" applyAlignment="0" applyProtection="0"/>
    <xf numFmtId="3" fontId="9" fillId="0" borderId="3"/>
    <xf numFmtId="0" fontId="2" fillId="0" borderId="0">
      <alignment vertical="center"/>
    </xf>
    <xf numFmtId="3" fontId="9" fillId="0" borderId="3"/>
    <xf numFmtId="10" fontId="2" fillId="0" borderId="0">
      <alignment vertical="center"/>
    </xf>
    <xf numFmtId="0" fontId="2" fillId="0" borderId="0">
      <alignment vertical="center"/>
    </xf>
    <xf numFmtId="195" fontId="14" fillId="0" borderId="0">
      <alignment vertical="center"/>
    </xf>
    <xf numFmtId="0" fontId="15" fillId="0" borderId="0">
      <alignment horizontal="center" vertical="center"/>
    </xf>
    <xf numFmtId="0" fontId="28" fillId="0" borderId="5"/>
    <xf numFmtId="4" fontId="33" fillId="0" borderId="6">
      <alignment vertical="center"/>
    </xf>
    <xf numFmtId="0" fontId="4" fillId="0" borderId="0" applyNumberFormat="0" applyFill="0" applyBorder="0" applyAlignment="0" applyProtection="0"/>
    <xf numFmtId="0" fontId="8" fillId="0" borderId="0"/>
    <xf numFmtId="193" fontId="14" fillId="0" borderId="0">
      <protection locked="0"/>
    </xf>
    <xf numFmtId="0" fontId="27" fillId="0" borderId="0">
      <protection locked="0"/>
    </xf>
    <xf numFmtId="9" fontId="8" fillId="0" borderId="0">
      <protection locked="0"/>
    </xf>
    <xf numFmtId="0" fontId="8" fillId="0" borderId="0"/>
    <xf numFmtId="196" fontId="8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0" fontId="15" fillId="0" borderId="0"/>
    <xf numFmtId="0" fontId="14" fillId="0" borderId="3">
      <alignment horizontal="right" vertical="center"/>
    </xf>
    <xf numFmtId="0" fontId="35" fillId="0" borderId="0" applyFont="0" applyBorder="0" applyAlignment="0">
      <alignment horizontal="left" vertical="center"/>
    </xf>
    <xf numFmtId="0" fontId="27" fillId="0" borderId="0">
      <protection locked="0"/>
    </xf>
    <xf numFmtId="3" fontId="28" fillId="0" borderId="7">
      <alignment horizontal="center"/>
    </xf>
    <xf numFmtId="0" fontId="8" fillId="2" borderId="0">
      <alignment horizontal="left"/>
    </xf>
    <xf numFmtId="0" fontId="27" fillId="0" borderId="0"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1" fontId="37" fillId="0" borderId="3" applyNumberFormat="0" applyFont="0" applyFill="0" applyBorder="0" applyProtection="0">
      <alignment horizontal="distributed"/>
    </xf>
    <xf numFmtId="9" fontId="15" fillId="3" borderId="0" applyFill="0" applyBorder="0" applyProtection="0">
      <alignment horizontal="right"/>
    </xf>
    <xf numFmtId="10" fontId="15" fillId="0" borderId="0" applyFill="0" applyBorder="0" applyProtection="0">
      <alignment horizontal="right"/>
    </xf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38" fillId="0" borderId="0"/>
    <xf numFmtId="179" fontId="14" fillId="0" borderId="0" applyNumberFormat="0" applyFont="0" applyFill="0" applyBorder="0" applyProtection="0">
      <alignment horizontal="centerContinuous"/>
    </xf>
    <xf numFmtId="179" fontId="39" fillId="0" borderId="8">
      <alignment vertical="center"/>
    </xf>
    <xf numFmtId="3" fontId="37" fillId="0" borderId="3"/>
    <xf numFmtId="0" fontId="37" fillId="0" borderId="3"/>
    <xf numFmtId="3" fontId="37" fillId="0" borderId="9"/>
    <xf numFmtId="3" fontId="37" fillId="0" borderId="10"/>
    <xf numFmtId="0" fontId="40" fillId="0" borderId="3"/>
    <xf numFmtId="0" fontId="41" fillId="0" borderId="0">
      <alignment horizontal="center"/>
    </xf>
    <xf numFmtId="0" fontId="42" fillId="0" borderId="11">
      <alignment horizontal="center"/>
    </xf>
    <xf numFmtId="4" fontId="43" fillId="0" borderId="0" applyNumberFormat="0" applyFill="0" applyBorder="0" applyAlignment="0">
      <alignment horizontal="centerContinuous" vertical="center"/>
    </xf>
    <xf numFmtId="198" fontId="44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17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3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45" fillId="0" borderId="12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1" fontId="46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1" fontId="46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0" fontId="47" fillId="0" borderId="0">
      <alignment horizontal="center" vertical="center"/>
    </xf>
    <xf numFmtId="0" fontId="21" fillId="0" borderId="0" applyNumberFormat="0" applyAlignment="0">
      <alignment horizontal="left" vertical="center"/>
    </xf>
    <xf numFmtId="4" fontId="27" fillId="0" borderId="0">
      <protection locked="0"/>
    </xf>
    <xf numFmtId="202" fontId="8" fillId="0" borderId="0">
      <protection locked="0"/>
    </xf>
    <xf numFmtId="0" fontId="8" fillId="0" borderId="13" applyNumberFormat="0"/>
    <xf numFmtId="0" fontId="8" fillId="0" borderId="3">
      <alignment horizontal="distributed" vertical="center"/>
    </xf>
    <xf numFmtId="0" fontId="8" fillId="0" borderId="14">
      <alignment horizontal="distributed" vertical="top"/>
    </xf>
    <xf numFmtId="0" fontId="8" fillId="0" borderId="15">
      <alignment horizontal="distributed"/>
    </xf>
    <xf numFmtId="178" fontId="48" fillId="0" borderId="0">
      <alignment vertical="center"/>
    </xf>
    <xf numFmtId="0" fontId="8" fillId="0" borderId="0"/>
    <xf numFmtId="197" fontId="14" fillId="0" borderId="0" applyFont="0" applyFill="0" applyBorder="0" applyProtection="0">
      <alignment vertical="center"/>
    </xf>
    <xf numFmtId="38" fontId="37" fillId="0" borderId="0" applyFont="0" applyFill="0" applyBorder="0" applyProtection="0">
      <alignment vertical="center"/>
    </xf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20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8" fillId="0" borderId="0" applyNumberFormat="0" applyFont="0" applyFill="0" applyBorder="0" applyProtection="0">
      <alignment vertical="center"/>
    </xf>
    <xf numFmtId="186" fontId="15" fillId="3" borderId="0" applyFill="0" applyBorder="0" applyProtection="0">
      <alignment horizontal="right"/>
    </xf>
    <xf numFmtId="38" fontId="37" fillId="0" borderId="0" applyFont="0" applyFill="0" applyBorder="0" applyAlignment="0" applyProtection="0">
      <alignment vertical="center"/>
    </xf>
    <xf numFmtId="182" fontId="14" fillId="0" borderId="0" applyFont="0" applyFill="0" applyBorder="0" applyAlignment="0" applyProtection="0">
      <alignment vertical="center"/>
    </xf>
    <xf numFmtId="203" fontId="14" fillId="0" borderId="0" applyFont="0" applyFill="0" applyBorder="0" applyAlignment="0" applyProtection="0">
      <alignment vertical="center"/>
    </xf>
    <xf numFmtId="204" fontId="14" fillId="0" borderId="0" applyFont="0" applyFill="0" applyBorder="0" applyAlignment="0" applyProtection="0">
      <alignment textRotation="255"/>
    </xf>
    <xf numFmtId="205" fontId="14" fillId="0" borderId="0" applyFont="0" applyFill="0" applyBorder="0" applyAlignment="0" applyProtection="0">
      <alignment textRotation="255"/>
    </xf>
    <xf numFmtId="206" fontId="14" fillId="0" borderId="0" applyFont="0" applyFill="0" applyBorder="0" applyAlignment="0" applyProtection="0">
      <alignment textRotation="255"/>
    </xf>
    <xf numFmtId="207" fontId="14" fillId="0" borderId="0" applyFont="0" applyFill="0" applyBorder="0" applyAlignment="0" applyProtection="0">
      <alignment textRotation="255"/>
    </xf>
    <xf numFmtId="0" fontId="8" fillId="0" borderId="0" applyFont="0" applyFill="0" applyBorder="0" applyAlignment="0" applyProtection="0"/>
    <xf numFmtId="208" fontId="8" fillId="0" borderId="0">
      <protection locked="0"/>
    </xf>
    <xf numFmtId="0" fontId="4" fillId="0" borderId="0"/>
    <xf numFmtId="0" fontId="14" fillId="0" borderId="0">
      <alignment vertical="center"/>
    </xf>
    <xf numFmtId="0" fontId="8" fillId="0" borderId="0"/>
    <xf numFmtId="0" fontId="8" fillId="0" borderId="0"/>
    <xf numFmtId="0" fontId="14" fillId="0" borderId="0"/>
    <xf numFmtId="0" fontId="8" fillId="0" borderId="0"/>
    <xf numFmtId="0" fontId="9" fillId="0" borderId="0"/>
    <xf numFmtId="0" fontId="20" fillId="0" borderId="0"/>
    <xf numFmtId="0" fontId="20" fillId="0" borderId="0"/>
    <xf numFmtId="0" fontId="25" fillId="0" borderId="0"/>
    <xf numFmtId="0" fontId="25" fillId="0" borderId="0"/>
    <xf numFmtId="0" fontId="8" fillId="0" borderId="0"/>
    <xf numFmtId="0" fontId="10" fillId="0" borderId="0"/>
    <xf numFmtId="0" fontId="17" fillId="0" borderId="0"/>
    <xf numFmtId="0" fontId="10" fillId="0" borderId="0"/>
    <xf numFmtId="0" fontId="8" fillId="0" borderId="0"/>
    <xf numFmtId="0" fontId="14" fillId="0" borderId="0"/>
    <xf numFmtId="0" fontId="8" fillId="0" borderId="8">
      <alignment vertical="center" wrapText="1"/>
    </xf>
    <xf numFmtId="14" fontId="49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27" fillId="0" borderId="16">
      <protection locked="0"/>
    </xf>
    <xf numFmtId="209" fontId="8" fillId="0" borderId="0">
      <protection locked="0"/>
    </xf>
    <xf numFmtId="210" fontId="8" fillId="0" borderId="0">
      <protection locked="0"/>
    </xf>
    <xf numFmtId="3" fontId="2" fillId="0" borderId="0"/>
    <xf numFmtId="211" fontId="17" fillId="4" borderId="17">
      <alignment horizontal="center" vertical="center"/>
    </xf>
    <xf numFmtId="193" fontId="14" fillId="0" borderId="0">
      <protection locked="0"/>
    </xf>
    <xf numFmtId="0" fontId="14" fillId="0" borderId="0">
      <protection locked="0"/>
    </xf>
    <xf numFmtId="193" fontId="14" fillId="0" borderId="0">
      <protection locked="0"/>
    </xf>
    <xf numFmtId="0" fontId="5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7" fillId="0" borderId="0">
      <protection locked="0"/>
    </xf>
    <xf numFmtId="0" fontId="5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0" fillId="0" borderId="0" applyFont="0" applyFill="0" applyBorder="0" applyAlignment="0" applyProtection="0"/>
    <xf numFmtId="212" fontId="14" fillId="0" borderId="0">
      <protection locked="0"/>
    </xf>
    <xf numFmtId="0" fontId="28" fillId="0" borderId="0"/>
    <xf numFmtId="193" fontId="14" fillId="0" borderId="0">
      <protection locked="0"/>
    </xf>
    <xf numFmtId="193" fontId="14" fillId="0" borderId="0">
      <protection locked="0"/>
    </xf>
    <xf numFmtId="0" fontId="5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0" fillId="0" borderId="0" applyFont="0" applyFill="0" applyBorder="0" applyAlignment="0" applyProtection="0"/>
    <xf numFmtId="4" fontId="27" fillId="0" borderId="0">
      <protection locked="0"/>
    </xf>
    <xf numFmtId="186" fontId="14" fillId="0" borderId="0">
      <protection locked="0"/>
    </xf>
    <xf numFmtId="0" fontId="51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3" fillId="0" borderId="0"/>
    <xf numFmtId="193" fontId="14" fillId="0" borderId="0">
      <protection locked="0"/>
    </xf>
    <xf numFmtId="0" fontId="54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14" fillId="0" borderId="0" applyFill="0" applyBorder="0" applyAlignment="0"/>
    <xf numFmtId="0" fontId="55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27" fillId="0" borderId="16">
      <protection locked="0"/>
    </xf>
    <xf numFmtId="4" fontId="27" fillId="0" borderId="0">
      <protection locked="0"/>
    </xf>
    <xf numFmtId="0" fontId="4" fillId="0" borderId="0" applyFont="0" applyFill="0" applyBorder="0" applyAlignment="0" applyProtection="0"/>
    <xf numFmtId="213" fontId="25" fillId="0" borderId="0"/>
    <xf numFmtId="0" fontId="4" fillId="0" borderId="0" applyFont="0" applyFill="0" applyBorder="0" applyAlignment="0" applyProtection="0"/>
    <xf numFmtId="214" fontId="27" fillId="0" borderId="0">
      <protection locked="0"/>
    </xf>
    <xf numFmtId="0" fontId="57" fillId="0" borderId="0" applyNumberFormat="0" applyAlignment="0">
      <alignment horizontal="left"/>
    </xf>
    <xf numFmtId="0" fontId="21" fillId="0" borderId="0" applyFont="0" applyFill="0" applyBorder="0" applyAlignment="0" applyProtection="0"/>
    <xf numFmtId="0" fontId="8" fillId="0" borderId="0"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5" fontId="27" fillId="0" borderId="0">
      <protection locked="0"/>
    </xf>
    <xf numFmtId="216" fontId="25" fillId="0" borderId="0"/>
    <xf numFmtId="217" fontId="58" fillId="0" borderId="0">
      <protection locked="0"/>
    </xf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218" fontId="25" fillId="0" borderId="0"/>
    <xf numFmtId="219" fontId="14" fillId="0" borderId="0">
      <protection locked="0"/>
    </xf>
    <xf numFmtId="220" fontId="14" fillId="0" borderId="0">
      <protection locked="0"/>
    </xf>
    <xf numFmtId="0" fontId="59" fillId="0" borderId="0" applyNumberFormat="0" applyAlignment="0">
      <alignment horizontal="left"/>
    </xf>
    <xf numFmtId="221" fontId="15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222" fontId="4" fillId="0" borderId="0">
      <protection locked="0"/>
    </xf>
    <xf numFmtId="0" fontId="8" fillId="0" borderId="0"/>
    <xf numFmtId="38" fontId="61" fillId="5" borderId="0" applyNumberFormat="0" applyBorder="0" applyAlignment="0" applyProtection="0"/>
    <xf numFmtId="0" fontId="62" fillId="0" borderId="0" applyAlignment="0">
      <alignment horizontal="right"/>
    </xf>
    <xf numFmtId="0" fontId="63" fillId="0" borderId="0"/>
    <xf numFmtId="0" fontId="64" fillId="0" borderId="0"/>
    <xf numFmtId="0" fontId="65" fillId="0" borderId="0" applyNumberFormat="0" applyFill="0" applyBorder="0" applyAlignment="0" applyProtection="0"/>
    <xf numFmtId="0" fontId="66" fillId="0" borderId="18" applyNumberFormat="0" applyAlignment="0" applyProtection="0">
      <alignment horizontal="left" vertical="center"/>
    </xf>
    <xf numFmtId="0" fontId="66" fillId="0" borderId="19">
      <alignment horizontal="left" vertical="center"/>
    </xf>
    <xf numFmtId="0" fontId="34" fillId="0" borderId="0">
      <protection locked="0"/>
    </xf>
    <xf numFmtId="0" fontId="34" fillId="0" borderId="0">
      <protection locked="0"/>
    </xf>
    <xf numFmtId="223" fontId="17" fillId="0" borderId="0">
      <protection locked="0"/>
    </xf>
    <xf numFmtId="223" fontId="17" fillId="0" borderId="0">
      <protection locked="0"/>
    </xf>
    <xf numFmtId="0" fontId="67" fillId="0" borderId="0" applyNumberFormat="0" applyFill="0" applyBorder="0" applyAlignment="0" applyProtection="0"/>
    <xf numFmtId="0" fontId="68" fillId="0" borderId="20" applyNumberFormat="0" applyFill="0" applyAlignment="0" applyProtection="0"/>
    <xf numFmtId="0" fontId="69" fillId="0" borderId="0" applyNumberFormat="0" applyFill="0" applyBorder="0" applyAlignment="0" applyProtection="0"/>
    <xf numFmtId="10" fontId="61" fillId="6" borderId="3" applyNumberFormat="0" applyBorder="0" applyAlignment="0" applyProtection="0"/>
    <xf numFmtId="178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70" fillId="0" borderId="21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7" fontId="71" fillId="0" borderId="0"/>
    <xf numFmtId="0" fontId="8" fillId="0" borderId="0"/>
    <xf numFmtId="224" fontId="1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8" fillId="0" borderId="0">
      <protection locked="0"/>
    </xf>
    <xf numFmtId="10" fontId="4" fillId="0" borderId="0" applyFont="0" applyFill="0" applyBorder="0" applyAlignment="0" applyProtection="0"/>
    <xf numFmtId="225" fontId="8" fillId="0" borderId="0">
      <protection locked="0"/>
    </xf>
    <xf numFmtId="30" fontId="73" fillId="0" borderId="0" applyNumberFormat="0" applyFill="0" applyBorder="0" applyAlignment="0" applyProtection="0">
      <alignment horizontal="left"/>
    </xf>
    <xf numFmtId="0" fontId="28" fillId="0" borderId="0"/>
    <xf numFmtId="0" fontId="74" fillId="0" borderId="0">
      <alignment horizontal="center" vertical="center"/>
    </xf>
    <xf numFmtId="0" fontId="70" fillId="0" borderId="0"/>
    <xf numFmtId="40" fontId="75" fillId="0" borderId="0" applyBorder="0">
      <alignment horizontal="right"/>
    </xf>
    <xf numFmtId="0" fontId="4" fillId="0" borderId="0"/>
    <xf numFmtId="0" fontId="4" fillId="0" borderId="0"/>
    <xf numFmtId="0" fontId="76" fillId="5" borderId="0">
      <alignment horizontal="centerContinuous"/>
    </xf>
    <xf numFmtId="0" fontId="77" fillId="0" borderId="0" applyFill="0" applyBorder="0" applyProtection="0">
      <alignment horizontal="centerContinuous" vertical="center"/>
    </xf>
    <xf numFmtId="0" fontId="17" fillId="3" borderId="0" applyFill="0" applyBorder="0" applyProtection="0">
      <alignment horizontal="center" vertical="center"/>
    </xf>
    <xf numFmtId="223" fontId="17" fillId="0" borderId="22">
      <protection locked="0"/>
    </xf>
    <xf numFmtId="0" fontId="5" fillId="0" borderId="23">
      <alignment horizontal="left"/>
    </xf>
    <xf numFmtId="37" fontId="61" fillId="7" borderId="0" applyNumberFormat="0" applyBorder="0" applyAlignment="0" applyProtection="0"/>
    <xf numFmtId="37" fontId="61" fillId="0" borderId="0"/>
    <xf numFmtId="3" fontId="78" fillId="0" borderId="20" applyProtection="0"/>
    <xf numFmtId="226" fontId="28" fillId="0" borderId="0" applyFont="0" applyFill="0" applyBorder="0" applyAlignment="0" applyProtection="0"/>
    <xf numFmtId="227" fontId="28" fillId="0" borderId="0" applyFon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2">
      <alignment horizontal="centerContinuous" vertical="center"/>
    </xf>
    <xf numFmtId="0" fontId="1" fillId="0" borderId="0"/>
    <xf numFmtId="9" fontId="1" fillId="0" borderId="0">
      <alignment vertical="center"/>
    </xf>
    <xf numFmtId="0" fontId="1" fillId="0" borderId="0">
      <alignment vertical="center"/>
    </xf>
    <xf numFmtId="1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" fillId="0" borderId="0"/>
    <xf numFmtId="0" fontId="1" fillId="0" borderId="0"/>
    <xf numFmtId="0" fontId="1" fillId="0" borderId="2">
      <alignment horizontal="centerContinuous" vertical="center"/>
    </xf>
    <xf numFmtId="0" fontId="1" fillId="0" borderId="0"/>
    <xf numFmtId="9" fontId="1" fillId="0" borderId="0">
      <alignment vertical="center"/>
    </xf>
    <xf numFmtId="0" fontId="1" fillId="0" borderId="0">
      <alignment vertical="center"/>
    </xf>
    <xf numFmtId="1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" fillId="0" borderId="0"/>
    <xf numFmtId="0" fontId="1" fillId="0" borderId="0"/>
    <xf numFmtId="0" fontId="1" fillId="0" borderId="0"/>
    <xf numFmtId="0" fontId="1" fillId="0" borderId="2">
      <alignment horizontal="centerContinuous" vertical="center"/>
    </xf>
    <xf numFmtId="10" fontId="1" fillId="0" borderId="0">
      <alignment vertical="center"/>
    </xf>
    <xf numFmtId="0" fontId="1" fillId="0" borderId="0">
      <alignment vertical="center"/>
    </xf>
    <xf numFmtId="9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" fillId="0" borderId="0"/>
    <xf numFmtId="0" fontId="1" fillId="0" borderId="0"/>
    <xf numFmtId="0" fontId="1" fillId="0" borderId="2">
      <alignment horizontal="centerContinuous" vertical="center"/>
    </xf>
    <xf numFmtId="41" fontId="1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" fillId="0" borderId="0"/>
    <xf numFmtId="0" fontId="1" fillId="0" borderId="0"/>
    <xf numFmtId="0" fontId="1" fillId="0" borderId="2">
      <alignment horizontal="centerContinuous" vertical="center"/>
    </xf>
    <xf numFmtId="9" fontId="1" fillId="0" borderId="0">
      <alignment vertical="center"/>
    </xf>
    <xf numFmtId="0" fontId="1" fillId="0" borderId="0">
      <alignment vertical="center"/>
    </xf>
    <xf numFmtId="1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0" fontId="1" fillId="0" borderId="0">
      <alignment vertical="center"/>
    </xf>
    <xf numFmtId="0" fontId="1" fillId="0" borderId="0">
      <alignment vertical="center"/>
    </xf>
    <xf numFmtId="9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3" fontId="1" fillId="0" borderId="0"/>
    <xf numFmtId="0" fontId="1" fillId="0" borderId="0"/>
    <xf numFmtId="0" fontId="1" fillId="0" borderId="0"/>
    <xf numFmtId="0" fontId="1" fillId="0" borderId="2">
      <alignment horizontal="centerContinuous" vertical="center"/>
    </xf>
    <xf numFmtId="41" fontId="1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0" fontId="1" fillId="0" borderId="0"/>
    <xf numFmtId="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4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0" fontId="1" fillId="0" borderId="0">
      <alignment vertical="center"/>
    </xf>
    <xf numFmtId="0" fontId="1" fillId="0" borderId="0">
      <alignment vertical="center"/>
    </xf>
    <xf numFmtId="0" fontId="1" fillId="0" borderId="2">
      <alignment horizontal="centerContinuous" vertical="center"/>
    </xf>
    <xf numFmtId="0" fontId="1" fillId="0" borderId="0"/>
    <xf numFmtId="0" fontId="1" fillId="0" borderId="0"/>
    <xf numFmtId="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4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9" fontId="1" fillId="0" borderId="0">
      <alignment vertical="center"/>
    </xf>
    <xf numFmtId="0" fontId="1" fillId="0" borderId="0">
      <alignment vertical="center"/>
    </xf>
    <xf numFmtId="1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9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0" fontId="14" fillId="0" borderId="0"/>
    <xf numFmtId="0" fontId="14" fillId="0" borderId="0">
      <alignment vertical="center"/>
    </xf>
    <xf numFmtId="9" fontId="102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0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</cellStyleXfs>
  <cellXfs count="1132">
    <xf numFmtId="0" fontId="0" fillId="0" borderId="0" xfId="0" applyAlignment="1">
      <alignment vertical="center"/>
    </xf>
    <xf numFmtId="0" fontId="2" fillId="3" borderId="24" xfId="453" applyNumberFormat="1" applyFont="1" applyFill="1" applyBorder="1" applyAlignment="1">
      <alignment horizontal="center" vertical="center"/>
    </xf>
    <xf numFmtId="0" fontId="2" fillId="3" borderId="2" xfId="453" applyNumberFormat="1" applyFont="1" applyFill="1" applyBorder="1" applyAlignment="1">
      <alignment horizontal="center" vertical="center"/>
    </xf>
    <xf numFmtId="0" fontId="2" fillId="3" borderId="24" xfId="0" applyNumberFormat="1" applyFont="1" applyFill="1" applyBorder="1" applyAlignment="1">
      <alignment horizontal="center" vertical="center"/>
    </xf>
    <xf numFmtId="0" fontId="2" fillId="3" borderId="19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15" xfId="0" applyNumberFormat="1" applyFont="1" applyFill="1" applyBorder="1" applyAlignment="1">
      <alignment horizontal="center" vertical="center" wrapText="1"/>
    </xf>
    <xf numFmtId="0" fontId="2" fillId="3" borderId="0" xfId="453" applyNumberFormat="1" applyFont="1" applyFill="1" applyBorder="1" applyAlignment="1">
      <alignment horizontal="center" vertical="center"/>
    </xf>
    <xf numFmtId="0" fontId="2" fillId="3" borderId="19" xfId="453" applyNumberFormat="1" applyFont="1" applyFill="1" applyBorder="1" applyAlignment="1">
      <alignment horizontal="distributed" vertical="center"/>
    </xf>
    <xf numFmtId="0" fontId="2" fillId="3" borderId="25" xfId="453" applyNumberFormat="1" applyFont="1" applyFill="1" applyBorder="1" applyAlignment="1">
      <alignment horizontal="distributed" vertical="center"/>
    </xf>
    <xf numFmtId="0" fontId="2" fillId="3" borderId="0" xfId="453" applyNumberFormat="1" applyFont="1" applyFill="1" applyBorder="1" applyAlignment="1">
      <alignment horizontal="distributed" vertical="center"/>
    </xf>
    <xf numFmtId="0" fontId="2" fillId="3" borderId="0" xfId="453" applyNumberFormat="1" applyFont="1" applyFill="1" applyBorder="1" applyAlignment="1">
      <alignment vertical="center"/>
    </xf>
    <xf numFmtId="0" fontId="2" fillId="3" borderId="0" xfId="453" applyNumberFormat="1" applyFont="1" applyFill="1" applyAlignment="1">
      <alignment vertical="center"/>
    </xf>
    <xf numFmtId="179" fontId="2" fillId="3" borderId="26" xfId="453" applyNumberFormat="1" applyFont="1" applyFill="1" applyBorder="1" applyAlignment="1">
      <alignment horizontal="right" vertical="center"/>
    </xf>
    <xf numFmtId="179" fontId="2" fillId="3" borderId="14" xfId="453" applyNumberFormat="1" applyFont="1" applyFill="1" applyBorder="1" applyAlignment="1">
      <alignment horizontal="right" vertical="center"/>
    </xf>
    <xf numFmtId="179" fontId="2" fillId="3" borderId="3" xfId="453" applyNumberFormat="1" applyFont="1" applyFill="1" applyBorder="1" applyAlignment="1">
      <alignment horizontal="right" vertical="center"/>
    </xf>
    <xf numFmtId="0" fontId="2" fillId="3" borderId="27" xfId="0" applyNumberFormat="1" applyFont="1" applyFill="1" applyBorder="1" applyAlignment="1">
      <alignment horizontal="center" vertical="center"/>
    </xf>
    <xf numFmtId="0" fontId="2" fillId="3" borderId="26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Alignment="1">
      <alignment horizontal="centerContinuous" vertical="center"/>
    </xf>
    <xf numFmtId="0" fontId="3" fillId="3" borderId="0" xfId="0" applyNumberFormat="1" applyFont="1" applyFill="1" applyBorder="1" applyAlignment="1">
      <alignment horizontal="centerContinuous" vertical="center"/>
    </xf>
    <xf numFmtId="0" fontId="3" fillId="3" borderId="0" xfId="0" applyNumberFormat="1" applyFont="1" applyFill="1" applyAlignment="1">
      <alignment horizontal="center" vertical="center"/>
    </xf>
    <xf numFmtId="179" fontId="2" fillId="3" borderId="27" xfId="453" applyNumberFormat="1" applyFont="1" applyFill="1" applyBorder="1" applyAlignment="1">
      <alignment horizontal="right" vertical="center"/>
    </xf>
    <xf numFmtId="179" fontId="2" fillId="3" borderId="4" xfId="453" applyNumberFormat="1" applyFont="1" applyFill="1" applyBorder="1" applyAlignment="1">
      <alignment horizontal="right" vertical="center"/>
    </xf>
    <xf numFmtId="179" fontId="2" fillId="3" borderId="2" xfId="453" applyNumberFormat="1" applyFont="1" applyFill="1" applyBorder="1" applyAlignment="1">
      <alignment horizontal="right" vertical="center"/>
    </xf>
    <xf numFmtId="0" fontId="2" fillId="3" borderId="0" xfId="0" applyNumberFormat="1" applyFont="1" applyFill="1" applyAlignment="1">
      <alignment vertical="center"/>
    </xf>
    <xf numFmtId="0" fontId="2" fillId="3" borderId="0" xfId="0" applyNumberFormat="1" applyFont="1" applyFill="1" applyBorder="1" applyAlignment="1">
      <alignment vertical="center"/>
    </xf>
    <xf numFmtId="0" fontId="2" fillId="3" borderId="0" xfId="0" applyNumberFormat="1" applyFont="1" applyFill="1" applyBorder="1" applyAlignment="1">
      <alignment horizontal="distributed" vertical="center"/>
    </xf>
    <xf numFmtId="179" fontId="2" fillId="3" borderId="5" xfId="453" applyNumberFormat="1" applyFont="1" applyFill="1" applyBorder="1" applyAlignment="1">
      <alignment horizontal="right" vertical="center"/>
    </xf>
    <xf numFmtId="0" fontId="2" fillId="3" borderId="0" xfId="826" applyNumberFormat="1" applyFont="1" applyFill="1" applyBorder="1" applyAlignment="1">
      <alignment horizontal="left" vertical="center"/>
    </xf>
    <xf numFmtId="0" fontId="2" fillId="3" borderId="0" xfId="835" quotePrefix="1" applyNumberFormat="1" applyFont="1" applyFill="1" applyBorder="1" applyAlignment="1">
      <alignment horizontal="left" vertical="center"/>
    </xf>
    <xf numFmtId="179" fontId="2" fillId="3" borderId="24" xfId="453" applyNumberFormat="1" applyFont="1" applyFill="1" applyBorder="1" applyAlignment="1">
      <alignment horizontal="right" vertical="center"/>
    </xf>
    <xf numFmtId="0" fontId="2" fillId="3" borderId="19" xfId="453" applyNumberFormat="1" applyFont="1" applyFill="1" applyBorder="1" applyAlignment="1">
      <alignment horizontal="centerContinuous" vertical="center"/>
    </xf>
    <xf numFmtId="0" fontId="2" fillId="3" borderId="28" xfId="453" applyNumberFormat="1" applyFont="1" applyFill="1" applyBorder="1" applyAlignment="1">
      <alignment horizontal="distributed" vertical="center"/>
    </xf>
    <xf numFmtId="0" fontId="2" fillId="3" borderId="0" xfId="835" applyNumberFormat="1" applyFont="1" applyFill="1" applyBorder="1" applyAlignment="1">
      <alignment horizontal="left" vertical="center"/>
    </xf>
    <xf numFmtId="0" fontId="2" fillId="3" borderId="0" xfId="0" applyNumberFormat="1" applyFont="1" applyFill="1" applyAlignment="1">
      <alignment horizontal="right" vertical="center"/>
    </xf>
    <xf numFmtId="0" fontId="3" fillId="3" borderId="0" xfId="0" applyNumberFormat="1" applyFont="1" applyFill="1" applyBorder="1" applyAlignment="1">
      <alignment horizontal="center" vertical="center"/>
    </xf>
    <xf numFmtId="0" fontId="42" fillId="0" borderId="0" xfId="831" applyFont="1" applyAlignment="1">
      <alignment vertical="center"/>
    </xf>
    <xf numFmtId="0" fontId="42" fillId="0" borderId="0" xfId="831" applyFont="1" applyAlignment="1">
      <alignment horizontal="distributed" vertical="center"/>
    </xf>
    <xf numFmtId="228" fontId="42" fillId="0" borderId="0" xfId="456" applyFont="1" applyAlignment="1">
      <alignment vertical="center"/>
    </xf>
    <xf numFmtId="0" fontId="80" fillId="0" borderId="0" xfId="831" applyFont="1" applyAlignment="1">
      <alignment horizontal="centerContinuous" vertical="center"/>
    </xf>
    <xf numFmtId="0" fontId="42" fillId="0" borderId="0" xfId="831" applyFont="1" applyAlignment="1">
      <alignment horizontal="centerContinuous" vertical="center"/>
    </xf>
    <xf numFmtId="228" fontId="42" fillId="0" borderId="0" xfId="456" applyFont="1" applyAlignment="1">
      <alignment horizontal="centerContinuous" vertical="center"/>
    </xf>
    <xf numFmtId="49" fontId="81" fillId="0" borderId="0" xfId="831" applyNumberFormat="1" applyFont="1" applyAlignment="1">
      <alignment horizontal="right" vertical="center"/>
    </xf>
    <xf numFmtId="0" fontId="81" fillId="0" borderId="0" xfId="831" applyNumberFormat="1" applyFont="1" applyAlignment="1">
      <alignment horizontal="left" vertical="center"/>
    </xf>
    <xf numFmtId="0" fontId="81" fillId="0" borderId="0" xfId="831" applyFont="1" applyAlignment="1">
      <alignment vertical="center"/>
    </xf>
    <xf numFmtId="0" fontId="82" fillId="0" borderId="0" xfId="831" applyNumberFormat="1" applyFont="1" applyAlignment="1">
      <alignment vertical="center"/>
    </xf>
    <xf numFmtId="0" fontId="81" fillId="0" borderId="0" xfId="831" applyNumberFormat="1" applyFont="1" applyAlignment="1">
      <alignment vertical="center"/>
    </xf>
    <xf numFmtId="228" fontId="81" fillId="0" borderId="0" xfId="456" applyFont="1" applyAlignment="1">
      <alignment vertical="center"/>
    </xf>
    <xf numFmtId="0" fontId="2" fillId="3" borderId="3" xfId="453" applyNumberFormat="1" applyFont="1" applyFill="1" applyBorder="1" applyAlignment="1">
      <alignment horizontal="centerContinuous" vertical="center"/>
    </xf>
    <xf numFmtId="179" fontId="2" fillId="3" borderId="29" xfId="453" applyNumberFormat="1" applyFont="1" applyFill="1" applyBorder="1" applyAlignment="1">
      <alignment horizontal="right" vertical="center"/>
    </xf>
    <xf numFmtId="0" fontId="2" fillId="3" borderId="3" xfId="0" applyNumberFormat="1" applyFont="1" applyFill="1" applyBorder="1" applyAlignment="1">
      <alignment horizontal="centerContinuous" vertical="center"/>
    </xf>
    <xf numFmtId="0" fontId="2" fillId="3" borderId="19" xfId="0" applyNumberFormat="1" applyFont="1" applyFill="1" applyBorder="1" applyAlignment="1">
      <alignment horizontal="centerContinuous" vertical="center"/>
    </xf>
    <xf numFmtId="0" fontId="2" fillId="3" borderId="24" xfId="453" applyNumberFormat="1" applyFont="1" applyFill="1" applyBorder="1" applyAlignment="1">
      <alignment horizontal="centerContinuous" vertical="center" wrapText="1"/>
    </xf>
    <xf numFmtId="0" fontId="2" fillId="3" borderId="3" xfId="453" applyNumberFormat="1" applyFont="1" applyFill="1" applyBorder="1" applyAlignment="1">
      <alignment horizontal="centerContinuous" vertical="center" wrapText="1"/>
    </xf>
    <xf numFmtId="0" fontId="2" fillId="3" borderId="2" xfId="453" applyNumberFormat="1" applyFont="1" applyFill="1" applyBorder="1" applyAlignment="1">
      <alignment horizontal="centerContinuous" vertical="center" wrapText="1"/>
    </xf>
    <xf numFmtId="0" fontId="2" fillId="3" borderId="4" xfId="0" applyNumberFormat="1" applyFont="1" applyFill="1" applyBorder="1" applyAlignment="1">
      <alignment horizontal="distributed" vertical="center"/>
    </xf>
    <xf numFmtId="0" fontId="2" fillId="3" borderId="0" xfId="453" applyNumberFormat="1" applyFont="1" applyFill="1" applyBorder="1" applyAlignment="1">
      <alignment horizontal="centerContinuous" vertical="center" wrapText="1"/>
    </xf>
    <xf numFmtId="0" fontId="2" fillId="3" borderId="27" xfId="453" applyNumberFormat="1" applyFont="1" applyFill="1" applyBorder="1" applyAlignment="1">
      <alignment horizontal="centerContinuous" vertical="center" wrapText="1"/>
    </xf>
    <xf numFmtId="0" fontId="2" fillId="3" borderId="4" xfId="453" applyNumberFormat="1" applyFont="1" applyFill="1" applyBorder="1" applyAlignment="1">
      <alignment horizontal="distributed" vertical="center"/>
    </xf>
    <xf numFmtId="0" fontId="2" fillId="3" borderId="0" xfId="453" applyNumberFormat="1" applyFont="1" applyFill="1" applyBorder="1" applyAlignment="1">
      <alignment horizontal="distributed" vertical="center" shrinkToFit="1"/>
    </xf>
    <xf numFmtId="0" fontId="2" fillId="3" borderId="27" xfId="453" applyNumberFormat="1" applyFont="1" applyFill="1" applyBorder="1" applyAlignment="1">
      <alignment vertical="center"/>
    </xf>
    <xf numFmtId="0" fontId="2" fillId="3" borderId="25" xfId="0" applyNumberFormat="1" applyFont="1" applyFill="1" applyBorder="1" applyAlignment="1">
      <alignment vertical="center"/>
    </xf>
    <xf numFmtId="0" fontId="2" fillId="3" borderId="30" xfId="453" applyNumberFormat="1" applyFont="1" applyFill="1" applyBorder="1" applyAlignment="1">
      <alignment horizontal="distributed" vertical="center"/>
    </xf>
    <xf numFmtId="0" fontId="2" fillId="3" borderId="31" xfId="453" applyNumberFormat="1" applyFont="1" applyFill="1" applyBorder="1" applyAlignment="1">
      <alignment vertical="center"/>
    </xf>
    <xf numFmtId="179" fontId="2" fillId="3" borderId="31" xfId="453" applyNumberFormat="1" applyFont="1" applyFill="1" applyBorder="1" applyAlignment="1">
      <alignment horizontal="right" vertical="center"/>
    </xf>
    <xf numFmtId="179" fontId="2" fillId="3" borderId="15" xfId="453" applyNumberFormat="1" applyFont="1" applyFill="1" applyBorder="1" applyAlignment="1">
      <alignment horizontal="right" vertical="center"/>
    </xf>
    <xf numFmtId="179" fontId="2" fillId="3" borderId="30" xfId="453" applyNumberFormat="1" applyFont="1" applyFill="1" applyBorder="1" applyAlignment="1">
      <alignment horizontal="right" vertical="center"/>
    </xf>
    <xf numFmtId="0" fontId="2" fillId="3" borderId="28" xfId="0" applyNumberFormat="1" applyFont="1" applyFill="1" applyBorder="1" applyAlignment="1">
      <alignment vertical="center"/>
    </xf>
    <xf numFmtId="0" fontId="2" fillId="3" borderId="5" xfId="453" applyNumberFormat="1" applyFont="1" applyFill="1" applyBorder="1" applyAlignment="1">
      <alignment horizontal="distributed" vertical="center"/>
    </xf>
    <xf numFmtId="0" fontId="2" fillId="3" borderId="29" xfId="453" applyNumberFormat="1" applyFont="1" applyFill="1" applyBorder="1" applyAlignment="1">
      <alignment vertical="center"/>
    </xf>
    <xf numFmtId="41" fontId="2" fillId="3" borderId="0" xfId="453" applyFont="1" applyFill="1" applyAlignment="1">
      <alignment vertical="center"/>
    </xf>
    <xf numFmtId="41" fontId="2" fillId="3" borderId="0" xfId="453" applyFont="1" applyFill="1" applyBorder="1" applyAlignment="1">
      <alignment vertical="center"/>
    </xf>
    <xf numFmtId="0" fontId="2" fillId="3" borderId="28" xfId="453" applyNumberFormat="1" applyFont="1" applyFill="1" applyBorder="1" applyAlignment="1">
      <alignment horizontal="distributed" vertical="center" shrinkToFit="1"/>
    </xf>
    <xf numFmtId="0" fontId="2" fillId="3" borderId="25" xfId="453" applyNumberFormat="1" applyFont="1" applyFill="1" applyBorder="1" applyAlignment="1">
      <alignment horizontal="distributed" vertical="center" shrinkToFit="1"/>
    </xf>
    <xf numFmtId="0" fontId="2" fillId="8" borderId="0" xfId="0" applyNumberFormat="1" applyFont="1" applyFill="1" applyAlignment="1">
      <alignment vertical="center"/>
    </xf>
    <xf numFmtId="0" fontId="3" fillId="8" borderId="0" xfId="0" applyNumberFormat="1" applyFont="1" applyFill="1" applyAlignment="1">
      <alignment horizontal="centerContinuous" vertical="center"/>
    </xf>
    <xf numFmtId="0" fontId="3" fillId="8" borderId="0" xfId="0" applyNumberFormat="1" applyFont="1" applyFill="1" applyAlignment="1">
      <alignment horizontal="center" vertical="center"/>
    </xf>
    <xf numFmtId="0" fontId="2" fillId="8" borderId="19" xfId="453" applyNumberFormat="1" applyFont="1" applyFill="1" applyBorder="1" applyAlignment="1">
      <alignment horizontal="centerContinuous" vertical="center" wrapText="1"/>
    </xf>
    <xf numFmtId="0" fontId="2" fillId="8" borderId="0" xfId="453" applyNumberFormat="1" applyFont="1" applyFill="1" applyBorder="1" applyAlignment="1">
      <alignment horizontal="centerContinuous" vertical="center" wrapText="1"/>
    </xf>
    <xf numFmtId="179" fontId="2" fillId="8" borderId="30" xfId="453" applyNumberFormat="1" applyFont="1" applyFill="1" applyBorder="1" applyAlignment="1">
      <alignment horizontal="right" vertical="center"/>
    </xf>
    <xf numFmtId="179" fontId="2" fillId="8" borderId="4" xfId="453" applyNumberFormat="1" applyFont="1" applyFill="1" applyBorder="1" applyAlignment="1">
      <alignment horizontal="right" vertical="center"/>
    </xf>
    <xf numFmtId="179" fontId="2" fillId="8" borderId="5" xfId="453" applyNumberFormat="1" applyFont="1" applyFill="1" applyBorder="1" applyAlignment="1">
      <alignment horizontal="right" vertical="center"/>
    </xf>
    <xf numFmtId="179" fontId="2" fillId="8" borderId="25" xfId="453" applyNumberFormat="1" applyFont="1" applyFill="1" applyBorder="1" applyAlignment="1">
      <alignment horizontal="right" vertical="center"/>
    </xf>
    <xf numFmtId="179" fontId="2" fillId="8" borderId="28" xfId="453" applyNumberFormat="1" applyFont="1" applyFill="1" applyBorder="1" applyAlignment="1">
      <alignment horizontal="right" vertical="center"/>
    </xf>
    <xf numFmtId="179" fontId="2" fillId="8" borderId="19" xfId="453" applyNumberFormat="1" applyFont="1" applyFill="1" applyBorder="1" applyAlignment="1">
      <alignment horizontal="right" vertical="center"/>
    </xf>
    <xf numFmtId="0" fontId="2" fillId="8" borderId="0" xfId="453" applyNumberFormat="1" applyFont="1" applyFill="1" applyBorder="1" applyAlignment="1">
      <alignment horizontal="center" vertical="center"/>
    </xf>
    <xf numFmtId="0" fontId="8" fillId="0" borderId="0" xfId="822" applyFont="1" applyAlignment="1"/>
    <xf numFmtId="49" fontId="84" fillId="3" borderId="0" xfId="822" applyNumberFormat="1" applyFont="1" applyFill="1" applyAlignment="1">
      <alignment horizontal="left" vertical="center"/>
    </xf>
    <xf numFmtId="49" fontId="3" fillId="3" borderId="0" xfId="822" applyNumberFormat="1" applyFont="1" applyFill="1" applyAlignment="1">
      <alignment horizontal="right" vertical="center"/>
    </xf>
    <xf numFmtId="0" fontId="88" fillId="0" borderId="0" xfId="822" applyFont="1"/>
    <xf numFmtId="49" fontId="83" fillId="0" borderId="0" xfId="822" applyNumberFormat="1" applyFont="1" applyAlignment="1">
      <alignment horizontal="right" vertical="center"/>
    </xf>
    <xf numFmtId="0" fontId="8" fillId="3" borderId="0" xfId="822" applyFont="1" applyFill="1"/>
    <xf numFmtId="0" fontId="8" fillId="0" borderId="0" xfId="822" applyFont="1"/>
    <xf numFmtId="49" fontId="83" fillId="0" borderId="0" xfId="822" applyNumberFormat="1" applyFont="1" applyBorder="1" applyAlignment="1">
      <alignment horizontal="right" vertical="center"/>
    </xf>
    <xf numFmtId="0" fontId="89" fillId="0" borderId="0" xfId="822" applyFont="1" applyAlignment="1">
      <alignment horizontal="centerContinuous" vertical="center"/>
    </xf>
    <xf numFmtId="0" fontId="89" fillId="0" borderId="0" xfId="822" applyFont="1" applyBorder="1" applyAlignment="1">
      <alignment horizontal="left" vertical="center" wrapText="1"/>
    </xf>
    <xf numFmtId="0" fontId="90" fillId="0" borderId="0" xfId="454" applyNumberFormat="1" applyFont="1" applyBorder="1" applyAlignment="1">
      <alignment horizontal="center" vertical="center" wrapText="1"/>
    </xf>
    <xf numFmtId="0" fontId="91" fillId="0" borderId="0" xfId="454" applyNumberFormat="1" applyFont="1" applyBorder="1" applyAlignment="1">
      <alignment horizontal="center" vertical="center" wrapText="1"/>
    </xf>
    <xf numFmtId="0" fontId="8" fillId="0" borderId="25" xfId="822" applyFont="1" applyBorder="1"/>
    <xf numFmtId="0" fontId="91" fillId="0" borderId="0" xfId="454" applyNumberFormat="1" applyFont="1" applyBorder="1" applyAlignment="1">
      <alignment horizontal="left" vertical="center" wrapText="1"/>
    </xf>
    <xf numFmtId="0" fontId="92" fillId="3" borderId="0" xfId="825" applyNumberFormat="1" applyFont="1" applyFill="1" applyAlignment="1">
      <alignment horizontal="right" vertical="center"/>
    </xf>
    <xf numFmtId="0" fontId="92" fillId="0" borderId="0" xfId="454" applyNumberFormat="1" applyFont="1" applyBorder="1" applyAlignment="1">
      <alignment horizontal="left" vertical="center" wrapText="1"/>
    </xf>
    <xf numFmtId="0" fontId="93" fillId="0" borderId="0" xfId="454" applyNumberFormat="1" applyFont="1" applyBorder="1" applyAlignment="1">
      <alignment horizontal="center" vertical="center" wrapText="1"/>
    </xf>
    <xf numFmtId="0" fontId="92" fillId="0" borderId="0" xfId="454" applyNumberFormat="1" applyFont="1" applyBorder="1" applyAlignment="1">
      <alignment horizontal="center" vertical="center" wrapText="1"/>
    </xf>
    <xf numFmtId="0" fontId="2" fillId="8" borderId="0" xfId="826" applyNumberFormat="1" applyFont="1" applyFill="1" applyBorder="1" applyAlignment="1">
      <alignment horizontal="left" vertical="center"/>
    </xf>
    <xf numFmtId="0" fontId="2" fillId="8" borderId="0" xfId="0" applyNumberFormat="1" applyFont="1" applyFill="1" applyAlignment="1">
      <alignment horizontal="center" vertical="center"/>
    </xf>
    <xf numFmtId="0" fontId="2" fillId="8" borderId="0" xfId="453" applyNumberFormat="1" applyFont="1" applyFill="1" applyAlignment="1">
      <alignment horizontal="center" vertical="center"/>
    </xf>
    <xf numFmtId="0" fontId="3" fillId="8" borderId="0" xfId="0" applyNumberFormat="1" applyFont="1" applyFill="1" applyBorder="1" applyAlignment="1">
      <alignment horizontal="centerContinuous" vertical="center"/>
    </xf>
    <xf numFmtId="0" fontId="3" fillId="8" borderId="0" xfId="0" quotePrefix="1" applyNumberFormat="1" applyFont="1" applyFill="1" applyAlignment="1">
      <alignment horizontal="centerContinuous" vertical="center"/>
    </xf>
    <xf numFmtId="0" fontId="3" fillId="8" borderId="0" xfId="0" quotePrefix="1" applyNumberFormat="1" applyFont="1" applyFill="1" applyBorder="1" applyAlignment="1">
      <alignment horizontal="centerContinuous" vertical="center"/>
    </xf>
    <xf numFmtId="0" fontId="3" fillId="8" borderId="0" xfId="453" applyNumberFormat="1" applyFont="1" applyFill="1" applyBorder="1" applyAlignment="1">
      <alignment horizontal="centerContinuous" vertical="center"/>
    </xf>
    <xf numFmtId="0" fontId="2" fillId="8" borderId="0" xfId="0" quotePrefix="1" applyNumberFormat="1" applyFont="1" applyFill="1" applyAlignment="1">
      <alignment horizontal="centerContinuous" vertical="center"/>
    </xf>
    <xf numFmtId="0" fontId="2" fillId="8" borderId="0" xfId="0" quotePrefix="1" applyNumberFormat="1" applyFont="1" applyFill="1" applyBorder="1" applyAlignment="1">
      <alignment horizontal="centerContinuous" vertical="center"/>
    </xf>
    <xf numFmtId="0" fontId="2" fillId="8" borderId="0" xfId="453" applyNumberFormat="1" applyFont="1" applyFill="1" applyBorder="1" applyAlignment="1">
      <alignment horizontal="centerContinuous" vertical="center"/>
    </xf>
    <xf numFmtId="0" fontId="2" fillId="8" borderId="0" xfId="0" applyNumberFormat="1" applyFont="1" applyFill="1" applyBorder="1" applyAlignment="1">
      <alignment horizontal="left" vertical="center"/>
    </xf>
    <xf numFmtId="0" fontId="2" fillId="8" borderId="0" xfId="0" applyNumberFormat="1" applyFont="1" applyFill="1" applyAlignment="1">
      <alignment horizontal="left" vertical="center"/>
    </xf>
    <xf numFmtId="0" fontId="2" fillId="8" borderId="0" xfId="0" applyNumberFormat="1" applyFont="1" applyFill="1" applyBorder="1" applyAlignment="1">
      <alignment horizontal="center" vertical="center"/>
    </xf>
    <xf numFmtId="0" fontId="2" fillId="8" borderId="0" xfId="453" applyNumberFormat="1" applyFont="1" applyFill="1" applyAlignment="1">
      <alignment horizontal="left" vertical="center"/>
    </xf>
    <xf numFmtId="0" fontId="2" fillId="8" borderId="0" xfId="453" applyNumberFormat="1" applyFont="1" applyFill="1" applyAlignment="1">
      <alignment horizontal="right" vertical="center"/>
    </xf>
    <xf numFmtId="0" fontId="2" fillId="8" borderId="30" xfId="834" applyNumberFormat="1" applyFont="1" applyFill="1" applyBorder="1" applyAlignment="1">
      <alignment horizontal="center" vertical="center"/>
    </xf>
    <xf numFmtId="0" fontId="2" fillId="8" borderId="25" xfId="834" applyNumberFormat="1" applyFont="1" applyFill="1" applyBorder="1" applyAlignment="1">
      <alignment horizontal="center" vertical="center"/>
    </xf>
    <xf numFmtId="0" fontId="2" fillId="8" borderId="25" xfId="834" applyNumberFormat="1" applyFont="1" applyFill="1" applyBorder="1" applyAlignment="1">
      <alignment horizontal="right" vertical="center"/>
    </xf>
    <xf numFmtId="0" fontId="2" fillId="8" borderId="15" xfId="453" applyNumberFormat="1" applyFont="1" applyFill="1" applyBorder="1" applyAlignment="1">
      <alignment horizontal="center" shrinkToFit="1"/>
    </xf>
    <xf numFmtId="0" fontId="2" fillId="8" borderId="5" xfId="834" applyNumberFormat="1" applyFont="1" applyFill="1" applyBorder="1" applyAlignment="1">
      <alignment horizontal="left" vertical="center"/>
    </xf>
    <xf numFmtId="0" fontId="2" fillId="8" borderId="28" xfId="834" applyNumberFormat="1" applyFont="1" applyFill="1" applyBorder="1" applyAlignment="1">
      <alignment horizontal="left" vertical="center"/>
    </xf>
    <xf numFmtId="0" fontId="2" fillId="8" borderId="28" xfId="834" applyNumberFormat="1" applyFont="1" applyFill="1" applyBorder="1" applyAlignment="1">
      <alignment vertical="center"/>
    </xf>
    <xf numFmtId="0" fontId="2" fillId="8" borderId="14" xfId="453" applyNumberFormat="1" applyFont="1" applyFill="1" applyBorder="1" applyAlignment="1">
      <alignment horizontal="center" vertical="top" shrinkToFit="1"/>
    </xf>
    <xf numFmtId="179" fontId="2" fillId="8" borderId="3" xfId="453" applyNumberFormat="1" applyFont="1" applyFill="1" applyBorder="1" applyAlignment="1">
      <alignment horizontal="right" vertical="center"/>
    </xf>
    <xf numFmtId="0" fontId="2" fillId="8" borderId="19" xfId="0" applyNumberFormat="1" applyFont="1" applyFill="1" applyBorder="1" applyAlignment="1">
      <alignment horizontal="center" vertical="center"/>
    </xf>
    <xf numFmtId="0" fontId="2" fillId="8" borderId="19" xfId="0" applyNumberFormat="1" applyFont="1" applyFill="1" applyBorder="1" applyAlignment="1">
      <alignment horizontal="distributed" vertical="center"/>
    </xf>
    <xf numFmtId="0" fontId="2" fillId="8" borderId="19" xfId="0" quotePrefix="1" applyNumberFormat="1" applyFont="1" applyFill="1" applyBorder="1" applyAlignment="1">
      <alignment horizontal="distributed" vertical="center"/>
    </xf>
    <xf numFmtId="0" fontId="2" fillId="8" borderId="19" xfId="0" quotePrefix="1" applyNumberFormat="1" applyFont="1" applyFill="1" applyBorder="1" applyAlignment="1">
      <alignment horizontal="center" vertical="center"/>
    </xf>
    <xf numFmtId="0" fontId="2" fillId="8" borderId="0" xfId="0" applyNumberFormat="1" applyFont="1" applyFill="1" applyBorder="1" applyAlignment="1">
      <alignment horizontal="distributed" vertical="center" wrapText="1"/>
    </xf>
    <xf numFmtId="0" fontId="2" fillId="8" borderId="2" xfId="0" applyNumberFormat="1" applyFont="1" applyFill="1" applyBorder="1" applyAlignment="1">
      <alignment horizontal="centerContinuous" vertical="center"/>
    </xf>
    <xf numFmtId="0" fontId="2" fillId="8" borderId="28" xfId="0" quotePrefix="1" applyNumberFormat="1" applyFont="1" applyFill="1" applyBorder="1" applyAlignment="1">
      <alignment vertical="center"/>
    </xf>
    <xf numFmtId="0" fontId="2" fillId="8" borderId="5" xfId="0" applyNumberFormat="1" applyFont="1" applyFill="1" applyBorder="1" applyAlignment="1">
      <alignment horizontal="centerContinuous" vertical="center"/>
    </xf>
    <xf numFmtId="0" fontId="2" fillId="8" borderId="19" xfId="0" quotePrefix="1" applyNumberFormat="1" applyFont="1" applyFill="1" applyBorder="1" applyAlignment="1">
      <alignment vertical="center"/>
    </xf>
    <xf numFmtId="0" fontId="1" fillId="8" borderId="0" xfId="828" applyFont="1" applyFill="1" applyAlignment="1">
      <alignment vertical="center"/>
    </xf>
    <xf numFmtId="0" fontId="22" fillId="8" borderId="0" xfId="829" applyFont="1" applyFill="1"/>
    <xf numFmtId="0" fontId="23" fillId="8" borderId="0" xfId="829" applyFont="1" applyFill="1" applyAlignment="1">
      <alignment horizontal="centerContinuous" vertical="center"/>
    </xf>
    <xf numFmtId="0" fontId="23" fillId="8" borderId="0" xfId="828" applyFont="1" applyFill="1" applyBorder="1" applyAlignment="1">
      <alignment horizontal="centerContinuous"/>
    </xf>
    <xf numFmtId="0" fontId="23" fillId="8" borderId="0" xfId="828" applyFont="1" applyFill="1" applyAlignment="1">
      <alignment horizontal="centerContinuous"/>
    </xf>
    <xf numFmtId="41" fontId="23" fillId="8" borderId="0" xfId="806" applyFont="1" applyFill="1" applyBorder="1" applyAlignment="1">
      <alignment horizontal="centerContinuous"/>
    </xf>
    <xf numFmtId="41" fontId="23" fillId="8" borderId="0" xfId="806" applyFont="1" applyFill="1" applyAlignment="1">
      <alignment horizontal="centerContinuous"/>
    </xf>
    <xf numFmtId="0" fontId="23" fillId="8" borderId="0" xfId="828" applyFont="1" applyFill="1"/>
    <xf numFmtId="0" fontId="22" fillId="8" borderId="0" xfId="829" applyFont="1" applyFill="1" applyBorder="1" applyAlignment="1">
      <alignment horizontal="left" vertical="center"/>
    </xf>
    <xf numFmtId="0" fontId="22" fillId="8" borderId="0" xfId="829" applyFont="1" applyFill="1" applyAlignment="1">
      <alignment vertical="center"/>
    </xf>
    <xf numFmtId="0" fontId="22" fillId="8" borderId="0" xfId="829" applyFont="1" applyFill="1" applyAlignment="1">
      <alignment horizontal="left" vertical="center"/>
    </xf>
    <xf numFmtId="0" fontId="22" fillId="8" borderId="0" xfId="829" applyFont="1" applyFill="1" applyBorder="1" applyAlignment="1">
      <alignment vertical="center"/>
    </xf>
    <xf numFmtId="178" fontId="22" fillId="8" borderId="0" xfId="808" applyFont="1" applyFill="1" applyAlignment="1">
      <alignment vertical="center"/>
    </xf>
    <xf numFmtId="231" fontId="22" fillId="8" borderId="0" xfId="808" applyNumberFormat="1" applyFont="1" applyFill="1" applyAlignment="1">
      <alignment vertical="center"/>
    </xf>
    <xf numFmtId="0" fontId="22" fillId="8" borderId="0" xfId="829" quotePrefix="1" applyFont="1" applyFill="1" applyAlignment="1">
      <alignment horizontal="right" vertical="center"/>
    </xf>
    <xf numFmtId="0" fontId="1" fillId="8" borderId="2" xfId="829" applyFont="1" applyFill="1" applyBorder="1" applyAlignment="1">
      <alignment horizontal="centerContinuous" vertical="center"/>
    </xf>
    <xf numFmtId="0" fontId="1" fillId="8" borderId="32" xfId="829" applyFont="1" applyFill="1" applyBorder="1" applyAlignment="1">
      <alignment horizontal="centerContinuous" vertical="center"/>
    </xf>
    <xf numFmtId="0" fontId="1" fillId="8" borderId="2" xfId="829" applyFont="1" applyFill="1" applyBorder="1" applyAlignment="1">
      <alignment horizontal="center" vertical="center"/>
    </xf>
    <xf numFmtId="0" fontId="1" fillId="8" borderId="19" xfId="829" quotePrefix="1" applyFont="1" applyFill="1" applyBorder="1" applyAlignment="1">
      <alignment horizontal="distributed" vertical="center"/>
    </xf>
    <xf numFmtId="0" fontId="1" fillId="8" borderId="24" xfId="829" applyFont="1" applyFill="1" applyBorder="1" applyAlignment="1">
      <alignment horizontal="center" vertical="center"/>
    </xf>
    <xf numFmtId="178" fontId="1" fillId="8" borderId="33" xfId="808" applyFont="1" applyFill="1" applyBorder="1" applyAlignment="1">
      <alignment horizontal="center" vertical="center"/>
    </xf>
    <xf numFmtId="231" fontId="1" fillId="8" borderId="3" xfId="808" applyNumberFormat="1" applyFont="1" applyFill="1" applyBorder="1" applyAlignment="1">
      <alignment horizontal="center" vertical="center"/>
    </xf>
    <xf numFmtId="0" fontId="1" fillId="8" borderId="34" xfId="829" applyFont="1" applyFill="1" applyBorder="1" applyAlignment="1">
      <alignment horizontal="center" vertical="center"/>
    </xf>
    <xf numFmtId="0" fontId="1" fillId="8" borderId="0" xfId="829" applyFont="1" applyFill="1"/>
    <xf numFmtId="0" fontId="22" fillId="8" borderId="2" xfId="830" applyFont="1" applyFill="1" applyBorder="1" applyAlignment="1">
      <alignment horizontal="left" vertical="center"/>
    </xf>
    <xf numFmtId="0" fontId="22" fillId="8" borderId="32" xfId="830" applyFont="1" applyFill="1" applyBorder="1" applyAlignment="1">
      <alignment horizontal="left" vertical="center"/>
    </xf>
    <xf numFmtId="0" fontId="22" fillId="8" borderId="19" xfId="833" applyFont="1" applyFill="1" applyBorder="1" applyAlignment="1">
      <alignment horizontal="distributed" vertical="center"/>
    </xf>
    <xf numFmtId="0" fontId="22" fillId="8" borderId="24" xfId="830" applyFont="1" applyFill="1" applyBorder="1" applyAlignment="1">
      <alignment horizontal="distributed" vertical="center"/>
    </xf>
    <xf numFmtId="178" fontId="22" fillId="8" borderId="33" xfId="808" applyFont="1" applyFill="1" applyBorder="1" applyAlignment="1">
      <alignment vertical="center"/>
    </xf>
    <xf numFmtId="231" fontId="22" fillId="8" borderId="3" xfId="808" applyNumberFormat="1" applyFont="1" applyFill="1" applyBorder="1" applyAlignment="1">
      <alignment vertical="center"/>
    </xf>
    <xf numFmtId="0" fontId="22" fillId="8" borderId="34" xfId="830" applyFont="1" applyFill="1" applyBorder="1" applyAlignment="1">
      <alignment vertical="center"/>
    </xf>
    <xf numFmtId="0" fontId="22" fillId="8" borderId="0" xfId="830" applyFont="1" applyFill="1"/>
    <xf numFmtId="0" fontId="22" fillId="8" borderId="35" xfId="830" applyFont="1" applyFill="1" applyBorder="1" applyAlignment="1">
      <alignment horizontal="left" vertical="center"/>
    </xf>
    <xf numFmtId="0" fontId="22" fillId="8" borderId="36" xfId="830" applyFont="1" applyFill="1" applyBorder="1" applyAlignment="1">
      <alignment horizontal="left" vertical="center"/>
    </xf>
    <xf numFmtId="0" fontId="22" fillId="8" borderId="37" xfId="833" applyFont="1" applyFill="1" applyBorder="1" applyAlignment="1">
      <alignment horizontal="distributed" vertical="center"/>
    </xf>
    <xf numFmtId="0" fontId="22" fillId="8" borderId="38" xfId="830" applyFont="1" applyFill="1" applyBorder="1" applyAlignment="1">
      <alignment horizontal="distributed" vertical="center"/>
    </xf>
    <xf numFmtId="178" fontId="22" fillId="8" borderId="39" xfId="808" applyFont="1" applyFill="1" applyBorder="1" applyAlignment="1">
      <alignment vertical="center"/>
    </xf>
    <xf numFmtId="231" fontId="22" fillId="8" borderId="15" xfId="808" applyNumberFormat="1" applyFont="1" applyFill="1" applyBorder="1" applyAlignment="1">
      <alignment vertical="center"/>
    </xf>
    <xf numFmtId="0" fontId="22" fillId="8" borderId="40" xfId="830" applyFont="1" applyFill="1" applyBorder="1" applyAlignment="1">
      <alignment vertical="center"/>
    </xf>
    <xf numFmtId="0" fontId="22" fillId="8" borderId="4" xfId="830" applyFont="1" applyFill="1" applyBorder="1" applyAlignment="1">
      <alignment horizontal="left" vertical="center"/>
    </xf>
    <xf numFmtId="0" fontId="22" fillId="8" borderId="41" xfId="830" applyFont="1" applyFill="1" applyBorder="1" applyAlignment="1">
      <alignment horizontal="left" vertical="center"/>
    </xf>
    <xf numFmtId="0" fontId="22" fillId="8" borderId="0" xfId="833" applyFont="1" applyFill="1" applyBorder="1" applyAlignment="1">
      <alignment horizontal="distributed" vertical="center"/>
    </xf>
    <xf numFmtId="0" fontId="22" fillId="8" borderId="27" xfId="830" applyFont="1" applyFill="1" applyBorder="1" applyAlignment="1">
      <alignment horizontal="distributed" vertical="center"/>
    </xf>
    <xf numFmtId="178" fontId="22" fillId="8" borderId="42" xfId="808" applyFont="1" applyFill="1" applyBorder="1" applyAlignment="1">
      <alignment vertical="center"/>
    </xf>
    <xf numFmtId="231" fontId="22" fillId="8" borderId="26" xfId="808" applyNumberFormat="1" applyFont="1" applyFill="1" applyBorder="1" applyAlignment="1">
      <alignment vertical="center"/>
    </xf>
    <xf numFmtId="0" fontId="22" fillId="8" borderId="43" xfId="830" applyFont="1" applyFill="1" applyBorder="1" applyAlignment="1">
      <alignment vertical="center"/>
    </xf>
    <xf numFmtId="178" fontId="1" fillId="8" borderId="42" xfId="808" applyFont="1" applyFill="1" applyBorder="1" applyAlignment="1">
      <alignment vertical="center"/>
    </xf>
    <xf numFmtId="0" fontId="22" fillId="8" borderId="43" xfId="830" applyFont="1" applyFill="1" applyBorder="1" applyAlignment="1">
      <alignment horizontal="center" vertical="center"/>
    </xf>
    <xf numFmtId="0" fontId="22" fillId="8" borderId="44" xfId="830" applyFont="1" applyFill="1" applyBorder="1" applyAlignment="1">
      <alignment horizontal="left" vertical="center"/>
    </xf>
    <xf numFmtId="0" fontId="22" fillId="8" borderId="45" xfId="830" applyFont="1" applyFill="1" applyBorder="1" applyAlignment="1">
      <alignment horizontal="left" vertical="center"/>
    </xf>
    <xf numFmtId="0" fontId="22" fillId="8" borderId="12" xfId="833" applyFont="1" applyFill="1" applyBorder="1" applyAlignment="1">
      <alignment horizontal="distributed" vertical="center"/>
    </xf>
    <xf numFmtId="0" fontId="22" fillId="8" borderId="46" xfId="830" applyFont="1" applyFill="1" applyBorder="1" applyAlignment="1">
      <alignment horizontal="distributed" vertical="center"/>
    </xf>
    <xf numFmtId="178" fontId="1" fillId="8" borderId="47" xfId="808" applyFont="1" applyFill="1" applyBorder="1" applyAlignment="1">
      <alignment vertical="center"/>
    </xf>
    <xf numFmtId="231" fontId="22" fillId="8" borderId="14" xfId="808" applyNumberFormat="1" applyFont="1" applyFill="1" applyBorder="1" applyAlignment="1">
      <alignment vertical="center"/>
    </xf>
    <xf numFmtId="178" fontId="1" fillId="8" borderId="33" xfId="808" applyFont="1" applyFill="1" applyBorder="1" applyAlignment="1">
      <alignment vertical="center"/>
    </xf>
    <xf numFmtId="178" fontId="1" fillId="8" borderId="39" xfId="808" applyFont="1" applyFill="1" applyBorder="1" applyAlignment="1">
      <alignment vertical="center"/>
    </xf>
    <xf numFmtId="0" fontId="22" fillId="8" borderId="0" xfId="830" applyFont="1" applyFill="1" applyBorder="1"/>
    <xf numFmtId="0" fontId="22" fillId="8" borderId="48" xfId="830" applyFont="1" applyFill="1" applyBorder="1" applyAlignment="1">
      <alignment vertical="center"/>
    </xf>
    <xf numFmtId="178" fontId="22" fillId="8" borderId="47" xfId="808" applyFont="1" applyFill="1" applyBorder="1" applyAlignment="1">
      <alignment vertical="center"/>
    </xf>
    <xf numFmtId="178" fontId="22" fillId="8" borderId="3" xfId="808" applyNumberFormat="1" applyFont="1" applyFill="1" applyBorder="1" applyAlignment="1">
      <alignment vertical="center"/>
    </xf>
    <xf numFmtId="0" fontId="1" fillId="8" borderId="0" xfId="829" applyFont="1" applyFill="1" applyBorder="1" applyAlignment="1">
      <alignment horizontal="left" vertical="center"/>
    </xf>
    <xf numFmtId="0" fontId="1" fillId="8" borderId="0" xfId="829" applyFont="1" applyFill="1" applyAlignment="1">
      <alignment horizontal="left" vertical="center"/>
    </xf>
    <xf numFmtId="0" fontId="1" fillId="8" borderId="0" xfId="829" applyFont="1" applyFill="1" applyBorder="1" applyAlignment="1">
      <alignment vertical="center"/>
    </xf>
    <xf numFmtId="0" fontId="1" fillId="8" borderId="0" xfId="829" applyFont="1" applyFill="1" applyAlignment="1">
      <alignment vertical="center"/>
    </xf>
    <xf numFmtId="178" fontId="1" fillId="8" borderId="0" xfId="808" applyFont="1" applyFill="1" applyAlignment="1">
      <alignment vertical="center"/>
    </xf>
    <xf numFmtId="231" fontId="1" fillId="8" borderId="0" xfId="808" applyNumberFormat="1" applyFont="1" applyFill="1" applyAlignment="1">
      <alignment vertical="center"/>
    </xf>
    <xf numFmtId="0" fontId="22" fillId="8" borderId="0" xfId="826" applyNumberFormat="1" applyFont="1" applyFill="1" applyAlignment="1">
      <alignment horizontal="left" vertical="center"/>
    </xf>
    <xf numFmtId="0" fontId="22" fillId="8" borderId="0" xfId="824" applyNumberFormat="1" applyFont="1" applyFill="1" applyAlignment="1">
      <alignment vertical="center"/>
    </xf>
    <xf numFmtId="0" fontId="23" fillId="8" borderId="0" xfId="826" applyNumberFormat="1" applyFont="1" applyFill="1" applyAlignment="1">
      <alignment horizontal="centerContinuous" vertical="center"/>
    </xf>
    <xf numFmtId="0" fontId="23" fillId="8" borderId="0" xfId="824" applyNumberFormat="1" applyFont="1" applyFill="1" applyAlignment="1">
      <alignment horizontal="centerContinuous" vertical="center"/>
    </xf>
    <xf numFmtId="0" fontId="23" fillId="8" borderId="0" xfId="824" applyNumberFormat="1" applyFont="1" applyFill="1" applyAlignment="1">
      <alignment horizontal="center" vertical="center"/>
    </xf>
    <xf numFmtId="0" fontId="23" fillId="8" borderId="0" xfId="824" applyNumberFormat="1" applyFont="1" applyFill="1" applyAlignment="1">
      <alignment vertical="center"/>
    </xf>
    <xf numFmtId="0" fontId="22" fillId="8" borderId="2" xfId="824" applyNumberFormat="1" applyFont="1" applyFill="1" applyBorder="1" applyAlignment="1">
      <alignment vertical="center"/>
    </xf>
    <xf numFmtId="0" fontId="22" fillId="8" borderId="19" xfId="824" applyNumberFormat="1" applyFont="1" applyFill="1" applyBorder="1" applyAlignment="1">
      <alignment horizontal="center" vertical="center"/>
    </xf>
    <xf numFmtId="0" fontId="22" fillId="8" borderId="19" xfId="824" applyNumberFormat="1" applyFont="1" applyFill="1" applyBorder="1" applyAlignment="1">
      <alignment vertical="center"/>
    </xf>
    <xf numFmtId="0" fontId="22" fillId="8" borderId="3" xfId="824" applyNumberFormat="1" applyFont="1" applyFill="1" applyBorder="1" applyAlignment="1">
      <alignment horizontal="center" vertical="center" wrapText="1"/>
    </xf>
    <xf numFmtId="0" fontId="22" fillId="8" borderId="3" xfId="824" applyNumberFormat="1" applyFont="1" applyFill="1" applyBorder="1" applyAlignment="1">
      <alignment horizontal="center" vertical="center"/>
    </xf>
    <xf numFmtId="0" fontId="22" fillId="8" borderId="30" xfId="824" applyNumberFormat="1" applyFont="1" applyFill="1" applyBorder="1" applyAlignment="1">
      <alignment vertical="center"/>
    </xf>
    <xf numFmtId="0" fontId="22" fillId="8" borderId="25" xfId="824" applyNumberFormat="1" applyFont="1" applyFill="1" applyBorder="1" applyAlignment="1">
      <alignment vertical="center"/>
    </xf>
    <xf numFmtId="0" fontId="22" fillId="8" borderId="31" xfId="824" applyNumberFormat="1" applyFont="1" applyFill="1" applyBorder="1" applyAlignment="1">
      <alignment vertical="center"/>
    </xf>
    <xf numFmtId="0" fontId="22" fillId="8" borderId="27" xfId="824" applyNumberFormat="1" applyFont="1" applyFill="1" applyBorder="1" applyAlignment="1">
      <alignment vertical="center"/>
    </xf>
    <xf numFmtId="0" fontId="22" fillId="8" borderId="4" xfId="824" applyNumberFormat="1" applyFont="1" applyFill="1" applyBorder="1" applyAlignment="1">
      <alignment vertical="center"/>
    </xf>
    <xf numFmtId="0" fontId="22" fillId="8" borderId="0" xfId="824" applyNumberFormat="1" applyFont="1" applyFill="1" applyBorder="1" applyAlignment="1">
      <alignment horizontal="distributed" vertical="center"/>
    </xf>
    <xf numFmtId="179" fontId="22" fillId="8" borderId="27" xfId="824" applyNumberFormat="1" applyFont="1" applyFill="1" applyBorder="1" applyAlignment="1">
      <alignment horizontal="center" vertical="center"/>
    </xf>
    <xf numFmtId="0" fontId="22" fillId="8" borderId="27" xfId="824" applyNumberFormat="1" applyFont="1" applyFill="1" applyBorder="1" applyAlignment="1">
      <alignment horizontal="center" vertical="center"/>
    </xf>
    <xf numFmtId="0" fontId="22" fillId="8" borderId="5" xfId="824" applyNumberFormat="1" applyFont="1" applyFill="1" applyBorder="1" applyAlignment="1">
      <alignment vertical="center"/>
    </xf>
    <xf numFmtId="0" fontId="22" fillId="8" borderId="28" xfId="824" applyNumberFormat="1" applyFont="1" applyFill="1" applyBorder="1" applyAlignment="1">
      <alignment horizontal="distributed" vertical="center"/>
    </xf>
    <xf numFmtId="0" fontId="22" fillId="8" borderId="29" xfId="824" applyNumberFormat="1" applyFont="1" applyFill="1" applyBorder="1" applyAlignment="1">
      <alignment vertical="center"/>
    </xf>
    <xf numFmtId="0" fontId="22" fillId="8" borderId="29" xfId="824" applyNumberFormat="1" applyFont="1" applyFill="1" applyBorder="1" applyAlignment="1">
      <alignment horizontal="center" vertical="center"/>
    </xf>
    <xf numFmtId="0" fontId="22" fillId="8" borderId="0" xfId="824" applyFont="1" applyFill="1" applyBorder="1" applyAlignment="1">
      <alignment vertical="center"/>
    </xf>
    <xf numFmtId="0" fontId="2" fillId="8" borderId="0" xfId="826" applyNumberFormat="1" applyFont="1" applyFill="1" applyAlignment="1">
      <alignment horizontal="left" vertical="center"/>
    </xf>
    <xf numFmtId="0" fontId="2" fillId="8" borderId="0" xfId="826" quotePrefix="1" applyNumberFormat="1" applyFont="1" applyFill="1" applyAlignment="1">
      <alignment horizontal="left" vertical="center"/>
    </xf>
    <xf numFmtId="0" fontId="2" fillId="8" borderId="0" xfId="826" applyNumberFormat="1" applyFont="1" applyFill="1" applyAlignment="1">
      <alignment vertical="center"/>
    </xf>
    <xf numFmtId="0" fontId="2" fillId="8" borderId="0" xfId="826" applyNumberFormat="1" applyFont="1" applyFill="1" applyBorder="1" applyAlignment="1">
      <alignment vertical="center"/>
    </xf>
    <xf numFmtId="0" fontId="2" fillId="8" borderId="0" xfId="807" applyNumberFormat="1" applyFont="1" applyFill="1" applyAlignment="1">
      <alignment vertical="center"/>
    </xf>
    <xf numFmtId="0" fontId="3" fillId="8" borderId="0" xfId="826" applyNumberFormat="1" applyFont="1" applyFill="1" applyAlignment="1">
      <alignment horizontal="centerContinuous" vertical="center"/>
    </xf>
    <xf numFmtId="0" fontId="2" fillId="8" borderId="0" xfId="826" applyNumberFormat="1" applyFont="1" applyFill="1" applyAlignment="1">
      <alignment horizontal="centerContinuous" vertical="center"/>
    </xf>
    <xf numFmtId="0" fontId="2" fillId="8" borderId="0" xfId="826" quotePrefix="1" applyNumberFormat="1" applyFont="1" applyFill="1" applyBorder="1" applyAlignment="1">
      <alignment horizontal="left" vertical="center"/>
    </xf>
    <xf numFmtId="0" fontId="2" fillId="8" borderId="0" xfId="826" quotePrefix="1" applyNumberFormat="1" applyFont="1" applyFill="1" applyBorder="1" applyAlignment="1">
      <alignment horizontal="center" vertical="center"/>
    </xf>
    <xf numFmtId="0" fontId="2" fillId="8" borderId="0" xfId="807" applyNumberFormat="1" applyFont="1" applyFill="1" applyBorder="1" applyAlignment="1">
      <alignment horizontal="right" vertical="center"/>
    </xf>
    <xf numFmtId="0" fontId="2" fillId="8" borderId="30" xfId="826" applyNumberFormat="1" applyFont="1" applyFill="1" applyBorder="1" applyAlignment="1">
      <alignment vertical="center"/>
    </xf>
    <xf numFmtId="0" fontId="2" fillId="8" borderId="25" xfId="826" applyNumberFormat="1" applyFont="1" applyFill="1" applyBorder="1" applyAlignment="1">
      <alignment horizontal="center" vertical="center"/>
    </xf>
    <xf numFmtId="0" fontId="2" fillId="8" borderId="31" xfId="826" applyNumberFormat="1" applyFont="1" applyFill="1" applyBorder="1" applyAlignment="1">
      <alignment horizontal="center" vertical="center"/>
    </xf>
    <xf numFmtId="0" fontId="2" fillId="8" borderId="15" xfId="826" applyNumberFormat="1" applyFont="1" applyFill="1" applyBorder="1" applyAlignment="1">
      <alignment horizontal="centerContinuous" vertical="center"/>
    </xf>
    <xf numFmtId="0" fontId="2" fillId="8" borderId="5" xfId="826" applyNumberFormat="1" applyFont="1" applyFill="1" applyBorder="1" applyAlignment="1">
      <alignment vertical="center"/>
    </xf>
    <xf numFmtId="0" fontId="2" fillId="8" borderId="28" xfId="826" applyNumberFormat="1" applyFont="1" applyFill="1" applyBorder="1" applyAlignment="1">
      <alignment horizontal="center" vertical="center"/>
    </xf>
    <xf numFmtId="0" fontId="2" fillId="8" borderId="29" xfId="826" applyNumberFormat="1" applyFont="1" applyFill="1" applyBorder="1" applyAlignment="1">
      <alignment horizontal="center" vertical="center"/>
    </xf>
    <xf numFmtId="0" fontId="2" fillId="8" borderId="3" xfId="826" applyNumberFormat="1" applyFont="1" applyFill="1" applyBorder="1" applyAlignment="1">
      <alignment horizontal="centerContinuous" vertical="center"/>
    </xf>
    <xf numFmtId="0" fontId="2" fillId="8" borderId="4" xfId="826" applyNumberFormat="1" applyFont="1" applyFill="1" applyBorder="1" applyAlignment="1">
      <alignment vertical="center"/>
    </xf>
    <xf numFmtId="0" fontId="2" fillId="8" borderId="0" xfId="826" applyNumberFormat="1" applyFont="1" applyFill="1" applyBorder="1" applyAlignment="1">
      <alignment horizontal="center" vertical="center"/>
    </xf>
    <xf numFmtId="0" fontId="2" fillId="8" borderId="4" xfId="826" applyNumberFormat="1" applyFont="1" applyFill="1" applyBorder="1" applyAlignment="1">
      <alignment horizontal="center" vertical="center"/>
    </xf>
    <xf numFmtId="0" fontId="2" fillId="8" borderId="27" xfId="826" applyNumberFormat="1" applyFont="1" applyFill="1" applyBorder="1" applyAlignment="1">
      <alignment horizontal="center" vertical="center"/>
    </xf>
    <xf numFmtId="0" fontId="2" fillId="8" borderId="26" xfId="826" applyNumberFormat="1" applyFont="1" applyFill="1" applyBorder="1" applyAlignment="1">
      <alignment horizontal="centerContinuous" vertical="center"/>
    </xf>
    <xf numFmtId="0" fontId="2" fillId="8" borderId="26" xfId="826" applyNumberFormat="1" applyFont="1" applyFill="1" applyBorder="1" applyAlignment="1">
      <alignment horizontal="center" vertical="center"/>
    </xf>
    <xf numFmtId="0" fontId="2" fillId="8" borderId="26" xfId="807" applyNumberFormat="1" applyFont="1" applyFill="1" applyBorder="1" applyAlignment="1">
      <alignment horizontal="center" vertical="center"/>
    </xf>
    <xf numFmtId="0" fontId="2" fillId="8" borderId="27" xfId="826" applyNumberFormat="1" applyFont="1" applyFill="1" applyBorder="1" applyAlignment="1">
      <alignment vertical="center"/>
    </xf>
    <xf numFmtId="0" fontId="2" fillId="8" borderId="0" xfId="0" applyNumberFormat="1" applyFont="1" applyFill="1" applyBorder="1" applyAlignment="1">
      <alignment horizontal="distributed" vertical="center"/>
    </xf>
    <xf numFmtId="0" fontId="2" fillId="8" borderId="0" xfId="826" applyNumberFormat="1" applyFont="1" applyFill="1" applyBorder="1" applyAlignment="1">
      <alignment horizontal="distributed" vertical="center" shrinkToFit="1"/>
    </xf>
    <xf numFmtId="179" fontId="2" fillId="8" borderId="26" xfId="453" applyNumberFormat="1" applyFont="1" applyFill="1" applyBorder="1" applyAlignment="1">
      <alignment horizontal="right" vertical="center"/>
    </xf>
    <xf numFmtId="179" fontId="2" fillId="8" borderId="0" xfId="826" applyNumberFormat="1" applyFont="1" applyFill="1" applyAlignment="1">
      <alignment horizontal="center" vertical="center"/>
    </xf>
    <xf numFmtId="179" fontId="2" fillId="8" borderId="0" xfId="826" applyNumberFormat="1" applyFont="1" applyFill="1" applyBorder="1" applyAlignment="1">
      <alignment horizontal="center" vertical="center"/>
    </xf>
    <xf numFmtId="0" fontId="2" fillId="8" borderId="0" xfId="826" applyNumberFormat="1" applyFont="1" applyFill="1" applyBorder="1" applyAlignment="1">
      <alignment horizontal="distributed" vertical="center"/>
    </xf>
    <xf numFmtId="0" fontId="2" fillId="8" borderId="28" xfId="0" applyNumberFormat="1" applyFont="1" applyFill="1" applyBorder="1" applyAlignment="1">
      <alignment horizontal="distributed" vertical="center"/>
    </xf>
    <xf numFmtId="0" fontId="2" fillId="8" borderId="28" xfId="826" applyNumberFormat="1" applyFont="1" applyFill="1" applyBorder="1" applyAlignment="1">
      <alignment vertical="center"/>
    </xf>
    <xf numFmtId="0" fontId="2" fillId="8" borderId="29" xfId="826" applyNumberFormat="1" applyFont="1" applyFill="1" applyBorder="1" applyAlignment="1">
      <alignment vertical="center"/>
    </xf>
    <xf numFmtId="0" fontId="2" fillId="8" borderId="14" xfId="453" applyNumberFormat="1" applyFont="1" applyFill="1" applyBorder="1" applyAlignment="1">
      <alignment horizontal="centerContinuous" vertical="center"/>
    </xf>
    <xf numFmtId="0" fontId="2" fillId="8" borderId="14" xfId="826" applyNumberFormat="1" applyFont="1" applyFill="1" applyBorder="1" applyAlignment="1">
      <alignment horizontal="centerContinuous" vertical="center"/>
    </xf>
    <xf numFmtId="0" fontId="22" fillId="8" borderId="0" xfId="835" applyNumberFormat="1" applyFont="1" applyFill="1" applyBorder="1" applyAlignment="1">
      <alignment horizontal="left" vertical="center"/>
    </xf>
    <xf numFmtId="0" fontId="22" fillId="8" borderId="0" xfId="835" quotePrefix="1" applyNumberFormat="1" applyFont="1" applyFill="1" applyAlignment="1">
      <alignment horizontal="left" vertical="center"/>
    </xf>
    <xf numFmtId="0" fontId="22" fillId="8" borderId="0" xfId="835" applyNumberFormat="1" applyFont="1" applyFill="1" applyAlignment="1">
      <alignment vertical="center"/>
    </xf>
    <xf numFmtId="0" fontId="22" fillId="8" borderId="0" xfId="453" quotePrefix="1" applyNumberFormat="1" applyFont="1" applyFill="1" applyBorder="1" applyAlignment="1">
      <alignment horizontal="left" vertical="center"/>
    </xf>
    <xf numFmtId="0" fontId="23" fillId="8" borderId="0" xfId="835" applyNumberFormat="1" applyFont="1" applyFill="1" applyBorder="1" applyAlignment="1">
      <alignment horizontal="centerContinuous" vertical="center"/>
    </xf>
    <xf numFmtId="0" fontId="22" fillId="8" borderId="0" xfId="835" applyNumberFormat="1" applyFont="1" applyFill="1" applyAlignment="1">
      <alignment horizontal="centerContinuous" vertical="center"/>
    </xf>
    <xf numFmtId="0" fontId="22" fillId="8" borderId="0" xfId="453" applyNumberFormat="1" applyFont="1" applyFill="1" applyBorder="1" applyAlignment="1">
      <alignment horizontal="centerContinuous" vertical="center"/>
    </xf>
    <xf numFmtId="0" fontId="22" fillId="8" borderId="0" xfId="835" applyNumberFormat="1" applyFont="1" applyFill="1" applyBorder="1" applyAlignment="1">
      <alignment horizontal="centerContinuous" vertical="center"/>
    </xf>
    <xf numFmtId="0" fontId="22" fillId="8" borderId="0" xfId="827" applyNumberFormat="1" applyFont="1" applyFill="1" applyAlignment="1">
      <alignment vertical="center"/>
    </xf>
    <xf numFmtId="0" fontId="24" fillId="8" borderId="0" xfId="835" applyNumberFormat="1" applyFont="1" applyFill="1" applyAlignment="1">
      <alignment horizontal="centerContinuous" vertical="center"/>
    </xf>
    <xf numFmtId="0" fontId="24" fillId="8" borderId="0" xfId="453" applyNumberFormat="1" applyFont="1" applyFill="1" applyBorder="1" applyAlignment="1">
      <alignment horizontal="centerContinuous" vertical="center"/>
    </xf>
    <xf numFmtId="0" fontId="22" fillId="8" borderId="2" xfId="835" applyNumberFormat="1" applyFont="1" applyFill="1" applyBorder="1" applyAlignment="1">
      <alignment horizontal="centerContinuous" vertical="center"/>
    </xf>
    <xf numFmtId="0" fontId="22" fillId="8" borderId="24" xfId="835" applyNumberFormat="1" applyFont="1" applyFill="1" applyBorder="1" applyAlignment="1">
      <alignment horizontal="centerContinuous" vertical="center"/>
    </xf>
    <xf numFmtId="0" fontId="22" fillId="8" borderId="19" xfId="453" applyNumberFormat="1" applyFont="1" applyFill="1" applyBorder="1" applyAlignment="1">
      <alignment horizontal="centerContinuous" vertical="center"/>
    </xf>
    <xf numFmtId="0" fontId="22" fillId="8" borderId="3" xfId="835" applyNumberFormat="1" applyFont="1" applyFill="1" applyBorder="1" applyAlignment="1">
      <alignment horizontal="center" vertical="center" wrapText="1"/>
    </xf>
    <xf numFmtId="0" fontId="22" fillId="8" borderId="4" xfId="835" applyNumberFormat="1" applyFont="1" applyFill="1" applyBorder="1" applyAlignment="1">
      <alignment horizontal="centerContinuous" vertical="center"/>
    </xf>
    <xf numFmtId="0" fontId="22" fillId="8" borderId="0" xfId="835" applyNumberFormat="1" applyFont="1" applyFill="1" applyBorder="1" applyAlignment="1">
      <alignment horizontal="centerContinuous" vertical="center" wrapText="1"/>
    </xf>
    <xf numFmtId="0" fontId="22" fillId="8" borderId="27" xfId="835" applyNumberFormat="1" applyFont="1" applyFill="1" applyBorder="1" applyAlignment="1">
      <alignment horizontal="centerContinuous" vertical="center"/>
    </xf>
    <xf numFmtId="0" fontId="22" fillId="8" borderId="4" xfId="835" applyNumberFormat="1" applyFont="1" applyFill="1" applyBorder="1" applyAlignment="1">
      <alignment horizontal="centerContinuous" vertical="center" wrapText="1"/>
    </xf>
    <xf numFmtId="0" fontId="22" fillId="8" borderId="27" xfId="835" applyNumberFormat="1" applyFont="1" applyFill="1" applyBorder="1" applyAlignment="1">
      <alignment horizontal="centerContinuous" vertical="center" wrapText="1"/>
    </xf>
    <xf numFmtId="0" fontId="22" fillId="8" borderId="26" xfId="835" applyNumberFormat="1" applyFont="1" applyFill="1" applyBorder="1" applyAlignment="1">
      <alignment horizontal="center" vertical="center" wrapText="1"/>
    </xf>
    <xf numFmtId="0" fontId="22" fillId="8" borderId="4" xfId="835" applyNumberFormat="1" applyFont="1" applyFill="1" applyBorder="1" applyAlignment="1">
      <alignment vertical="center"/>
    </xf>
    <xf numFmtId="0" fontId="22" fillId="8" borderId="0" xfId="835" applyNumberFormat="1" applyFont="1" applyFill="1" applyBorder="1" applyAlignment="1">
      <alignment horizontal="center" vertical="center"/>
    </xf>
    <xf numFmtId="0" fontId="22" fillId="8" borderId="0" xfId="835" applyNumberFormat="1" applyFont="1" applyFill="1" applyBorder="1" applyAlignment="1">
      <alignment horizontal="distributed" vertical="center"/>
    </xf>
    <xf numFmtId="0" fontId="22" fillId="8" borderId="27" xfId="835" applyNumberFormat="1" applyFont="1" applyFill="1" applyBorder="1" applyAlignment="1">
      <alignment vertical="center"/>
    </xf>
    <xf numFmtId="179" fontId="22" fillId="8" borderId="0" xfId="453" applyNumberFormat="1" applyFont="1" applyFill="1" applyBorder="1" applyAlignment="1">
      <alignment horizontal="right" vertical="center"/>
    </xf>
    <xf numFmtId="179" fontId="22" fillId="8" borderId="4" xfId="453" applyNumberFormat="1" applyFont="1" applyFill="1" applyBorder="1" applyAlignment="1">
      <alignment horizontal="right" vertical="center"/>
    </xf>
    <xf numFmtId="0" fontId="22" fillId="8" borderId="27" xfId="453" applyNumberFormat="1" applyFont="1" applyFill="1" applyBorder="1" applyAlignment="1">
      <alignment vertical="center"/>
    </xf>
    <xf numFmtId="0" fontId="22" fillId="8" borderId="26" xfId="835" applyNumberFormat="1" applyFont="1" applyFill="1" applyBorder="1" applyAlignment="1">
      <alignment horizontal="left" vertical="center"/>
    </xf>
    <xf numFmtId="0" fontId="22" fillId="8" borderId="0" xfId="835" quotePrefix="1" applyNumberFormat="1" applyFont="1" applyFill="1" applyBorder="1" applyAlignment="1">
      <alignment horizontal="center" vertical="center"/>
    </xf>
    <xf numFmtId="0" fontId="22" fillId="8" borderId="0" xfId="835" applyNumberFormat="1" applyFont="1" applyFill="1" applyBorder="1" applyAlignment="1">
      <alignment vertical="center"/>
    </xf>
    <xf numFmtId="179" fontId="22" fillId="8" borderId="4" xfId="835" applyNumberFormat="1" applyFont="1" applyFill="1" applyBorder="1" applyAlignment="1">
      <alignment horizontal="right" vertical="center"/>
    </xf>
    <xf numFmtId="0" fontId="22" fillId="8" borderId="2" xfId="835" applyNumberFormat="1" applyFont="1" applyFill="1" applyBorder="1" applyAlignment="1">
      <alignment horizontal="center" vertical="center"/>
    </xf>
    <xf numFmtId="0" fontId="22" fillId="8" borderId="19" xfId="835" applyNumberFormat="1" applyFont="1" applyFill="1" applyBorder="1" applyAlignment="1">
      <alignment horizontal="left" vertical="center"/>
    </xf>
    <xf numFmtId="0" fontId="22" fillId="8" borderId="19" xfId="835" applyNumberFormat="1" applyFont="1" applyFill="1" applyBorder="1" applyAlignment="1">
      <alignment horizontal="distributed" vertical="center"/>
    </xf>
    <xf numFmtId="0" fontId="22" fillId="8" borderId="24" xfId="835" applyNumberFormat="1" applyFont="1" applyFill="1" applyBorder="1" applyAlignment="1">
      <alignment horizontal="center" vertical="center"/>
    </xf>
    <xf numFmtId="186" fontId="22" fillId="8" borderId="2" xfId="453" applyNumberFormat="1" applyFont="1" applyFill="1" applyBorder="1" applyAlignment="1">
      <alignment horizontal="right" vertical="center"/>
    </xf>
    <xf numFmtId="186" fontId="22" fillId="8" borderId="19" xfId="453" applyNumberFormat="1" applyFont="1" applyFill="1" applyBorder="1" applyAlignment="1">
      <alignment horizontal="right" vertical="center"/>
    </xf>
    <xf numFmtId="0" fontId="22" fillId="8" borderId="24" xfId="453" applyNumberFormat="1" applyFont="1" applyFill="1" applyBorder="1" applyAlignment="1">
      <alignment vertical="center"/>
    </xf>
    <xf numFmtId="0" fontId="22" fillId="8" borderId="3" xfId="835" applyNumberFormat="1" applyFont="1" applyFill="1" applyBorder="1" applyAlignment="1">
      <alignment horizontal="left" vertical="center"/>
    </xf>
    <xf numFmtId="0" fontId="22" fillId="8" borderId="0" xfId="835" quotePrefix="1" applyNumberFormat="1" applyFont="1" applyFill="1" applyBorder="1" applyAlignment="1">
      <alignment horizontal="left" vertical="center"/>
    </xf>
    <xf numFmtId="0" fontId="22" fillId="8" borderId="0" xfId="453" applyNumberFormat="1" applyFont="1" applyFill="1" applyBorder="1" applyAlignment="1">
      <alignment vertical="center"/>
    </xf>
    <xf numFmtId="0" fontId="22" fillId="8" borderId="0" xfId="828" applyNumberFormat="1" applyFont="1" applyFill="1" applyAlignment="1">
      <alignment vertical="center"/>
    </xf>
    <xf numFmtId="0" fontId="22" fillId="8" borderId="0" xfId="828" applyNumberFormat="1" applyFont="1" applyFill="1" applyBorder="1" applyAlignment="1">
      <alignment vertical="center"/>
    </xf>
    <xf numFmtId="0" fontId="26" fillId="8" borderId="0" xfId="835" applyNumberFormat="1" applyFont="1" applyFill="1" applyAlignment="1">
      <alignment horizontal="left" vertical="center"/>
    </xf>
    <xf numFmtId="0" fontId="26" fillId="8" borderId="0" xfId="835" quotePrefix="1" applyNumberFormat="1" applyFont="1" applyFill="1" applyAlignment="1">
      <alignment horizontal="left" vertical="center"/>
    </xf>
    <xf numFmtId="0" fontId="26" fillId="8" borderId="0" xfId="835" applyNumberFormat="1" applyFont="1" applyFill="1" applyAlignment="1">
      <alignment vertical="center"/>
    </xf>
    <xf numFmtId="0" fontId="22" fillId="8" borderId="0" xfId="828" applyNumberFormat="1" applyFont="1" applyFill="1" applyAlignment="1">
      <alignment horizontal="left" vertical="center"/>
    </xf>
    <xf numFmtId="0" fontId="3" fillId="8" borderId="0" xfId="826" applyNumberFormat="1" applyFont="1" applyFill="1" applyBorder="1" applyAlignment="1">
      <alignment horizontal="centerContinuous" vertical="center"/>
    </xf>
    <xf numFmtId="0" fontId="3" fillId="8" borderId="0" xfId="826" applyNumberFormat="1" applyFont="1" applyFill="1" applyAlignment="1">
      <alignment vertical="center"/>
    </xf>
    <xf numFmtId="179" fontId="2" fillId="8" borderId="14" xfId="453" applyNumberFormat="1" applyFont="1" applyFill="1" applyBorder="1" applyAlignment="1">
      <alignment horizontal="right" vertical="center"/>
    </xf>
    <xf numFmtId="179" fontId="2" fillId="8" borderId="28" xfId="826" applyNumberFormat="1" applyFont="1" applyFill="1" applyBorder="1" applyAlignment="1">
      <alignment horizontal="center" vertical="center"/>
    </xf>
    <xf numFmtId="179" fontId="2" fillId="8" borderId="14" xfId="826" applyNumberFormat="1" applyFont="1" applyFill="1" applyBorder="1" applyAlignment="1">
      <alignment horizontal="right" vertical="center"/>
    </xf>
    <xf numFmtId="0" fontId="1" fillId="8" borderId="0" xfId="826" applyNumberFormat="1" applyFont="1" applyFill="1" applyAlignment="1">
      <alignment horizontal="left" vertical="center"/>
    </xf>
    <xf numFmtId="0" fontId="1" fillId="8" borderId="0" xfId="826" quotePrefix="1" applyNumberFormat="1" applyFont="1" applyFill="1" applyAlignment="1">
      <alignment horizontal="left" vertical="center"/>
    </xf>
    <xf numFmtId="0" fontId="1" fillId="8" borderId="0" xfId="826" applyNumberFormat="1" applyFont="1" applyFill="1" applyAlignment="1">
      <alignment vertical="center"/>
    </xf>
    <xf numFmtId="0" fontId="1" fillId="8" borderId="0" xfId="826" applyNumberFormat="1" applyFont="1" applyFill="1" applyBorder="1" applyAlignment="1">
      <alignment vertical="center"/>
    </xf>
    <xf numFmtId="0" fontId="1" fillId="8" borderId="0" xfId="807" applyNumberFormat="1" applyFont="1" applyFill="1" applyAlignment="1">
      <alignment vertical="center"/>
    </xf>
    <xf numFmtId="0" fontId="1" fillId="8" borderId="0" xfId="807" applyNumberFormat="1" applyFont="1" applyFill="1" applyBorder="1" applyAlignment="1">
      <alignment vertical="center"/>
    </xf>
    <xf numFmtId="0" fontId="1" fillId="8" borderId="0" xfId="826" quotePrefix="1" applyNumberFormat="1" applyFont="1" applyFill="1" applyBorder="1" applyAlignment="1">
      <alignment horizontal="left" vertical="center"/>
    </xf>
    <xf numFmtId="0" fontId="1" fillId="8" borderId="0" xfId="826" quotePrefix="1" applyNumberFormat="1" applyFont="1" applyFill="1" applyBorder="1" applyAlignment="1">
      <alignment horizontal="center" vertical="center"/>
    </xf>
    <xf numFmtId="0" fontId="1" fillId="8" borderId="0" xfId="826" applyNumberFormat="1" applyFont="1" applyFill="1" applyBorder="1" applyAlignment="1">
      <alignment horizontal="left" vertical="center"/>
    </xf>
    <xf numFmtId="0" fontId="1" fillId="8" borderId="0" xfId="807" quotePrefix="1" applyNumberFormat="1" applyFont="1" applyFill="1" applyBorder="1" applyAlignment="1">
      <alignment horizontal="center" vertical="center"/>
    </xf>
    <xf numFmtId="0" fontId="1" fillId="8" borderId="2" xfId="826" applyNumberFormat="1" applyFont="1" applyFill="1" applyBorder="1" applyAlignment="1">
      <alignment vertical="center"/>
    </xf>
    <xf numFmtId="0" fontId="1" fillId="8" borderId="19" xfId="826" applyNumberFormat="1" applyFont="1" applyFill="1" applyBorder="1" applyAlignment="1">
      <alignment horizontal="center" vertical="center"/>
    </xf>
    <xf numFmtId="0" fontId="1" fillId="8" borderId="2" xfId="826" applyNumberFormat="1" applyFont="1" applyFill="1" applyBorder="1" applyAlignment="1">
      <alignment horizontal="center" vertical="center"/>
    </xf>
    <xf numFmtId="0" fontId="1" fillId="8" borderId="24" xfId="826" applyNumberFormat="1" applyFont="1" applyFill="1" applyBorder="1" applyAlignment="1">
      <alignment horizontal="center" vertical="center"/>
    </xf>
    <xf numFmtId="0" fontId="1" fillId="8" borderId="2" xfId="826" applyNumberFormat="1" applyFont="1" applyFill="1" applyBorder="1" applyAlignment="1">
      <alignment horizontal="centerContinuous" vertical="center" wrapText="1"/>
    </xf>
    <xf numFmtId="0" fontId="1" fillId="8" borderId="24" xfId="826" applyNumberFormat="1" applyFont="1" applyFill="1" applyBorder="1" applyAlignment="1">
      <alignment horizontal="centerContinuous" vertical="center" wrapText="1"/>
    </xf>
    <xf numFmtId="0" fontId="1" fillId="8" borderId="24" xfId="826" applyNumberFormat="1" applyFont="1" applyFill="1" applyBorder="1" applyAlignment="1">
      <alignment horizontal="center" vertical="center" wrapText="1"/>
    </xf>
    <xf numFmtId="0" fontId="1" fillId="8" borderId="2" xfId="807" applyNumberFormat="1" applyFont="1" applyFill="1" applyBorder="1" applyAlignment="1">
      <alignment horizontal="centerContinuous" vertical="center"/>
    </xf>
    <xf numFmtId="0" fontId="1" fillId="8" borderId="24" xfId="807" applyNumberFormat="1" applyFont="1" applyFill="1" applyBorder="1" applyAlignment="1">
      <alignment horizontal="centerContinuous" vertical="center"/>
    </xf>
    <xf numFmtId="0" fontId="1" fillId="8" borderId="3" xfId="807" applyNumberFormat="1" applyFont="1" applyFill="1" applyBorder="1" applyAlignment="1">
      <alignment horizontal="center" vertical="center"/>
    </xf>
    <xf numFmtId="0" fontId="1" fillId="8" borderId="4" xfId="826" applyNumberFormat="1" applyFont="1" applyFill="1" applyBorder="1" applyAlignment="1">
      <alignment vertical="center"/>
    </xf>
    <xf numFmtId="0" fontId="1" fillId="8" borderId="0" xfId="826" applyNumberFormat="1" applyFont="1" applyFill="1" applyBorder="1" applyAlignment="1">
      <alignment horizontal="center" vertical="center"/>
    </xf>
    <xf numFmtId="0" fontId="1" fillId="8" borderId="4" xfId="826" applyNumberFormat="1" applyFont="1" applyFill="1" applyBorder="1" applyAlignment="1">
      <alignment horizontal="center" vertical="center"/>
    </xf>
    <xf numFmtId="0" fontId="1" fillId="8" borderId="27" xfId="826" applyNumberFormat="1" applyFont="1" applyFill="1" applyBorder="1" applyAlignment="1">
      <alignment horizontal="center" vertical="center"/>
    </xf>
    <xf numFmtId="0" fontId="1" fillId="8" borderId="4" xfId="826" applyNumberFormat="1" applyFont="1" applyFill="1" applyBorder="1" applyAlignment="1">
      <alignment horizontal="centerContinuous" vertical="center"/>
    </xf>
    <xf numFmtId="0" fontId="1" fillId="8" borderId="27" xfId="826" applyNumberFormat="1" applyFont="1" applyFill="1" applyBorder="1" applyAlignment="1">
      <alignment horizontal="centerContinuous" vertical="center"/>
    </xf>
    <xf numFmtId="0" fontId="1" fillId="8" borderId="4" xfId="807" applyNumberFormat="1" applyFont="1" applyFill="1" applyBorder="1" applyAlignment="1">
      <alignment horizontal="center" vertical="center"/>
    </xf>
    <xf numFmtId="0" fontId="1" fillId="8" borderId="27" xfId="807" applyNumberFormat="1" applyFont="1" applyFill="1" applyBorder="1" applyAlignment="1">
      <alignment horizontal="center" vertical="center"/>
    </xf>
    <xf numFmtId="0" fontId="1" fillId="8" borderId="26" xfId="807" applyNumberFormat="1" applyFont="1" applyFill="1" applyBorder="1" applyAlignment="1">
      <alignment horizontal="center" vertical="center"/>
    </xf>
    <xf numFmtId="0" fontId="1" fillId="8" borderId="0" xfId="0" applyNumberFormat="1" applyFont="1" applyFill="1" applyBorder="1" applyAlignment="1">
      <alignment horizontal="distributed" vertical="center"/>
    </xf>
    <xf numFmtId="0" fontId="1" fillId="8" borderId="0" xfId="826" applyNumberFormat="1" applyFont="1" applyFill="1" applyBorder="1" applyAlignment="1">
      <alignment horizontal="distributed" vertical="center" shrinkToFit="1"/>
    </xf>
    <xf numFmtId="0" fontId="1" fillId="8" borderId="27" xfId="826" applyNumberFormat="1" applyFont="1" applyFill="1" applyBorder="1" applyAlignment="1">
      <alignment vertical="center"/>
    </xf>
    <xf numFmtId="179" fontId="1" fillId="8" borderId="4" xfId="453" applyNumberFormat="1" applyFont="1" applyFill="1" applyBorder="1" applyAlignment="1">
      <alignment horizontal="right" vertical="center"/>
    </xf>
    <xf numFmtId="179" fontId="1" fillId="8" borderId="27" xfId="453" applyNumberFormat="1" applyFont="1" applyFill="1" applyBorder="1" applyAlignment="1">
      <alignment horizontal="right" vertical="center"/>
    </xf>
    <xf numFmtId="179" fontId="1" fillId="8" borderId="0" xfId="826" applyNumberFormat="1" applyFont="1" applyFill="1" applyAlignment="1">
      <alignment horizontal="center" vertical="center"/>
    </xf>
    <xf numFmtId="179" fontId="1" fillId="8" borderId="26" xfId="453" applyNumberFormat="1" applyFont="1" applyFill="1" applyBorder="1" applyAlignment="1">
      <alignment horizontal="right" vertical="center"/>
    </xf>
    <xf numFmtId="0" fontId="1" fillId="8" borderId="5" xfId="826" applyNumberFormat="1" applyFont="1" applyFill="1" applyBorder="1" applyAlignment="1">
      <alignment vertical="center"/>
    </xf>
    <xf numFmtId="0" fontId="1" fillId="8" borderId="28" xfId="0" applyNumberFormat="1" applyFont="1" applyFill="1" applyBorder="1" applyAlignment="1">
      <alignment horizontal="distributed" vertical="center"/>
    </xf>
    <xf numFmtId="0" fontId="1" fillId="8" borderId="28" xfId="826" applyNumberFormat="1" applyFont="1" applyFill="1" applyBorder="1" applyAlignment="1">
      <alignment vertical="center"/>
    </xf>
    <xf numFmtId="0" fontId="1" fillId="8" borderId="29" xfId="826" applyNumberFormat="1" applyFont="1" applyFill="1" applyBorder="1" applyAlignment="1">
      <alignment vertical="center"/>
    </xf>
    <xf numFmtId="179" fontId="1" fillId="8" borderId="5" xfId="453" applyNumberFormat="1" applyFont="1" applyFill="1" applyBorder="1" applyAlignment="1">
      <alignment horizontal="right" vertical="center"/>
    </xf>
    <xf numFmtId="179" fontId="1" fillId="8" borderId="29" xfId="453" applyNumberFormat="1" applyFont="1" applyFill="1" applyBorder="1" applyAlignment="1">
      <alignment horizontal="right" vertical="center"/>
    </xf>
    <xf numFmtId="179" fontId="1" fillId="8" borderId="28" xfId="826" applyNumberFormat="1" applyFont="1" applyFill="1" applyBorder="1" applyAlignment="1">
      <alignment horizontal="center" vertical="center"/>
    </xf>
    <xf numFmtId="179" fontId="1" fillId="8" borderId="5" xfId="826" applyNumberFormat="1" applyFont="1" applyFill="1" applyBorder="1" applyAlignment="1">
      <alignment horizontal="right" vertical="center"/>
    </xf>
    <xf numFmtId="179" fontId="1" fillId="8" borderId="29" xfId="826" applyNumberFormat="1" applyFont="1" applyFill="1" applyBorder="1" applyAlignment="1">
      <alignment horizontal="right" vertical="center"/>
    </xf>
    <xf numFmtId="179" fontId="1" fillId="8" borderId="14" xfId="826" applyNumberFormat="1" applyFont="1" applyFill="1" applyBorder="1" applyAlignment="1">
      <alignment horizontal="right" vertical="center"/>
    </xf>
    <xf numFmtId="185" fontId="1" fillId="8" borderId="0" xfId="826" applyNumberFormat="1" applyFont="1" applyFill="1" applyAlignment="1">
      <alignment horizontal="center" vertical="center"/>
    </xf>
    <xf numFmtId="0" fontId="3" fillId="8" borderId="0" xfId="453" applyNumberFormat="1" applyFont="1" applyFill="1" applyAlignment="1">
      <alignment horizontal="centerContinuous" vertical="center"/>
    </xf>
    <xf numFmtId="0" fontId="3" fillId="8" borderId="0" xfId="0" applyNumberFormat="1" applyFont="1" applyFill="1" applyAlignment="1">
      <alignment vertical="center"/>
    </xf>
    <xf numFmtId="0" fontId="2" fillId="8" borderId="0" xfId="453" applyNumberFormat="1" applyFont="1" applyFill="1" applyBorder="1" applyAlignment="1">
      <alignment horizontal="right" vertical="center"/>
    </xf>
    <xf numFmtId="0" fontId="2" fillId="8" borderId="24" xfId="453" applyNumberFormat="1" applyFont="1" applyFill="1" applyBorder="1" applyAlignment="1">
      <alignment horizontal="centerContinuous" vertical="center"/>
    </xf>
    <xf numFmtId="0" fontId="2" fillId="8" borderId="3" xfId="453" applyNumberFormat="1" applyFont="1" applyFill="1" applyBorder="1" applyAlignment="1">
      <alignment horizontal="centerContinuous" vertical="center"/>
    </xf>
    <xf numFmtId="0" fontId="2" fillId="8" borderId="2" xfId="453" applyNumberFormat="1" applyFont="1" applyFill="1" applyBorder="1" applyAlignment="1">
      <alignment horizontal="centerContinuous" vertical="center"/>
    </xf>
    <xf numFmtId="0" fontId="2" fillId="8" borderId="4" xfId="0" applyNumberFormat="1" applyFont="1" applyFill="1" applyBorder="1" applyAlignment="1">
      <alignment horizontal="center" vertical="center"/>
    </xf>
    <xf numFmtId="0" fontId="2" fillId="8" borderId="27" xfId="0" applyNumberFormat="1" applyFont="1" applyFill="1" applyBorder="1" applyAlignment="1">
      <alignment horizontal="center" vertical="center"/>
    </xf>
    <xf numFmtId="0" fontId="1" fillId="8" borderId="0" xfId="826" applyNumberFormat="1" applyFont="1" applyFill="1" applyBorder="1" applyAlignment="1">
      <alignment horizontal="center" vertical="center" shrinkToFit="1"/>
    </xf>
    <xf numFmtId="0" fontId="2" fillId="8" borderId="26" xfId="453" applyNumberFormat="1" applyFont="1" applyFill="1" applyBorder="1" applyAlignment="1">
      <alignment horizontal="center" vertical="center"/>
    </xf>
    <xf numFmtId="0" fontId="2" fillId="8" borderId="4" xfId="453" applyNumberFormat="1" applyFont="1" applyFill="1" applyBorder="1" applyAlignment="1">
      <alignment horizontal="center" vertical="center"/>
    </xf>
    <xf numFmtId="0" fontId="2" fillId="8" borderId="27" xfId="453" applyNumberFormat="1" applyFont="1" applyFill="1" applyBorder="1" applyAlignment="1">
      <alignment horizontal="center" vertical="center"/>
    </xf>
    <xf numFmtId="0" fontId="2" fillId="8" borderId="0" xfId="0" applyNumberFormat="1" applyFont="1" applyFill="1" applyBorder="1" applyAlignment="1">
      <alignment horizontal="right" vertical="center"/>
    </xf>
    <xf numFmtId="0" fontId="2" fillId="8" borderId="0" xfId="0" applyNumberFormat="1" applyFont="1" applyFill="1" applyBorder="1" applyAlignment="1">
      <alignment vertical="center"/>
    </xf>
    <xf numFmtId="186" fontId="2" fillId="8" borderId="26" xfId="453" applyNumberFormat="1" applyFont="1" applyFill="1" applyBorder="1" applyAlignment="1">
      <alignment horizontal="center" vertical="center"/>
    </xf>
    <xf numFmtId="0" fontId="2" fillId="8" borderId="27" xfId="453" applyNumberFormat="1" applyFont="1" applyFill="1" applyBorder="1" applyAlignment="1">
      <alignment horizontal="left" vertical="center"/>
    </xf>
    <xf numFmtId="229" fontId="2" fillId="8" borderId="0" xfId="0" applyNumberFormat="1" applyFont="1" applyFill="1" applyAlignment="1">
      <alignment vertical="center"/>
    </xf>
    <xf numFmtId="229" fontId="1" fillId="8" borderId="0" xfId="0" applyNumberFormat="1" applyFont="1" applyFill="1" applyAlignment="1">
      <alignment vertical="center"/>
    </xf>
    <xf numFmtId="0" fontId="2" fillId="8" borderId="5" xfId="0" applyNumberFormat="1" applyFont="1" applyFill="1" applyBorder="1" applyAlignment="1">
      <alignment horizontal="center" vertical="center"/>
    </xf>
    <xf numFmtId="0" fontId="1" fillId="8" borderId="28" xfId="826" applyNumberFormat="1" applyFont="1" applyFill="1" applyBorder="1" applyAlignment="1">
      <alignment horizontal="distributed" vertical="center" shrinkToFit="1"/>
    </xf>
    <xf numFmtId="186" fontId="2" fillId="8" borderId="14" xfId="453" applyNumberFormat="1" applyFont="1" applyFill="1" applyBorder="1" applyAlignment="1">
      <alignment horizontal="center" vertical="center"/>
    </xf>
    <xf numFmtId="0" fontId="2" fillId="8" borderId="29" xfId="453" applyNumberFormat="1" applyFont="1" applyFill="1" applyBorder="1" applyAlignment="1">
      <alignment horizontal="left" vertical="center"/>
    </xf>
    <xf numFmtId="0" fontId="2" fillId="8" borderId="0" xfId="833" applyNumberFormat="1" applyFont="1" applyFill="1" applyAlignment="1">
      <alignment vertical="center"/>
    </xf>
    <xf numFmtId="0" fontId="2" fillId="8" borderId="0" xfId="806" applyNumberFormat="1" applyFont="1" applyFill="1" applyAlignment="1">
      <alignment vertical="center"/>
    </xf>
    <xf numFmtId="0" fontId="3" fillId="8" borderId="0" xfId="833" applyNumberFormat="1" applyFont="1" applyFill="1" applyAlignment="1">
      <alignment horizontal="centerContinuous" vertical="center"/>
    </xf>
    <xf numFmtId="0" fontId="3" fillId="8" borderId="0" xfId="806" applyNumberFormat="1" applyFont="1" applyFill="1" applyAlignment="1">
      <alignment horizontal="centerContinuous" vertical="center"/>
    </xf>
    <xf numFmtId="0" fontId="3" fillId="8" borderId="0" xfId="833" applyNumberFormat="1" applyFont="1" applyFill="1" applyAlignment="1">
      <alignment vertical="center"/>
    </xf>
    <xf numFmtId="0" fontId="2" fillId="8" borderId="0" xfId="833" applyNumberFormat="1" applyFont="1" applyFill="1" applyAlignment="1">
      <alignment horizontal="centerContinuous" vertical="center"/>
    </xf>
    <xf numFmtId="0" fontId="2" fillId="8" borderId="0" xfId="806" applyNumberFormat="1" applyFont="1" applyFill="1" applyAlignment="1">
      <alignment horizontal="centerContinuous" vertical="center"/>
    </xf>
    <xf numFmtId="0" fontId="2" fillId="8" borderId="0" xfId="833" applyNumberFormat="1" applyFont="1" applyFill="1" applyAlignment="1">
      <alignment horizontal="left" vertical="center"/>
    </xf>
    <xf numFmtId="0" fontId="2" fillId="8" borderId="0" xfId="455" applyNumberFormat="1" applyFont="1" applyFill="1" applyAlignment="1">
      <alignment horizontal="right" vertical="center"/>
    </xf>
    <xf numFmtId="0" fontId="2" fillId="8" borderId="2" xfId="833" applyNumberFormat="1" applyFont="1" applyFill="1" applyBorder="1" applyAlignment="1">
      <alignment horizontal="centerContinuous" vertical="center"/>
    </xf>
    <xf numFmtId="0" fontId="2" fillId="8" borderId="19" xfId="833" applyNumberFormat="1" applyFont="1" applyFill="1" applyBorder="1" applyAlignment="1">
      <alignment horizontal="centerContinuous" vertical="center"/>
    </xf>
    <xf numFmtId="0" fontId="2" fillId="8" borderId="24" xfId="833" applyNumberFormat="1" applyFont="1" applyFill="1" applyBorder="1" applyAlignment="1">
      <alignment horizontal="centerContinuous" vertical="center"/>
    </xf>
    <xf numFmtId="0" fontId="2" fillId="8" borderId="2" xfId="823" applyNumberFormat="1" applyFont="1" applyFill="1" applyBorder="1" applyAlignment="1">
      <alignment horizontal="centerContinuous" vertical="center"/>
    </xf>
    <xf numFmtId="0" fontId="2" fillId="8" borderId="24" xfId="823" applyNumberFormat="1" applyFont="1" applyFill="1" applyBorder="1" applyAlignment="1">
      <alignment horizontal="centerContinuous" vertical="center"/>
    </xf>
    <xf numFmtId="0" fontId="2" fillId="8" borderId="4" xfId="833" applyNumberFormat="1" applyFont="1" applyFill="1" applyBorder="1" applyAlignment="1">
      <alignment horizontal="centerContinuous" vertical="center"/>
    </xf>
    <xf numFmtId="0" fontId="2" fillId="8" borderId="0" xfId="833" applyNumberFormat="1" applyFont="1" applyFill="1" applyBorder="1" applyAlignment="1">
      <alignment horizontal="centerContinuous" vertical="center"/>
    </xf>
    <xf numFmtId="0" fontId="2" fillId="8" borderId="27" xfId="833" applyNumberFormat="1" applyFont="1" applyFill="1" applyBorder="1" applyAlignment="1">
      <alignment horizontal="centerContinuous" vertical="center"/>
    </xf>
    <xf numFmtId="0" fontId="2" fillId="8" borderId="0" xfId="833" applyNumberFormat="1" applyFont="1" applyFill="1" applyBorder="1" applyAlignment="1">
      <alignment horizontal="distributed" vertical="center"/>
    </xf>
    <xf numFmtId="0" fontId="2" fillId="8" borderId="27" xfId="823" applyNumberFormat="1" applyFont="1" applyFill="1" applyBorder="1" applyAlignment="1">
      <alignment horizontal="centerContinuous" vertical="center"/>
    </xf>
    <xf numFmtId="0" fontId="2" fillId="8" borderId="0" xfId="832" applyNumberFormat="1" applyFont="1" applyFill="1" applyBorder="1" applyAlignment="1">
      <alignment horizontal="distributed" vertical="center"/>
    </xf>
    <xf numFmtId="0" fontId="2" fillId="8" borderId="0" xfId="833" applyNumberFormat="1" applyFont="1" applyFill="1" applyBorder="1" applyAlignment="1">
      <alignment horizontal="distributed" vertical="center" shrinkToFit="1"/>
    </xf>
    <xf numFmtId="179" fontId="2" fillId="8" borderId="4" xfId="806" applyNumberFormat="1" applyFont="1" applyFill="1" applyBorder="1" applyAlignment="1">
      <alignment horizontal="right" vertical="center"/>
    </xf>
    <xf numFmtId="179" fontId="2" fillId="8" borderId="27" xfId="806" applyNumberFormat="1" applyFont="1" applyFill="1" applyBorder="1" applyAlignment="1">
      <alignment horizontal="right" vertical="center"/>
    </xf>
    <xf numFmtId="0" fontId="2" fillId="8" borderId="27" xfId="806" applyNumberFormat="1" applyFont="1" applyFill="1" applyBorder="1" applyAlignment="1">
      <alignment vertical="center"/>
    </xf>
    <xf numFmtId="0" fontId="2" fillId="8" borderId="5" xfId="833" applyNumberFormat="1" applyFont="1" applyFill="1" applyBorder="1" applyAlignment="1">
      <alignment horizontal="centerContinuous" vertical="center"/>
    </xf>
    <xf numFmtId="0" fontId="2" fillId="8" borderId="28" xfId="832" applyNumberFormat="1" applyFont="1" applyFill="1" applyBorder="1" applyAlignment="1">
      <alignment horizontal="distributed" vertical="center"/>
    </xf>
    <xf numFmtId="0" fontId="2" fillId="8" borderId="29" xfId="833" applyNumberFormat="1" applyFont="1" applyFill="1" applyBorder="1" applyAlignment="1">
      <alignment horizontal="centerContinuous" vertical="center"/>
    </xf>
    <xf numFmtId="0" fontId="2" fillId="8" borderId="28" xfId="833" applyNumberFormat="1" applyFont="1" applyFill="1" applyBorder="1" applyAlignment="1">
      <alignment horizontal="centerContinuous" vertical="center"/>
    </xf>
    <xf numFmtId="0" fontId="2" fillId="8" borderId="28" xfId="833" applyNumberFormat="1" applyFont="1" applyFill="1" applyBorder="1" applyAlignment="1">
      <alignment horizontal="distributed" vertical="center"/>
    </xf>
    <xf numFmtId="179" fontId="2" fillId="8" borderId="5" xfId="806" applyNumberFormat="1" applyFont="1" applyFill="1" applyBorder="1" applyAlignment="1">
      <alignment horizontal="right" vertical="center"/>
    </xf>
    <xf numFmtId="179" fontId="2" fillId="8" borderId="29" xfId="806" applyNumberFormat="1" applyFont="1" applyFill="1" applyBorder="1" applyAlignment="1">
      <alignment horizontal="right" vertical="center"/>
    </xf>
    <xf numFmtId="0" fontId="2" fillId="8" borderId="29" xfId="806" applyNumberFormat="1" applyFont="1" applyFill="1" applyBorder="1" applyAlignment="1">
      <alignment vertical="center"/>
    </xf>
    <xf numFmtId="0" fontId="2" fillId="8" borderId="0" xfId="833" applyNumberFormat="1" applyFont="1" applyFill="1" applyBorder="1" applyAlignment="1">
      <alignment horizontal="left" vertical="center"/>
    </xf>
    <xf numFmtId="0" fontId="2" fillId="8" borderId="0" xfId="826" applyFont="1" applyFill="1" applyAlignment="1">
      <alignment horizontal="left" vertical="center"/>
    </xf>
    <xf numFmtId="0" fontId="2" fillId="8" borderId="0" xfId="826" applyFont="1" applyFill="1" applyAlignment="1">
      <alignment horizontal="distributed"/>
    </xf>
    <xf numFmtId="180" fontId="2" fillId="8" borderId="0" xfId="826" applyNumberFormat="1" applyFont="1" applyFill="1" applyBorder="1" applyAlignment="1">
      <alignment vertical="center"/>
    </xf>
    <xf numFmtId="41" fontId="2" fillId="8" borderId="0" xfId="807" applyFont="1" applyFill="1" applyBorder="1" applyAlignment="1">
      <alignment horizontal="center" vertical="center"/>
    </xf>
    <xf numFmtId="0" fontId="2" fillId="8" borderId="0" xfId="826" applyFont="1" applyFill="1" applyBorder="1" applyAlignment="1">
      <alignment horizontal="distributed" vertical="center"/>
    </xf>
    <xf numFmtId="0" fontId="85" fillId="8" borderId="0" xfId="0" applyFont="1" applyFill="1"/>
    <xf numFmtId="41" fontId="2" fillId="8" borderId="0" xfId="807" applyFont="1" applyFill="1" applyAlignment="1">
      <alignment horizontal="center" vertical="center"/>
    </xf>
    <xf numFmtId="0" fontId="3" fillId="8" borderId="0" xfId="826" applyFont="1" applyFill="1" applyAlignment="1">
      <alignment horizontal="centerContinuous" vertical="center"/>
    </xf>
    <xf numFmtId="41" fontId="3" fillId="8" borderId="0" xfId="807" applyFont="1" applyFill="1" applyAlignment="1">
      <alignment horizontal="centerContinuous" vertical="center"/>
    </xf>
    <xf numFmtId="41" fontId="3" fillId="8" borderId="0" xfId="807" applyFont="1" applyFill="1" applyBorder="1" applyAlignment="1">
      <alignment horizontal="centerContinuous" vertical="center"/>
    </xf>
    <xf numFmtId="0" fontId="3" fillId="8" borderId="0" xfId="826" applyFont="1" applyFill="1" applyBorder="1" applyAlignment="1">
      <alignment horizontal="centerContinuous" vertical="center"/>
    </xf>
    <xf numFmtId="0" fontId="86" fillId="8" borderId="0" xfId="0" applyFont="1" applyFill="1" applyAlignment="1">
      <alignment horizontal="left" vertical="center"/>
    </xf>
    <xf numFmtId="0" fontId="86" fillId="8" borderId="0" xfId="0" applyFont="1" applyFill="1" applyAlignment="1">
      <alignment vertical="center"/>
    </xf>
    <xf numFmtId="41" fontId="3" fillId="8" borderId="0" xfId="807" applyFont="1" applyFill="1" applyAlignment="1">
      <alignment horizontal="center" vertical="center"/>
    </xf>
    <xf numFmtId="0" fontId="2" fillId="8" borderId="0" xfId="826" applyFont="1" applyFill="1" applyAlignment="1">
      <alignment horizontal="centerContinuous" vertical="center"/>
    </xf>
    <xf numFmtId="41" fontId="2" fillId="8" borderId="0" xfId="807" applyFont="1" applyFill="1" applyAlignment="1">
      <alignment horizontal="centerContinuous" vertical="center"/>
    </xf>
    <xf numFmtId="41" fontId="2" fillId="8" borderId="0" xfId="807" applyFont="1" applyFill="1" applyBorder="1" applyAlignment="1">
      <alignment horizontal="centerContinuous" vertical="center"/>
    </xf>
    <xf numFmtId="0" fontId="2" fillId="8" borderId="0" xfId="826" applyFont="1" applyFill="1" applyBorder="1" applyAlignment="1">
      <alignment horizontal="centerContinuous" vertical="center"/>
    </xf>
    <xf numFmtId="0" fontId="85" fillId="8" borderId="0" xfId="0" applyFont="1" applyFill="1" applyAlignment="1">
      <alignment vertical="center"/>
    </xf>
    <xf numFmtId="0" fontId="2" fillId="8" borderId="0" xfId="826" applyFont="1" applyFill="1" applyBorder="1" applyAlignment="1">
      <alignment horizontal="distributed"/>
    </xf>
    <xf numFmtId="179" fontId="2" fillId="8" borderId="0" xfId="807" applyNumberFormat="1" applyFont="1" applyFill="1" applyBorder="1" applyAlignment="1">
      <alignment horizontal="right" vertical="center"/>
    </xf>
    <xf numFmtId="41" fontId="2" fillId="8" borderId="2" xfId="807" applyFont="1" applyFill="1" applyBorder="1" applyAlignment="1">
      <alignment horizontal="center" vertical="center"/>
    </xf>
    <xf numFmtId="0" fontId="2" fillId="8" borderId="19" xfId="826" applyFont="1" applyFill="1" applyBorder="1" applyAlignment="1">
      <alignment horizontal="center" vertical="center"/>
    </xf>
    <xf numFmtId="41" fontId="2" fillId="8" borderId="24" xfId="807" applyFont="1" applyFill="1" applyBorder="1" applyAlignment="1">
      <alignment horizontal="center" vertical="center"/>
    </xf>
    <xf numFmtId="41" fontId="2" fillId="8" borderId="3" xfId="807" quotePrefix="1" applyFont="1" applyFill="1" applyBorder="1" applyAlignment="1">
      <alignment horizontal="centerContinuous" vertical="center"/>
    </xf>
    <xf numFmtId="41" fontId="2" fillId="8" borderId="4" xfId="807" applyFont="1" applyFill="1" applyBorder="1" applyAlignment="1">
      <alignment horizontal="center" vertical="center"/>
    </xf>
    <xf numFmtId="0" fontId="2" fillId="8" borderId="0" xfId="826" applyFont="1" applyFill="1" applyBorder="1" applyAlignment="1">
      <alignment horizontal="left" vertical="center" shrinkToFit="1"/>
    </xf>
    <xf numFmtId="41" fontId="2" fillId="8" borderId="38" xfId="807" applyFont="1" applyFill="1" applyBorder="1" applyAlignment="1">
      <alignment horizontal="center" vertical="center"/>
    </xf>
    <xf numFmtId="41" fontId="2" fillId="8" borderId="30" xfId="807" applyFont="1" applyFill="1" applyBorder="1" applyAlignment="1">
      <alignment horizontal="center" vertical="center"/>
    </xf>
    <xf numFmtId="0" fontId="2" fillId="8" borderId="25" xfId="826" applyFont="1" applyFill="1" applyBorder="1" applyAlignment="1">
      <alignment horizontal="left" vertical="center" shrinkToFit="1"/>
    </xf>
    <xf numFmtId="41" fontId="2" fillId="8" borderId="31" xfId="807" applyFont="1" applyFill="1" applyBorder="1" applyAlignment="1">
      <alignment horizontal="center" vertical="center"/>
    </xf>
    <xf numFmtId="41" fontId="2" fillId="8" borderId="15" xfId="807" applyFont="1" applyFill="1" applyBorder="1" applyAlignment="1">
      <alignment horizontal="center" vertical="center"/>
    </xf>
    <xf numFmtId="41" fontId="2" fillId="8" borderId="27" xfId="807" applyFont="1" applyFill="1" applyBorder="1" applyAlignment="1">
      <alignment horizontal="center" vertical="center"/>
    </xf>
    <xf numFmtId="49" fontId="2" fillId="8" borderId="26" xfId="807" applyNumberFormat="1" applyFont="1" applyFill="1" applyBorder="1" applyAlignment="1">
      <alignment horizontal="center" vertical="center"/>
    </xf>
    <xf numFmtId="0" fontId="2" fillId="8" borderId="0" xfId="826" applyFont="1" applyFill="1" applyBorder="1" applyAlignment="1">
      <alignment horizontal="left" vertical="center" wrapText="1" shrinkToFit="1"/>
    </xf>
    <xf numFmtId="0" fontId="2" fillId="8" borderId="19" xfId="826" applyFont="1" applyFill="1" applyBorder="1" applyAlignment="1">
      <alignment horizontal="left" vertical="center" shrinkToFit="1"/>
    </xf>
    <xf numFmtId="41" fontId="2" fillId="8" borderId="5" xfId="807" applyFont="1" applyFill="1" applyBorder="1" applyAlignment="1">
      <alignment horizontal="center" vertical="center"/>
    </xf>
    <xf numFmtId="0" fontId="2" fillId="8" borderId="28" xfId="826" applyFont="1" applyFill="1" applyBorder="1" applyAlignment="1">
      <alignment horizontal="distributed" vertical="center"/>
    </xf>
    <xf numFmtId="41" fontId="2" fillId="8" borderId="28" xfId="807" applyFont="1" applyFill="1" applyBorder="1" applyAlignment="1">
      <alignment horizontal="center" vertical="center"/>
    </xf>
    <xf numFmtId="49" fontId="2" fillId="8" borderId="14" xfId="807" applyNumberFormat="1" applyFont="1" applyFill="1" applyBorder="1" applyAlignment="1">
      <alignment horizontal="right" vertical="center"/>
    </xf>
    <xf numFmtId="41" fontId="2" fillId="8" borderId="29" xfId="807" applyFont="1" applyFill="1" applyBorder="1" applyAlignment="1">
      <alignment horizontal="center" vertical="center"/>
    </xf>
    <xf numFmtId="0" fontId="2" fillId="8" borderId="0" xfId="826" applyFont="1" applyFill="1" applyBorder="1" applyAlignment="1">
      <alignment horizontal="left" vertical="center"/>
    </xf>
    <xf numFmtId="0" fontId="2" fillId="8" borderId="0" xfId="0" applyFont="1" applyFill="1" applyAlignment="1">
      <alignment horizontal="center" vertical="center"/>
    </xf>
    <xf numFmtId="41" fontId="2" fillId="8" borderId="0" xfId="454" applyFont="1" applyFill="1" applyAlignment="1">
      <alignment horizontal="left" vertical="center"/>
    </xf>
    <xf numFmtId="0" fontId="3" fillId="8" borderId="0" xfId="0" applyFont="1" applyFill="1" applyAlignment="1">
      <alignment horizontal="centerContinuous" vertical="center"/>
    </xf>
    <xf numFmtId="0" fontId="3" fillId="8" borderId="0" xfId="0" applyFont="1" applyFill="1" applyBorder="1" applyAlignment="1">
      <alignment horizontal="centerContinuous" vertical="center"/>
    </xf>
    <xf numFmtId="0" fontId="3" fillId="8" borderId="0" xfId="0" applyFont="1" applyFill="1" applyAlignment="1">
      <alignment horizontal="center" vertical="center"/>
    </xf>
    <xf numFmtId="41" fontId="3" fillId="8" borderId="0" xfId="454" applyFont="1" applyFill="1" applyAlignment="1">
      <alignment horizontal="left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2" xfId="454" applyNumberFormat="1" applyFont="1" applyFill="1" applyBorder="1" applyAlignment="1">
      <alignment horizontal="left" vertical="center"/>
    </xf>
    <xf numFmtId="0" fontId="2" fillId="8" borderId="19" xfId="454" applyNumberFormat="1" applyFont="1" applyFill="1" applyBorder="1" applyAlignment="1">
      <alignment horizontal="distributed" vertical="center"/>
    </xf>
    <xf numFmtId="41" fontId="2" fillId="8" borderId="24" xfId="454" applyFont="1" applyFill="1" applyBorder="1" applyAlignment="1">
      <alignment horizontal="left" vertical="center"/>
    </xf>
    <xf numFmtId="41" fontId="2" fillId="8" borderId="3" xfId="454" applyFont="1" applyFill="1" applyBorder="1" applyAlignment="1">
      <alignment horizontal="left" vertical="center" wrapText="1"/>
    </xf>
    <xf numFmtId="0" fontId="2" fillId="8" borderId="3" xfId="454" applyNumberFormat="1" applyFont="1" applyFill="1" applyBorder="1" applyAlignment="1">
      <alignment horizontal="center" vertical="center" wrapText="1"/>
    </xf>
    <xf numFmtId="41" fontId="2" fillId="8" borderId="3" xfId="454" applyFont="1" applyFill="1" applyBorder="1" applyAlignment="1">
      <alignment horizontal="left" vertical="center"/>
    </xf>
    <xf numFmtId="0" fontId="2" fillId="8" borderId="0" xfId="0" applyFont="1" applyFill="1" applyAlignment="1">
      <alignment horizontal="left" vertical="center"/>
    </xf>
    <xf numFmtId="0" fontId="2" fillId="8" borderId="0" xfId="0" applyFont="1" applyFill="1" applyBorder="1" applyAlignment="1">
      <alignment horizontal="left" vertical="center"/>
    </xf>
    <xf numFmtId="0" fontId="3" fillId="8" borderId="0" xfId="453" quotePrefix="1" applyNumberFormat="1" applyFont="1" applyFill="1" applyAlignment="1">
      <alignment horizontal="centerContinuous" vertical="center"/>
    </xf>
    <xf numFmtId="0" fontId="2" fillId="8" borderId="0" xfId="0" applyNumberFormat="1" applyFont="1" applyFill="1" applyBorder="1" applyAlignment="1">
      <alignment horizontal="centerContinuous" vertical="center"/>
    </xf>
    <xf numFmtId="0" fontId="2" fillId="8" borderId="14" xfId="453" applyNumberFormat="1" applyFont="1" applyFill="1" applyBorder="1" applyAlignment="1">
      <alignment horizontal="center" vertical="center"/>
    </xf>
    <xf numFmtId="0" fontId="2" fillId="8" borderId="30" xfId="0" applyNumberFormat="1" applyFont="1" applyFill="1" applyBorder="1" applyAlignment="1">
      <alignment horizontal="center" vertical="center"/>
    </xf>
    <xf numFmtId="0" fontId="2" fillId="8" borderId="31" xfId="0" applyNumberFormat="1" applyFont="1" applyFill="1" applyBorder="1" applyAlignment="1">
      <alignment horizontal="center" vertical="center"/>
    </xf>
    <xf numFmtId="0" fontId="2" fillId="8" borderId="26" xfId="0" applyNumberFormat="1" applyFont="1" applyFill="1" applyBorder="1" applyAlignment="1">
      <alignment horizontal="center" vertical="center"/>
    </xf>
    <xf numFmtId="0" fontId="2" fillId="8" borderId="19" xfId="0" applyNumberFormat="1" applyFont="1" applyFill="1" applyBorder="1" applyAlignment="1">
      <alignment horizontal="center" vertical="center" wrapText="1"/>
    </xf>
    <xf numFmtId="0" fontId="2" fillId="8" borderId="0" xfId="835" quotePrefix="1" applyNumberFormat="1" applyFont="1" applyFill="1" applyBorder="1" applyAlignment="1">
      <alignment horizontal="left" vertical="center"/>
    </xf>
    <xf numFmtId="0" fontId="2" fillId="8" borderId="0" xfId="835" applyNumberFormat="1" applyFont="1" applyFill="1" applyAlignment="1">
      <alignment vertical="center"/>
    </xf>
    <xf numFmtId="0" fontId="2" fillId="8" borderId="0" xfId="453" quotePrefix="1" applyNumberFormat="1" applyFont="1" applyFill="1" applyBorder="1" applyAlignment="1">
      <alignment horizontal="left" vertical="center"/>
    </xf>
    <xf numFmtId="0" fontId="2" fillId="8" borderId="0" xfId="453" applyNumberFormat="1" applyFont="1" applyFill="1" applyBorder="1" applyAlignment="1">
      <alignment horizontal="left" vertical="center"/>
    </xf>
    <xf numFmtId="0" fontId="2" fillId="8" borderId="0" xfId="835" applyNumberFormat="1" applyFont="1" applyFill="1" applyBorder="1" applyAlignment="1">
      <alignment horizontal="left" vertical="center"/>
    </xf>
    <xf numFmtId="0" fontId="2" fillId="8" borderId="0" xfId="835" applyNumberFormat="1" applyFont="1" applyFill="1" applyAlignment="1">
      <alignment horizontal="left" vertical="center"/>
    </xf>
    <xf numFmtId="0" fontId="2" fillId="8" borderId="0" xfId="453" applyNumberFormat="1" applyFont="1" applyFill="1" applyAlignment="1">
      <alignment vertical="center"/>
    </xf>
    <xf numFmtId="0" fontId="2" fillId="8" borderId="0" xfId="453" applyNumberFormat="1" applyFont="1" applyFill="1" applyBorder="1" applyAlignment="1">
      <alignment vertical="center"/>
    </xf>
    <xf numFmtId="0" fontId="2" fillId="8" borderId="0" xfId="0" applyNumberFormat="1" applyFont="1" applyFill="1" applyAlignment="1">
      <alignment horizontal="centerContinuous" vertical="center"/>
    </xf>
    <xf numFmtId="0" fontId="2" fillId="8" borderId="0" xfId="453" applyNumberFormat="1" applyFont="1" applyFill="1" applyBorder="1" applyAlignment="1">
      <alignment horizontal="distributed" vertical="center"/>
    </xf>
    <xf numFmtId="0" fontId="2" fillId="8" borderId="28" xfId="453" applyNumberFormat="1" applyFont="1" applyFill="1" applyBorder="1" applyAlignment="1">
      <alignment horizontal="distributed" vertical="center"/>
    </xf>
    <xf numFmtId="0" fontId="2" fillId="8" borderId="2" xfId="0" applyNumberFormat="1" applyFont="1" applyFill="1" applyBorder="1" applyAlignment="1">
      <alignment horizontal="center" vertical="center"/>
    </xf>
    <xf numFmtId="0" fontId="2" fillId="8" borderId="24" xfId="0" applyNumberFormat="1" applyFont="1" applyFill="1" applyBorder="1" applyAlignment="1">
      <alignment horizontal="center" vertical="center"/>
    </xf>
    <xf numFmtId="41" fontId="2" fillId="8" borderId="0" xfId="453" applyFont="1" applyFill="1" applyAlignment="1">
      <alignment horizontal="left" vertical="center"/>
    </xf>
    <xf numFmtId="0" fontId="2" fillId="8" borderId="0" xfId="0" applyFont="1" applyFill="1" applyBorder="1" applyAlignment="1">
      <alignment horizontal="centerContinuous" vertical="center"/>
    </xf>
    <xf numFmtId="0" fontId="2" fillId="8" borderId="0" xfId="0" applyFont="1" applyFill="1" applyAlignment="1">
      <alignment horizontal="centerContinuous" vertical="center"/>
    </xf>
    <xf numFmtId="0" fontId="2" fillId="8" borderId="2" xfId="453" applyNumberFormat="1" applyFont="1" applyFill="1" applyBorder="1" applyAlignment="1">
      <alignment horizontal="left" vertical="center"/>
    </xf>
    <xf numFmtId="0" fontId="2" fillId="8" borderId="19" xfId="453" applyNumberFormat="1" applyFont="1" applyFill="1" applyBorder="1" applyAlignment="1">
      <alignment horizontal="distributed" vertical="center"/>
    </xf>
    <xf numFmtId="41" fontId="2" fillId="8" borderId="24" xfId="453" applyFont="1" applyFill="1" applyBorder="1" applyAlignment="1">
      <alignment horizontal="left" vertical="center"/>
    </xf>
    <xf numFmtId="0" fontId="1" fillId="8" borderId="0" xfId="821" applyNumberFormat="1" applyFont="1" applyFill="1" applyAlignment="1">
      <alignment vertical="center"/>
    </xf>
    <xf numFmtId="0" fontId="1" fillId="8" borderId="0" xfId="821" applyNumberFormat="1" applyFont="1" applyFill="1" applyBorder="1" applyAlignment="1">
      <alignment vertical="center"/>
    </xf>
    <xf numFmtId="0" fontId="3" fillId="8" borderId="0" xfId="820" applyNumberFormat="1" applyFont="1" applyFill="1" applyAlignment="1">
      <alignment horizontal="centerContinuous" vertical="center"/>
    </xf>
    <xf numFmtId="0" fontId="1" fillId="8" borderId="0" xfId="820" applyNumberFormat="1" applyFont="1" applyFill="1" applyBorder="1" applyAlignment="1">
      <alignment horizontal="centerContinuous" vertical="center"/>
    </xf>
    <xf numFmtId="0" fontId="1" fillId="8" borderId="0" xfId="820" applyNumberFormat="1" applyFont="1" applyFill="1" applyAlignment="1">
      <alignment horizontal="centerContinuous" vertical="center"/>
    </xf>
    <xf numFmtId="0" fontId="1" fillId="8" borderId="0" xfId="453" applyNumberFormat="1" applyFont="1" applyFill="1" applyBorder="1" applyAlignment="1">
      <alignment horizontal="center" vertical="center"/>
    </xf>
    <xf numFmtId="0" fontId="1" fillId="8" borderId="0" xfId="453" quotePrefix="1" applyNumberFormat="1" applyFont="1" applyFill="1" applyAlignment="1">
      <alignment horizontal="centerContinuous" vertical="center"/>
    </xf>
    <xf numFmtId="0" fontId="1" fillId="8" borderId="0" xfId="453" applyNumberFormat="1" applyFont="1" applyFill="1" applyBorder="1" applyAlignment="1">
      <alignment horizontal="centerContinuous" vertical="center"/>
    </xf>
    <xf numFmtId="0" fontId="1" fillId="8" borderId="0" xfId="820" applyNumberFormat="1" applyFont="1" applyFill="1" applyAlignment="1">
      <alignment horizontal="left" vertical="center"/>
    </xf>
    <xf numFmtId="0" fontId="1" fillId="8" borderId="0" xfId="820" applyNumberFormat="1" applyFont="1" applyFill="1" applyBorder="1" applyAlignment="1">
      <alignment horizontal="left" vertical="center"/>
    </xf>
    <xf numFmtId="0" fontId="1" fillId="8" borderId="0" xfId="453" applyNumberFormat="1" applyFont="1" applyFill="1" applyBorder="1" applyAlignment="1">
      <alignment horizontal="left" vertical="center"/>
    </xf>
    <xf numFmtId="0" fontId="1" fillId="8" borderId="0" xfId="453" applyNumberFormat="1" applyFont="1" applyFill="1" applyAlignment="1">
      <alignment horizontal="right" vertical="center"/>
    </xf>
    <xf numFmtId="0" fontId="1" fillId="8" borderId="2" xfId="820" applyNumberFormat="1" applyFont="1" applyFill="1" applyBorder="1" applyAlignment="1">
      <alignment vertical="center"/>
    </xf>
    <xf numFmtId="0" fontId="1" fillId="8" borderId="19" xfId="820" applyNumberFormat="1" applyFont="1" applyFill="1" applyBorder="1" applyAlignment="1">
      <alignment horizontal="centerContinuous" vertical="center"/>
    </xf>
    <xf numFmtId="0" fontId="1" fillId="8" borderId="19" xfId="820" applyNumberFormat="1" applyFont="1" applyFill="1" applyBorder="1" applyAlignment="1">
      <alignment horizontal="center" vertical="center"/>
    </xf>
    <xf numFmtId="0" fontId="1" fillId="8" borderId="2" xfId="453" applyNumberFormat="1" applyFont="1" applyFill="1" applyBorder="1" applyAlignment="1">
      <alignment horizontal="centerContinuous" vertical="center" wrapText="1"/>
    </xf>
    <xf numFmtId="0" fontId="1" fillId="8" borderId="3" xfId="453" applyNumberFormat="1" applyFont="1" applyFill="1" applyBorder="1" applyAlignment="1">
      <alignment horizontal="centerContinuous" vertical="center" wrapText="1"/>
    </xf>
    <xf numFmtId="0" fontId="1" fillId="8" borderId="19" xfId="453" applyNumberFormat="1" applyFont="1" applyFill="1" applyBorder="1" applyAlignment="1">
      <alignment horizontal="centerContinuous" vertical="center" wrapText="1"/>
    </xf>
    <xf numFmtId="0" fontId="1" fillId="8" borderId="3" xfId="453" applyNumberFormat="1" applyFont="1" applyFill="1" applyBorder="1" applyAlignment="1">
      <alignment horizontal="centerContinuous" vertical="center"/>
    </xf>
    <xf numFmtId="0" fontId="1" fillId="8" borderId="4" xfId="820" applyNumberFormat="1" applyFont="1" applyFill="1" applyBorder="1" applyAlignment="1">
      <alignment vertical="center"/>
    </xf>
    <xf numFmtId="0" fontId="1" fillId="8" borderId="0" xfId="820" applyNumberFormat="1" applyFont="1" applyFill="1" applyBorder="1" applyAlignment="1">
      <alignment horizontal="center" vertical="center"/>
    </xf>
    <xf numFmtId="0" fontId="1" fillId="8" borderId="4" xfId="453" applyNumberFormat="1" applyFont="1" applyFill="1" applyBorder="1" applyAlignment="1">
      <alignment horizontal="centerContinuous" vertical="center"/>
    </xf>
    <xf numFmtId="0" fontId="1" fillId="8" borderId="26" xfId="453" applyNumberFormat="1" applyFont="1" applyFill="1" applyBorder="1" applyAlignment="1">
      <alignment horizontal="centerContinuous" vertical="center"/>
    </xf>
    <xf numFmtId="0" fontId="1" fillId="8" borderId="26" xfId="453" applyNumberFormat="1" applyFont="1" applyFill="1" applyBorder="1" applyAlignment="1">
      <alignment horizontal="center" vertical="center"/>
    </xf>
    <xf numFmtId="0" fontId="1" fillId="8" borderId="4" xfId="820" applyNumberFormat="1" applyFont="1" applyFill="1" applyBorder="1" applyAlignment="1">
      <alignment vertical="center" wrapText="1"/>
    </xf>
    <xf numFmtId="0" fontId="1" fillId="8" borderId="0" xfId="820" applyNumberFormat="1" applyFont="1" applyFill="1" applyBorder="1" applyAlignment="1">
      <alignment horizontal="distributed" vertical="center" wrapText="1"/>
    </xf>
    <xf numFmtId="179" fontId="1" fillId="8" borderId="4" xfId="453" applyNumberFormat="1" applyFont="1" applyFill="1" applyBorder="1" applyAlignment="1">
      <alignment horizontal="center" vertical="center"/>
    </xf>
    <xf numFmtId="179" fontId="1" fillId="8" borderId="26" xfId="453" applyNumberFormat="1" applyFont="1" applyFill="1" applyBorder="1" applyAlignment="1">
      <alignment horizontal="center" vertical="center"/>
    </xf>
    <xf numFmtId="179" fontId="1" fillId="8" borderId="0" xfId="453" applyNumberFormat="1" applyFont="1" applyFill="1" applyBorder="1" applyAlignment="1">
      <alignment horizontal="center" vertical="center"/>
    </xf>
    <xf numFmtId="0" fontId="1" fillId="8" borderId="5" xfId="820" applyNumberFormat="1" applyFont="1" applyFill="1" applyBorder="1" applyAlignment="1">
      <alignment vertical="center" wrapText="1"/>
    </xf>
    <xf numFmtId="0" fontId="1" fillId="8" borderId="28" xfId="820" applyNumberFormat="1" applyFont="1" applyFill="1" applyBorder="1" applyAlignment="1">
      <alignment horizontal="distributed" vertical="center" wrapText="1"/>
    </xf>
    <xf numFmtId="186" fontId="1" fillId="8" borderId="5" xfId="453" applyNumberFormat="1" applyFont="1" applyFill="1" applyBorder="1" applyAlignment="1">
      <alignment horizontal="right" vertical="center"/>
    </xf>
    <xf numFmtId="186" fontId="1" fillId="8" borderId="14" xfId="453" applyNumberFormat="1" applyFont="1" applyFill="1" applyBorder="1" applyAlignment="1">
      <alignment horizontal="center" vertical="center"/>
    </xf>
    <xf numFmtId="179" fontId="1" fillId="8" borderId="28" xfId="453" applyNumberFormat="1" applyFont="1" applyFill="1" applyBorder="1" applyAlignment="1">
      <alignment horizontal="center" vertical="center"/>
    </xf>
    <xf numFmtId="0" fontId="1" fillId="8" borderId="14" xfId="453" applyNumberFormat="1" applyFont="1" applyFill="1" applyBorder="1" applyAlignment="1">
      <alignment horizontal="center" vertical="center"/>
    </xf>
    <xf numFmtId="0" fontId="1" fillId="8" borderId="19" xfId="820" applyNumberFormat="1" applyFont="1" applyFill="1" applyBorder="1" applyAlignment="1">
      <alignment horizontal="distributed" vertical="center"/>
    </xf>
    <xf numFmtId="179" fontId="1" fillId="8" borderId="2" xfId="453" applyNumberFormat="1" applyFont="1" applyFill="1" applyBorder="1" applyAlignment="1">
      <alignment horizontal="right" vertical="center"/>
    </xf>
    <xf numFmtId="179" fontId="1" fillId="8" borderId="3" xfId="453" applyNumberFormat="1" applyFont="1" applyFill="1" applyBorder="1" applyAlignment="1">
      <alignment horizontal="center" vertical="center"/>
    </xf>
    <xf numFmtId="179" fontId="1" fillId="8" borderId="19" xfId="453" applyNumberFormat="1" applyFont="1" applyFill="1" applyBorder="1" applyAlignment="1">
      <alignment horizontal="center" vertical="center"/>
    </xf>
    <xf numFmtId="0" fontId="1" fillId="8" borderId="3" xfId="453" applyNumberFormat="1" applyFont="1" applyFill="1" applyBorder="1" applyAlignment="1">
      <alignment horizontal="center" vertical="center"/>
    </xf>
    <xf numFmtId="0" fontId="1" fillId="8" borderId="0" xfId="835" applyNumberFormat="1" applyFont="1" applyFill="1" applyBorder="1" applyAlignment="1">
      <alignment horizontal="left" vertical="center"/>
    </xf>
    <xf numFmtId="0" fontId="1" fillId="8" borderId="0" xfId="835" quotePrefix="1" applyNumberFormat="1" applyFont="1" applyFill="1" applyBorder="1" applyAlignment="1">
      <alignment horizontal="left" vertical="center"/>
    </xf>
    <xf numFmtId="0" fontId="1" fillId="8" borderId="0" xfId="453" quotePrefix="1" applyNumberFormat="1" applyFont="1" applyFill="1" applyBorder="1" applyAlignment="1">
      <alignment horizontal="left" vertical="center"/>
    </xf>
    <xf numFmtId="186" fontId="1" fillId="8" borderId="26" xfId="453" applyNumberFormat="1" applyFont="1" applyFill="1" applyBorder="1" applyAlignment="1">
      <alignment horizontal="center" vertical="center"/>
    </xf>
    <xf numFmtId="186" fontId="1" fillId="8" borderId="0" xfId="453" applyNumberFormat="1" applyFont="1" applyFill="1" applyBorder="1" applyAlignment="1">
      <alignment horizontal="center" vertical="center"/>
    </xf>
    <xf numFmtId="186" fontId="1" fillId="8" borderId="19" xfId="453" applyNumberFormat="1" applyFont="1" applyFill="1" applyBorder="1" applyAlignment="1">
      <alignment horizontal="center" vertical="center"/>
    </xf>
    <xf numFmtId="0" fontId="3" fillId="8" borderId="0" xfId="453" applyNumberFormat="1" applyFont="1" applyFill="1" applyAlignment="1">
      <alignment horizontal="center" vertical="center"/>
    </xf>
    <xf numFmtId="0" fontId="2" fillId="8" borderId="29" xfId="0" applyNumberFormat="1" applyFont="1" applyFill="1" applyBorder="1" applyAlignment="1">
      <alignment horizontal="center" vertical="center"/>
    </xf>
    <xf numFmtId="0" fontId="2" fillId="8" borderId="4" xfId="0" applyNumberFormat="1" applyFont="1" applyFill="1" applyBorder="1" applyAlignment="1">
      <alignment vertical="center"/>
    </xf>
    <xf numFmtId="0" fontId="2" fillId="8" borderId="27" xfId="0" applyNumberFormat="1" applyFont="1" applyFill="1" applyBorder="1" applyAlignment="1">
      <alignment vertical="center"/>
    </xf>
    <xf numFmtId="0" fontId="2" fillId="8" borderId="26" xfId="0" applyNumberFormat="1" applyFont="1" applyFill="1" applyBorder="1" applyAlignment="1">
      <alignment vertical="center"/>
    </xf>
    <xf numFmtId="0" fontId="2" fillId="8" borderId="4" xfId="453" applyNumberFormat="1" applyFont="1" applyFill="1" applyBorder="1" applyAlignment="1">
      <alignment horizontal="left" vertical="center"/>
    </xf>
    <xf numFmtId="0" fontId="1" fillId="8" borderId="4" xfId="0" applyNumberFormat="1" applyFont="1" applyFill="1" applyBorder="1" applyAlignment="1">
      <alignment horizontal="center" vertical="center"/>
    </xf>
    <xf numFmtId="0" fontId="1" fillId="8" borderId="27" xfId="0" applyNumberFormat="1" applyFont="1" applyFill="1" applyBorder="1" applyAlignment="1">
      <alignment horizontal="center" vertical="center"/>
    </xf>
    <xf numFmtId="0" fontId="2" fillId="8" borderId="0" xfId="0" applyNumberFormat="1" applyFont="1" applyFill="1" applyBorder="1" applyAlignment="1">
      <alignment horizontal="distributed" vertical="center" shrinkToFit="1"/>
    </xf>
    <xf numFmtId="179" fontId="2" fillId="8" borderId="26" xfId="453" applyNumberFormat="1" applyFont="1" applyFill="1" applyBorder="1" applyAlignment="1">
      <alignment horizontal="center" vertical="center"/>
    </xf>
    <xf numFmtId="0" fontId="1" fillId="8" borderId="0" xfId="453" applyNumberFormat="1" applyFont="1" applyFill="1" applyBorder="1" applyAlignment="1">
      <alignment horizontal="distributed" vertical="center"/>
    </xf>
    <xf numFmtId="0" fontId="1" fillId="8" borderId="27" xfId="453" applyNumberFormat="1" applyFont="1" applyFill="1" applyBorder="1" applyAlignment="1">
      <alignment horizontal="left" vertical="center"/>
    </xf>
    <xf numFmtId="9" fontId="1" fillId="8" borderId="26" xfId="453" applyNumberFormat="1" applyFont="1" applyFill="1" applyBorder="1" applyAlignment="1">
      <alignment horizontal="center" vertical="center"/>
    </xf>
    <xf numFmtId="0" fontId="2" fillId="8" borderId="5" xfId="453" applyNumberFormat="1" applyFont="1" applyFill="1" applyBorder="1" applyAlignment="1">
      <alignment horizontal="left" vertical="center"/>
    </xf>
    <xf numFmtId="179" fontId="2" fillId="8" borderId="14" xfId="453" applyNumberFormat="1" applyFont="1" applyFill="1" applyBorder="1" applyAlignment="1">
      <alignment horizontal="center" vertical="center"/>
    </xf>
    <xf numFmtId="0" fontId="2" fillId="8" borderId="14" xfId="453" applyNumberFormat="1" applyFont="1" applyFill="1" applyBorder="1" applyAlignment="1">
      <alignment horizontal="left" vertical="center"/>
    </xf>
    <xf numFmtId="0" fontId="3" fillId="8" borderId="0" xfId="453" quotePrefix="1" applyNumberFormat="1" applyFont="1" applyFill="1" applyBorder="1" applyAlignment="1">
      <alignment horizontal="centerContinuous" vertical="center"/>
    </xf>
    <xf numFmtId="0" fontId="3" fillId="8" borderId="0" xfId="0" applyNumberFormat="1" applyFont="1" applyFill="1" applyAlignment="1">
      <alignment horizontal="left" vertical="center"/>
    </xf>
    <xf numFmtId="179" fontId="2" fillId="8" borderId="2" xfId="453" applyNumberFormat="1" applyFont="1" applyFill="1" applyBorder="1" applyAlignment="1">
      <alignment horizontal="right" vertical="center"/>
    </xf>
    <xf numFmtId="179" fontId="2" fillId="8" borderId="24" xfId="453" applyNumberFormat="1" applyFont="1" applyFill="1" applyBorder="1" applyAlignment="1">
      <alignment horizontal="right" vertical="center"/>
    </xf>
    <xf numFmtId="0" fontId="2" fillId="8" borderId="19" xfId="453" applyNumberFormat="1" applyFont="1" applyFill="1" applyBorder="1" applyAlignment="1">
      <alignment horizontal="left" vertical="center"/>
    </xf>
    <xf numFmtId="0" fontId="1" fillId="8" borderId="24" xfId="453" applyNumberFormat="1" applyFont="1" applyFill="1" applyBorder="1" applyAlignment="1">
      <alignment horizontal="left" vertical="center"/>
    </xf>
    <xf numFmtId="0" fontId="2" fillId="8" borderId="19" xfId="453" applyNumberFormat="1" applyFont="1" applyFill="1" applyBorder="1" applyAlignment="1">
      <alignment vertical="center"/>
    </xf>
    <xf numFmtId="0" fontId="2" fillId="8" borderId="2" xfId="453" applyNumberFormat="1" applyFont="1" applyFill="1" applyBorder="1" applyAlignment="1">
      <alignment vertical="center"/>
    </xf>
    <xf numFmtId="186" fontId="2" fillId="8" borderId="0" xfId="0" applyNumberFormat="1" applyFont="1" applyFill="1" applyAlignment="1">
      <alignment horizontal="right" vertical="center"/>
    </xf>
    <xf numFmtId="183" fontId="2" fillId="8" borderId="2" xfId="453" applyNumberFormat="1" applyFont="1" applyFill="1" applyBorder="1" applyAlignment="1">
      <alignment horizontal="right" vertical="center"/>
    </xf>
    <xf numFmtId="0" fontId="2" fillId="8" borderId="19" xfId="453" applyNumberFormat="1" applyFont="1" applyFill="1" applyBorder="1" applyAlignment="1">
      <alignment vertical="center" wrapText="1"/>
    </xf>
    <xf numFmtId="0" fontId="2" fillId="8" borderId="2" xfId="453" applyNumberFormat="1" applyFont="1" applyFill="1" applyBorder="1" applyAlignment="1">
      <alignment vertical="center" wrapText="1"/>
    </xf>
    <xf numFmtId="0" fontId="2" fillId="8" borderId="0" xfId="835" applyNumberFormat="1" applyFont="1" applyFill="1" applyBorder="1" applyAlignment="1">
      <alignment vertical="center"/>
    </xf>
    <xf numFmtId="183" fontId="2" fillId="8" borderId="24" xfId="453" applyNumberFormat="1" applyFont="1" applyFill="1" applyBorder="1" applyAlignment="1">
      <alignment horizontal="right" vertical="center"/>
    </xf>
    <xf numFmtId="183" fontId="2" fillId="8" borderId="19" xfId="453" applyNumberFormat="1" applyFont="1" applyFill="1" applyBorder="1" applyAlignment="1">
      <alignment horizontal="right" vertical="center"/>
    </xf>
    <xf numFmtId="229" fontId="2" fillId="8" borderId="0" xfId="0" applyNumberFormat="1" applyFont="1" applyFill="1" applyAlignment="1">
      <alignment horizontal="center" vertical="center"/>
    </xf>
    <xf numFmtId="0" fontId="2" fillId="8" borderId="3" xfId="0" applyNumberFormat="1" applyFont="1" applyFill="1" applyBorder="1" applyAlignment="1">
      <alignment horizontal="center" vertical="center" wrapText="1"/>
    </xf>
    <xf numFmtId="41" fontId="2" fillId="8" borderId="0" xfId="453" applyFont="1" applyFill="1" applyAlignment="1">
      <alignment horizontal="center" vertical="center"/>
    </xf>
    <xf numFmtId="179" fontId="2" fillId="8" borderId="0" xfId="0" applyNumberFormat="1" applyFont="1" applyFill="1" applyAlignment="1">
      <alignment horizontal="center" vertical="center"/>
    </xf>
    <xf numFmtId="0" fontId="2" fillId="8" borderId="19" xfId="0" applyNumberFormat="1" applyFont="1" applyFill="1" applyBorder="1" applyAlignment="1">
      <alignment horizontal="center" vertical="center"/>
    </xf>
    <xf numFmtId="0" fontId="2" fillId="8" borderId="19" xfId="0" applyNumberFormat="1" applyFont="1" applyFill="1" applyBorder="1" applyAlignment="1">
      <alignment horizontal="distributed" vertical="center"/>
    </xf>
    <xf numFmtId="0" fontId="2" fillId="8" borderId="15" xfId="823" applyNumberFormat="1" applyFont="1" applyFill="1" applyBorder="1" applyAlignment="1">
      <alignment horizontal="center" vertical="center"/>
    </xf>
    <xf numFmtId="0" fontId="2" fillId="8" borderId="19" xfId="0" applyNumberFormat="1" applyFont="1" applyFill="1" applyBorder="1" applyAlignment="1">
      <alignment horizontal="distributed" vertical="center"/>
    </xf>
    <xf numFmtId="0" fontId="2" fillId="8" borderId="2" xfId="0" applyNumberFormat="1" applyFont="1" applyFill="1" applyBorder="1" applyAlignment="1">
      <alignment horizontal="center" vertical="center"/>
    </xf>
    <xf numFmtId="0" fontId="2" fillId="8" borderId="19" xfId="0" applyNumberFormat="1" applyFont="1" applyFill="1" applyBorder="1" applyAlignment="1">
      <alignment horizontal="center" vertical="center"/>
    </xf>
    <xf numFmtId="0" fontId="2" fillId="8" borderId="24" xfId="0" applyNumberFormat="1" applyFont="1" applyFill="1" applyBorder="1" applyAlignment="1">
      <alignment horizontal="center" vertical="center"/>
    </xf>
    <xf numFmtId="0" fontId="2" fillId="8" borderId="2" xfId="453" applyNumberFormat="1" applyFont="1" applyFill="1" applyBorder="1" applyAlignment="1">
      <alignment horizontal="center" vertical="center"/>
    </xf>
    <xf numFmtId="0" fontId="2" fillId="8" borderId="24" xfId="453" applyNumberFormat="1" applyFont="1" applyFill="1" applyBorder="1" applyAlignment="1">
      <alignment horizontal="center" vertical="center"/>
    </xf>
    <xf numFmtId="0" fontId="2" fillId="8" borderId="19" xfId="453" applyNumberFormat="1" applyFont="1" applyFill="1" applyBorder="1" applyAlignment="1">
      <alignment horizontal="center" vertical="center"/>
    </xf>
    <xf numFmtId="0" fontId="2" fillId="8" borderId="24" xfId="823" applyNumberFormat="1" applyFont="1" applyFill="1" applyBorder="1" applyAlignment="1">
      <alignment horizontal="center" vertical="center"/>
    </xf>
    <xf numFmtId="0" fontId="2" fillId="8" borderId="30" xfId="823" applyNumberFormat="1" applyFont="1" applyFill="1" applyBorder="1" applyAlignment="1">
      <alignment horizontal="center" vertical="center"/>
    </xf>
    <xf numFmtId="0" fontId="2" fillId="8" borderId="3" xfId="823" applyNumberFormat="1" applyFont="1" applyFill="1" applyBorder="1" applyAlignment="1">
      <alignment horizontal="centerContinuous" vertical="center"/>
    </xf>
    <xf numFmtId="179" fontId="2" fillId="8" borderId="26" xfId="806" applyNumberFormat="1" applyFont="1" applyFill="1" applyBorder="1" applyAlignment="1">
      <alignment horizontal="right" vertical="center"/>
    </xf>
    <xf numFmtId="179" fontId="2" fillId="8" borderId="14" xfId="806" applyNumberFormat="1" applyFont="1" applyFill="1" applyBorder="1" applyAlignment="1">
      <alignment horizontal="right" vertical="center"/>
    </xf>
    <xf numFmtId="0" fontId="92" fillId="3" borderId="0" xfId="825" quotePrefix="1" applyNumberFormat="1" applyFont="1" applyFill="1" applyAlignment="1">
      <alignment horizontal="right" vertical="center"/>
    </xf>
    <xf numFmtId="0" fontId="22" fillId="8" borderId="19" xfId="453" applyNumberFormat="1" applyFont="1" applyFill="1" applyBorder="1" applyAlignment="1">
      <alignment horizontal="centerContinuous" vertical="center" wrapText="1"/>
    </xf>
    <xf numFmtId="0" fontId="2" fillId="0" borderId="3" xfId="454" applyNumberFormat="1" applyFont="1" applyFill="1" applyBorder="1" applyAlignment="1">
      <alignment horizontal="left" vertical="center" wrapText="1"/>
    </xf>
    <xf numFmtId="0" fontId="2" fillId="8" borderId="29" xfId="453" applyNumberFormat="1" applyFont="1" applyFill="1" applyBorder="1" applyAlignment="1">
      <alignment horizontal="center" vertical="center"/>
    </xf>
    <xf numFmtId="0" fontId="2" fillId="8" borderId="5" xfId="0" applyNumberFormat="1" applyFont="1" applyFill="1" applyBorder="1" applyAlignment="1">
      <alignment horizontal="center" vertical="center"/>
    </xf>
    <xf numFmtId="0" fontId="2" fillId="0" borderId="4" xfId="453" applyNumberFormat="1" applyFont="1" applyFill="1" applyBorder="1" applyAlignment="1">
      <alignment horizontal="right" vertical="center"/>
    </xf>
    <xf numFmtId="0" fontId="2" fillId="0" borderId="0" xfId="453" applyNumberFormat="1" applyFont="1" applyFill="1" applyBorder="1" applyAlignment="1">
      <alignment horizontal="left" vertical="center"/>
    </xf>
    <xf numFmtId="0" fontId="2" fillId="0" borderId="4" xfId="453" applyNumberFormat="1" applyFont="1" applyFill="1" applyBorder="1" applyAlignment="1">
      <alignment horizontal="center" vertical="center"/>
    </xf>
    <xf numFmtId="0" fontId="2" fillId="0" borderId="0" xfId="453" applyNumberFormat="1" applyFont="1" applyFill="1" applyBorder="1" applyAlignment="1">
      <alignment horizontal="distributed" vertical="center" shrinkToFit="1"/>
    </xf>
    <xf numFmtId="0" fontId="2" fillId="0" borderId="27" xfId="453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left" vertical="center" shrinkToFit="1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27" xfId="453" applyNumberFormat="1" applyFont="1" applyFill="1" applyBorder="1" applyAlignment="1">
      <alignment horizontal="left" vertical="center" shrinkToFi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826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Border="1" applyAlignment="1">
      <alignment horizontal="centerContinuous" vertical="center"/>
    </xf>
    <xf numFmtId="0" fontId="3" fillId="0" borderId="0" xfId="0" applyNumberFormat="1" applyFont="1" applyFill="1" applyAlignment="1">
      <alignment horizontal="center" vertical="center"/>
    </xf>
    <xf numFmtId="0" fontId="2" fillId="0" borderId="30" xfId="0" applyNumberFormat="1" applyFont="1" applyFill="1" applyBorder="1" applyAlignment="1">
      <alignment horizontal="centerContinuous" vertical="center"/>
    </xf>
    <xf numFmtId="0" fontId="2" fillId="0" borderId="25" xfId="0" applyNumberFormat="1" applyFont="1" applyFill="1" applyBorder="1" applyAlignment="1">
      <alignment horizontal="centerContinuous" vertical="center"/>
    </xf>
    <xf numFmtId="0" fontId="2" fillId="0" borderId="30" xfId="0" applyNumberFormat="1" applyFont="1" applyFill="1" applyBorder="1" applyAlignment="1">
      <alignment horizontal="centerContinuous" vertical="center" wrapText="1"/>
    </xf>
    <xf numFmtId="0" fontId="2" fillId="0" borderId="25" xfId="0" applyNumberFormat="1" applyFont="1" applyFill="1" applyBorder="1" applyAlignment="1">
      <alignment horizontal="centerContinuous" vertical="center" wrapText="1"/>
    </xf>
    <xf numFmtId="0" fontId="2" fillId="0" borderId="31" xfId="0" applyNumberFormat="1" applyFont="1" applyFill="1" applyBorder="1" applyAlignment="1">
      <alignment horizontal="centerContinuous" vertical="center" wrapText="1"/>
    </xf>
    <xf numFmtId="0" fontId="2" fillId="0" borderId="30" xfId="453" quotePrefix="1" applyNumberFormat="1" applyFont="1" applyFill="1" applyBorder="1" applyAlignment="1">
      <alignment horizontal="right" vertical="center"/>
    </xf>
    <xf numFmtId="0" fontId="2" fillId="0" borderId="25" xfId="453" applyNumberFormat="1" applyFont="1" applyFill="1" applyBorder="1" applyAlignment="1">
      <alignment horizontal="left" vertical="center"/>
    </xf>
    <xf numFmtId="0" fontId="2" fillId="0" borderId="30" xfId="453" applyNumberFormat="1" applyFont="1" applyFill="1" applyBorder="1" applyAlignment="1">
      <alignment horizontal="center" vertical="center"/>
    </xf>
    <xf numFmtId="0" fontId="2" fillId="0" borderId="25" xfId="453" applyNumberFormat="1" applyFont="1" applyFill="1" applyBorder="1" applyAlignment="1">
      <alignment horizontal="distributed" vertical="center"/>
    </xf>
    <xf numFmtId="0" fontId="2" fillId="0" borderId="31" xfId="453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left" vertical="center"/>
    </xf>
    <xf numFmtId="0" fontId="2" fillId="0" borderId="25" xfId="0" applyNumberFormat="1" applyFont="1" applyFill="1" applyBorder="1" applyAlignment="1">
      <alignment horizontal="left" vertical="center"/>
    </xf>
    <xf numFmtId="0" fontId="2" fillId="0" borderId="31" xfId="453" quotePrefix="1" applyNumberFormat="1" applyFont="1" applyFill="1" applyBorder="1" applyAlignment="1">
      <alignment horizontal="left" vertical="center" shrinkToFit="1"/>
    </xf>
    <xf numFmtId="0" fontId="2" fillId="0" borderId="31" xfId="0" applyNumberFormat="1" applyFont="1" applyFill="1" applyBorder="1" applyAlignment="1">
      <alignment horizontal="left" vertical="center" shrinkToFit="1"/>
    </xf>
    <xf numFmtId="0" fontId="2" fillId="0" borderId="0" xfId="453" applyNumberFormat="1" applyFont="1" applyFill="1" applyBorder="1" applyAlignment="1">
      <alignment horizontal="distributed" vertical="center"/>
    </xf>
    <xf numFmtId="0" fontId="2" fillId="0" borderId="27" xfId="453" quotePrefix="1" applyNumberFormat="1" applyFont="1" applyFill="1" applyBorder="1" applyAlignment="1">
      <alignment horizontal="left" vertical="center" shrinkToFit="1"/>
    </xf>
    <xf numFmtId="0" fontId="2" fillId="0" borderId="5" xfId="453" applyNumberFormat="1" applyFont="1" applyFill="1" applyBorder="1" applyAlignment="1">
      <alignment horizontal="right" vertical="center"/>
    </xf>
    <xf numFmtId="0" fontId="2" fillId="0" borderId="28" xfId="453" applyNumberFormat="1" applyFont="1" applyFill="1" applyBorder="1" applyAlignment="1">
      <alignment horizontal="left" vertical="center"/>
    </xf>
    <xf numFmtId="0" fontId="2" fillId="0" borderId="5" xfId="453" applyNumberFormat="1" applyFont="1" applyFill="1" applyBorder="1" applyAlignment="1">
      <alignment horizontal="center" vertical="center"/>
    </xf>
    <xf numFmtId="0" fontId="2" fillId="0" borderId="28" xfId="453" applyNumberFormat="1" applyFont="1" applyFill="1" applyBorder="1" applyAlignment="1">
      <alignment horizontal="distributed" vertical="center"/>
    </xf>
    <xf numFmtId="0" fontId="2" fillId="0" borderId="29" xfId="453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left" vertical="center" shrinkToFit="1"/>
    </xf>
    <xf numFmtId="0" fontId="2" fillId="0" borderId="28" xfId="0" applyNumberFormat="1" applyFont="1" applyFill="1" applyBorder="1" applyAlignment="1">
      <alignment horizontal="left" vertical="center"/>
    </xf>
    <xf numFmtId="0" fontId="2" fillId="0" borderId="29" xfId="453" quotePrefix="1" applyNumberFormat="1" applyFont="1" applyFill="1" applyBorder="1" applyAlignment="1">
      <alignment horizontal="left" vertical="center" shrinkToFit="1"/>
    </xf>
    <xf numFmtId="0" fontId="2" fillId="0" borderId="4" xfId="453" quotePrefix="1" applyNumberFormat="1" applyFont="1" applyFill="1" applyBorder="1" applyAlignment="1">
      <alignment horizontal="right" vertical="center"/>
    </xf>
    <xf numFmtId="0" fontId="2" fillId="0" borderId="31" xfId="453" applyNumberFormat="1" applyFont="1" applyFill="1" applyBorder="1" applyAlignment="1">
      <alignment horizontal="left" vertical="center" shrinkToFit="1"/>
    </xf>
    <xf numFmtId="0" fontId="2" fillId="0" borderId="29" xfId="453" applyNumberFormat="1" applyFont="1" applyFill="1" applyBorder="1" applyAlignment="1">
      <alignment horizontal="left" vertical="center" shrinkToFit="1"/>
    </xf>
    <xf numFmtId="0" fontId="2" fillId="0" borderId="2" xfId="453" applyNumberFormat="1" applyFont="1" applyFill="1" applyBorder="1" applyAlignment="1">
      <alignment horizontal="centerContinuous" vertical="center"/>
    </xf>
    <xf numFmtId="0" fontId="2" fillId="0" borderId="24" xfId="453" applyNumberFormat="1" applyFont="1" applyFill="1" applyBorder="1" applyAlignment="1">
      <alignment horizontal="centerContinuous" vertical="center"/>
    </xf>
    <xf numFmtId="0" fontId="2" fillId="0" borderId="19" xfId="453" applyNumberFormat="1" applyFont="1" applyFill="1" applyBorder="1" applyAlignment="1">
      <alignment horizontal="centerContinuous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4" xfId="453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230" fontId="2" fillId="8" borderId="0" xfId="453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2" fillId="0" borderId="0" xfId="453" applyNumberFormat="1" applyFont="1" applyFill="1" applyBorder="1" applyAlignment="1">
      <alignment horizontal="center" vertical="center"/>
    </xf>
    <xf numFmtId="0" fontId="2" fillId="0" borderId="0" xfId="453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2" fillId="0" borderId="2" xfId="453" applyNumberFormat="1" applyFont="1" applyFill="1" applyBorder="1" applyAlignment="1">
      <alignment horizontal="center" vertical="center"/>
    </xf>
    <xf numFmtId="0" fontId="2" fillId="0" borderId="24" xfId="453" applyNumberFormat="1" applyFont="1" applyFill="1" applyBorder="1" applyAlignment="1">
      <alignment horizontal="center" vertical="center"/>
    </xf>
    <xf numFmtId="183" fontId="2" fillId="0" borderId="2" xfId="453" applyNumberFormat="1" applyFont="1" applyFill="1" applyBorder="1" applyAlignment="1">
      <alignment horizontal="right" vertical="center"/>
    </xf>
    <xf numFmtId="183" fontId="2" fillId="0" borderId="24" xfId="453" applyNumberFormat="1" applyFont="1" applyFill="1" applyBorder="1" applyAlignment="1">
      <alignment horizontal="right" vertical="center"/>
    </xf>
    <xf numFmtId="183" fontId="2" fillId="0" borderId="19" xfId="453" applyNumberFormat="1" applyFont="1" applyFill="1" applyBorder="1" applyAlignment="1">
      <alignment horizontal="right" vertical="center"/>
    </xf>
    <xf numFmtId="0" fontId="2" fillId="0" borderId="19" xfId="453" applyNumberFormat="1" applyFont="1" applyFill="1" applyBorder="1" applyAlignment="1">
      <alignment horizontal="left" vertical="center"/>
    </xf>
    <xf numFmtId="0" fontId="2" fillId="0" borderId="2" xfId="453" applyNumberFormat="1" applyFont="1" applyFill="1" applyBorder="1" applyAlignment="1">
      <alignment horizontal="left" vertical="center"/>
    </xf>
    <xf numFmtId="0" fontId="0" fillId="0" borderId="19" xfId="0" applyNumberFormat="1" applyFont="1" applyFill="1" applyBorder="1" applyAlignment="1">
      <alignment horizontal="distributed" vertical="center"/>
    </xf>
    <xf numFmtId="0" fontId="2" fillId="0" borderId="19" xfId="453" applyNumberFormat="1" applyFont="1" applyFill="1" applyBorder="1" applyAlignment="1">
      <alignment vertical="center"/>
    </xf>
    <xf numFmtId="0" fontId="2" fillId="0" borderId="2" xfId="453" applyNumberFormat="1" applyFont="1" applyFill="1" applyBorder="1" applyAlignment="1">
      <alignment vertical="center"/>
    </xf>
    <xf numFmtId="179" fontId="2" fillId="0" borderId="2" xfId="453" applyNumberFormat="1" applyFont="1" applyFill="1" applyBorder="1" applyAlignment="1">
      <alignment horizontal="right" vertical="center"/>
    </xf>
    <xf numFmtId="179" fontId="2" fillId="0" borderId="24" xfId="453" applyNumberFormat="1" applyFont="1" applyFill="1" applyBorder="1" applyAlignment="1">
      <alignment horizontal="right" vertical="center"/>
    </xf>
    <xf numFmtId="179" fontId="2" fillId="0" borderId="19" xfId="453" applyNumberFormat="1" applyFont="1" applyFill="1" applyBorder="1" applyAlignment="1">
      <alignment horizontal="right" vertical="center"/>
    </xf>
    <xf numFmtId="0" fontId="2" fillId="0" borderId="19" xfId="453" applyNumberFormat="1" applyFont="1" applyFill="1" applyBorder="1" applyAlignment="1">
      <alignment vertical="center" wrapText="1"/>
    </xf>
    <xf numFmtId="0" fontId="2" fillId="0" borderId="2" xfId="453" applyNumberFormat="1" applyFont="1" applyFill="1" applyBorder="1" applyAlignment="1">
      <alignment vertical="center" wrapText="1"/>
    </xf>
    <xf numFmtId="0" fontId="2" fillId="0" borderId="19" xfId="453" applyNumberFormat="1" applyFont="1" applyFill="1" applyBorder="1" applyAlignment="1">
      <alignment horizontal="center" vertical="center"/>
    </xf>
    <xf numFmtId="0" fontId="2" fillId="0" borderId="0" xfId="835" quotePrefix="1" applyNumberFormat="1" applyFont="1" applyFill="1" applyBorder="1" applyAlignment="1">
      <alignment horizontal="left" vertical="center"/>
    </xf>
    <xf numFmtId="0" fontId="2" fillId="0" borderId="0" xfId="453" quotePrefix="1" applyNumberFormat="1" applyFont="1" applyFill="1" applyBorder="1" applyAlignment="1">
      <alignment horizontal="left" vertical="center"/>
    </xf>
    <xf numFmtId="0" fontId="2" fillId="0" borderId="0" xfId="835" applyNumberFormat="1" applyFont="1" applyFill="1" applyAlignment="1">
      <alignment vertical="center"/>
    </xf>
    <xf numFmtId="0" fontId="2" fillId="0" borderId="0" xfId="835" applyNumberFormat="1" applyFont="1" applyFill="1" applyAlignment="1">
      <alignment horizontal="left" vertical="center"/>
    </xf>
    <xf numFmtId="0" fontId="2" fillId="0" borderId="0" xfId="835" applyNumberFormat="1" applyFont="1" applyFill="1" applyBorder="1" applyAlignment="1">
      <alignment horizontal="left" vertical="center"/>
    </xf>
    <xf numFmtId="0" fontId="2" fillId="0" borderId="0" xfId="835" applyNumberFormat="1" applyFont="1" applyFill="1" applyBorder="1" applyAlignment="1">
      <alignment vertical="center"/>
    </xf>
    <xf numFmtId="0" fontId="2" fillId="0" borderId="0" xfId="453" applyNumberFormat="1" applyFont="1" applyFill="1" applyAlignment="1">
      <alignment horizontal="left" vertical="center"/>
    </xf>
    <xf numFmtId="0" fontId="0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Alignment="1">
      <alignment horizontal="centerContinuous" vertical="center"/>
    </xf>
    <xf numFmtId="0" fontId="2" fillId="0" borderId="0" xfId="453" applyNumberFormat="1" applyFont="1" applyFill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1" fillId="0" borderId="24" xfId="453" applyNumberFormat="1" applyFont="1" applyFill="1" applyBorder="1" applyAlignment="1">
      <alignment horizontal="left" vertical="center"/>
    </xf>
    <xf numFmtId="0" fontId="2" fillId="0" borderId="19" xfId="0" applyNumberFormat="1" applyFont="1" applyFill="1" applyBorder="1" applyAlignment="1">
      <alignment horizontal="distributed" vertical="center"/>
    </xf>
    <xf numFmtId="183" fontId="1" fillId="0" borderId="2" xfId="453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Continuous" vertical="center"/>
    </xf>
    <xf numFmtId="0" fontId="2" fillId="9" borderId="0" xfId="806" applyNumberFormat="1" applyFont="1" applyFill="1" applyAlignment="1">
      <alignment vertical="center"/>
    </xf>
    <xf numFmtId="0" fontId="3" fillId="9" borderId="0" xfId="806" applyNumberFormat="1" applyFont="1" applyFill="1" applyAlignment="1">
      <alignment horizontal="centerContinuous" vertical="center"/>
    </xf>
    <xf numFmtId="0" fontId="2" fillId="9" borderId="0" xfId="806" applyNumberFormat="1" applyFont="1" applyFill="1" applyAlignment="1">
      <alignment horizontal="centerContinuous" vertical="center"/>
    </xf>
    <xf numFmtId="0" fontId="2" fillId="9" borderId="2" xfId="823" applyNumberFormat="1" applyFont="1" applyFill="1" applyBorder="1" applyAlignment="1">
      <alignment horizontal="centerContinuous" vertical="center"/>
    </xf>
    <xf numFmtId="0" fontId="2" fillId="9" borderId="4" xfId="823" applyNumberFormat="1" applyFont="1" applyFill="1" applyBorder="1" applyAlignment="1">
      <alignment horizontal="centerContinuous" vertical="center"/>
    </xf>
    <xf numFmtId="179" fontId="2" fillId="9" borderId="4" xfId="806" applyNumberFormat="1" applyFont="1" applyFill="1" applyBorder="1" applyAlignment="1">
      <alignment horizontal="right" vertical="center"/>
    </xf>
    <xf numFmtId="179" fontId="2" fillId="9" borderId="5" xfId="806" applyNumberFormat="1" applyFont="1" applyFill="1" applyBorder="1" applyAlignment="1">
      <alignment horizontal="right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15" xfId="453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453" applyNumberFormat="1" applyFont="1" applyFill="1" applyBorder="1" applyAlignment="1">
      <alignment horizontal="center" vertical="center"/>
    </xf>
    <xf numFmtId="0" fontId="2" fillId="0" borderId="31" xfId="826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6" xfId="453" applyNumberFormat="1" applyFont="1" applyFill="1" applyBorder="1" applyAlignment="1">
      <alignment horizontal="center" vertical="center"/>
    </xf>
    <xf numFmtId="0" fontId="2" fillId="0" borderId="27" xfId="826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distributed" vertical="center"/>
    </xf>
    <xf numFmtId="0" fontId="2" fillId="0" borderId="27" xfId="0" applyNumberFormat="1" applyFont="1" applyFill="1" applyBorder="1" applyAlignment="1">
      <alignment horizontal="left" vertical="center"/>
    </xf>
    <xf numFmtId="179" fontId="2" fillId="0" borderId="26" xfId="0" applyNumberFormat="1" applyFont="1" applyFill="1" applyBorder="1" applyAlignment="1">
      <alignment horizontal="right" vertical="center" shrinkToFit="1"/>
    </xf>
    <xf numFmtId="179" fontId="2" fillId="0" borderId="27" xfId="453" applyNumberFormat="1" applyFont="1" applyFill="1" applyBorder="1" applyAlignment="1">
      <alignment horizontal="right" vertical="center" shrinkToFit="1"/>
    </xf>
    <xf numFmtId="179" fontId="2" fillId="0" borderId="26" xfId="453" applyNumberFormat="1" applyFont="1" applyFill="1" applyBorder="1" applyAlignment="1">
      <alignment horizontal="right" vertical="center" shrinkToFi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distributed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distributed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179" fontId="2" fillId="0" borderId="14" xfId="0" applyNumberFormat="1" applyFont="1" applyFill="1" applyBorder="1" applyAlignment="1">
      <alignment horizontal="right" vertical="center" shrinkToFit="1"/>
    </xf>
    <xf numFmtId="179" fontId="2" fillId="0" borderId="29" xfId="0" applyNumberFormat="1" applyFont="1" applyFill="1" applyBorder="1" applyAlignment="1">
      <alignment horizontal="right" vertical="center" shrinkToFit="1"/>
    </xf>
    <xf numFmtId="186" fontId="2" fillId="0" borderId="29" xfId="453" applyNumberFormat="1" applyFont="1" applyFill="1" applyBorder="1" applyAlignment="1">
      <alignment horizontal="right" vertical="center" shrinkToFit="1"/>
    </xf>
    <xf numFmtId="179" fontId="2" fillId="0" borderId="14" xfId="453" applyNumberFormat="1" applyFont="1" applyFill="1" applyBorder="1" applyAlignment="1">
      <alignment horizontal="right" vertical="center" shrinkToFi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179" fontId="2" fillId="0" borderId="3" xfId="0" applyNumberFormat="1" applyFont="1" applyFill="1" applyBorder="1" applyAlignment="1">
      <alignment horizontal="right" vertical="center" shrinkToFit="1"/>
    </xf>
    <xf numFmtId="179" fontId="2" fillId="0" borderId="3" xfId="453" applyNumberFormat="1" applyFont="1" applyFill="1" applyBorder="1" applyAlignment="1">
      <alignment horizontal="right" vertical="center" shrinkToFit="1"/>
    </xf>
    <xf numFmtId="179" fontId="2" fillId="0" borderId="24" xfId="453" applyNumberFormat="1" applyFont="1" applyFill="1" applyBorder="1" applyAlignment="1">
      <alignment horizontal="right" vertical="center" shrinkToFit="1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0" xfId="835" quotePrefix="1" applyNumberFormat="1" applyFont="1" applyFill="1" applyAlignment="1">
      <alignment horizontal="left" vertical="center"/>
    </xf>
    <xf numFmtId="0" fontId="2" fillId="0" borderId="0" xfId="453" applyNumberFormat="1" applyFont="1" applyFill="1" applyAlignment="1">
      <alignment vertical="center"/>
    </xf>
    <xf numFmtId="0" fontId="2" fillId="0" borderId="0" xfId="453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826" applyNumberFormat="1" applyFont="1" applyFill="1" applyBorder="1" applyAlignment="1">
      <alignment horizontal="left" vertical="center"/>
    </xf>
    <xf numFmtId="0" fontId="3" fillId="0" borderId="0" xfId="0" quotePrefix="1" applyNumberFormat="1" applyFont="1" applyFill="1" applyBorder="1" applyAlignment="1">
      <alignment horizontal="centerContinuous" vertical="center"/>
    </xf>
    <xf numFmtId="0" fontId="3" fillId="0" borderId="0" xfId="0" quotePrefix="1" applyNumberFormat="1" applyFont="1" applyFill="1" applyAlignment="1">
      <alignment horizontal="centerContinuous" vertical="center"/>
    </xf>
    <xf numFmtId="0" fontId="3" fillId="0" borderId="0" xfId="453" applyNumberFormat="1" applyFont="1" applyFill="1" applyAlignment="1">
      <alignment horizontal="centerContinuous" vertical="center"/>
    </xf>
    <xf numFmtId="0" fontId="3" fillId="0" borderId="0" xfId="453" quotePrefix="1" applyNumberFormat="1" applyFont="1" applyFill="1" applyAlignment="1">
      <alignment horizontal="centerContinuous" vertical="center"/>
    </xf>
    <xf numFmtId="186" fontId="2" fillId="0" borderId="29" xfId="453" applyNumberFormat="1" applyFont="1" applyFill="1" applyBorder="1" applyAlignment="1">
      <alignment horizontal="center" vertical="center" shrinkToFit="1"/>
    </xf>
    <xf numFmtId="0" fontId="3" fillId="0" borderId="0" xfId="453" applyNumberFormat="1" applyFont="1" applyFill="1" applyBorder="1" applyAlignment="1">
      <alignment horizontal="centerContinuous" vertical="center"/>
    </xf>
    <xf numFmtId="0" fontId="3" fillId="0" borderId="0" xfId="453" quotePrefix="1" applyNumberFormat="1" applyFont="1" applyFill="1" applyBorder="1" applyAlignment="1">
      <alignment horizontal="centerContinuous" vertical="center"/>
    </xf>
    <xf numFmtId="0" fontId="2" fillId="0" borderId="0" xfId="0" quotePrefix="1" applyNumberFormat="1" applyFont="1" applyFill="1" applyAlignment="1">
      <alignment horizontal="centerContinuous" vertical="center"/>
    </xf>
    <xf numFmtId="0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453" applyNumberFormat="1" applyFont="1" applyFill="1" applyBorder="1" applyAlignment="1">
      <alignment horizontal="centerContinuous" vertical="center"/>
    </xf>
    <xf numFmtId="0" fontId="2" fillId="0" borderId="0" xfId="453" applyNumberFormat="1" applyFont="1" applyFill="1" applyAlignment="1">
      <alignment horizontal="centerContinuous" vertical="center"/>
    </xf>
    <xf numFmtId="0" fontId="2" fillId="0" borderId="0" xfId="453" quotePrefix="1" applyNumberFormat="1" applyFont="1" applyFill="1" applyBorder="1" applyAlignment="1">
      <alignment horizontal="centerContinuous" vertical="center"/>
    </xf>
    <xf numFmtId="0" fontId="2" fillId="0" borderId="0" xfId="453" quotePrefix="1" applyNumberFormat="1" applyFont="1" applyFill="1" applyAlignment="1">
      <alignment horizontal="centerContinuous" vertical="center"/>
    </xf>
    <xf numFmtId="0" fontId="2" fillId="0" borderId="30" xfId="834" applyNumberFormat="1" applyFont="1" applyFill="1" applyBorder="1" applyAlignment="1">
      <alignment horizontal="center" vertical="center"/>
    </xf>
    <xf numFmtId="0" fontId="2" fillId="0" borderId="25" xfId="834" applyNumberFormat="1" applyFont="1" applyFill="1" applyBorder="1" applyAlignment="1">
      <alignment horizontal="center" vertical="center"/>
    </xf>
    <xf numFmtId="0" fontId="2" fillId="0" borderId="25" xfId="834" applyNumberFormat="1" applyFont="1" applyFill="1" applyBorder="1" applyAlignment="1">
      <alignment horizontal="right" vertical="center"/>
    </xf>
    <xf numFmtId="0" fontId="2" fillId="0" borderId="5" xfId="834" applyNumberFormat="1" applyFont="1" applyFill="1" applyBorder="1" applyAlignment="1">
      <alignment horizontal="left" vertical="center"/>
    </xf>
    <xf numFmtId="0" fontId="2" fillId="0" borderId="28" xfId="834" applyNumberFormat="1" applyFont="1" applyFill="1" applyBorder="1" applyAlignment="1">
      <alignment horizontal="left" vertical="center"/>
    </xf>
    <xf numFmtId="0" fontId="2" fillId="0" borderId="28" xfId="834" applyNumberFormat="1" applyFont="1" applyFill="1" applyBorder="1" applyAlignment="1">
      <alignment vertical="center"/>
    </xf>
    <xf numFmtId="0" fontId="2" fillId="0" borderId="19" xfId="453" applyNumberFormat="1" applyFont="1" applyFill="1" applyBorder="1" applyAlignment="1">
      <alignment horizontal="right" vertical="center"/>
    </xf>
    <xf numFmtId="0" fontId="2" fillId="0" borderId="19" xfId="0" quotePrefix="1" applyNumberFormat="1" applyFont="1" applyFill="1" applyBorder="1" applyAlignment="1">
      <alignment horizontal="distributed" vertical="center"/>
    </xf>
    <xf numFmtId="0" fontId="2" fillId="0" borderId="19" xfId="0" quotePrefix="1" applyNumberFormat="1" applyFont="1" applyFill="1" applyBorder="1" applyAlignment="1">
      <alignment horizontal="center" vertical="center"/>
    </xf>
    <xf numFmtId="179" fontId="2" fillId="0" borderId="2" xfId="0" applyNumberFormat="1" applyFont="1" applyFill="1" applyBorder="1" applyAlignment="1">
      <alignment horizontal="right" vertical="center"/>
    </xf>
    <xf numFmtId="185" fontId="2" fillId="0" borderId="2" xfId="0" applyNumberFormat="1" applyFont="1" applyFill="1" applyBorder="1" applyAlignment="1">
      <alignment horizontal="right" vertical="center"/>
    </xf>
    <xf numFmtId="41" fontId="2" fillId="0" borderId="0" xfId="453" applyFont="1" applyFill="1" applyAlignment="1">
      <alignment horizontal="center" vertical="center"/>
    </xf>
    <xf numFmtId="0" fontId="2" fillId="0" borderId="2" xfId="0" applyNumberFormat="1" applyFont="1" applyFill="1" applyBorder="1" applyAlignment="1">
      <alignment horizontal="centerContinuous" vertical="center"/>
    </xf>
    <xf numFmtId="0" fontId="2" fillId="0" borderId="28" xfId="0" quotePrefix="1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horizontal="centerContinuous" vertical="center"/>
    </xf>
    <xf numFmtId="0" fontId="2" fillId="0" borderId="19" xfId="0" quotePrefix="1" applyNumberFormat="1" applyFont="1" applyFill="1" applyBorder="1" applyAlignment="1">
      <alignment vertical="center"/>
    </xf>
    <xf numFmtId="179" fontId="2" fillId="0" borderId="0" xfId="0" applyNumberFormat="1" applyFont="1" applyFill="1" applyAlignment="1">
      <alignment horizontal="center" vertical="center"/>
    </xf>
    <xf numFmtId="179" fontId="1" fillId="0" borderId="2" xfId="453" applyNumberFormat="1" applyFont="1" applyFill="1" applyBorder="1" applyAlignment="1">
      <alignment horizontal="right" vertical="center"/>
    </xf>
    <xf numFmtId="179" fontId="1" fillId="0" borderId="24" xfId="453" applyNumberFormat="1" applyFont="1" applyFill="1" applyBorder="1" applyAlignment="1">
      <alignment horizontal="right" vertical="center"/>
    </xf>
    <xf numFmtId="185" fontId="1" fillId="0" borderId="2" xfId="0" applyNumberFormat="1" applyFont="1" applyFill="1" applyBorder="1" applyAlignment="1">
      <alignment horizontal="right" vertical="center"/>
    </xf>
    <xf numFmtId="0" fontId="1" fillId="0" borderId="19" xfId="453" applyNumberFormat="1" applyFont="1" applyFill="1" applyBorder="1" applyAlignment="1">
      <alignment horizontal="right" vertical="center"/>
    </xf>
    <xf numFmtId="0" fontId="2" fillId="0" borderId="25" xfId="453" applyNumberFormat="1" applyFont="1" applyFill="1" applyBorder="1" applyAlignment="1">
      <alignment horizontal="center" vertical="center"/>
    </xf>
    <xf numFmtId="0" fontId="2" fillId="0" borderId="28" xfId="453" applyNumberFormat="1" applyFont="1" applyFill="1" applyBorder="1" applyAlignment="1">
      <alignment horizontal="center" vertical="center"/>
    </xf>
    <xf numFmtId="0" fontId="2" fillId="0" borderId="15" xfId="453" applyNumberFormat="1" applyFont="1" applyFill="1" applyBorder="1" applyAlignment="1">
      <alignment horizontal="center" shrinkToFit="1"/>
    </xf>
    <xf numFmtId="0" fontId="2" fillId="0" borderId="14" xfId="453" applyNumberFormat="1" applyFont="1" applyFill="1" applyBorder="1" applyAlignment="1">
      <alignment horizontal="center" vertical="top" shrinkToFit="1"/>
    </xf>
    <xf numFmtId="179" fontId="2" fillId="0" borderId="3" xfId="453" applyNumberFormat="1" applyFont="1" applyFill="1" applyBorder="1" applyAlignment="1">
      <alignment horizontal="right" vertical="center"/>
    </xf>
    <xf numFmtId="0" fontId="2" fillId="0" borderId="0" xfId="833" applyNumberFormat="1" applyFont="1" applyFill="1" applyAlignment="1">
      <alignment vertical="center"/>
    </xf>
    <xf numFmtId="0" fontId="2" fillId="0" borderId="0" xfId="806" applyNumberFormat="1" applyFont="1" applyFill="1" applyAlignment="1">
      <alignment vertical="center"/>
    </xf>
    <xf numFmtId="0" fontId="3" fillId="0" borderId="0" xfId="833" applyNumberFormat="1" applyFont="1" applyFill="1" applyAlignment="1">
      <alignment horizontal="centerContinuous" vertical="center"/>
    </xf>
    <xf numFmtId="0" fontId="3" fillId="0" borderId="0" xfId="806" applyNumberFormat="1" applyFont="1" applyFill="1" applyAlignment="1">
      <alignment horizontal="centerContinuous" vertical="center"/>
    </xf>
    <xf numFmtId="0" fontId="3" fillId="0" borderId="0" xfId="833" applyNumberFormat="1" applyFont="1" applyFill="1" applyAlignment="1">
      <alignment vertical="center"/>
    </xf>
    <xf numFmtId="0" fontId="2" fillId="0" borderId="0" xfId="806" applyNumberFormat="1" applyFont="1" applyFill="1" applyAlignment="1">
      <alignment horizontal="centerContinuous" vertical="center"/>
    </xf>
    <xf numFmtId="0" fontId="2" fillId="0" borderId="0" xfId="833" applyNumberFormat="1" applyFont="1" applyFill="1" applyAlignment="1">
      <alignment horizontal="centerContinuous" vertical="center"/>
    </xf>
    <xf numFmtId="0" fontId="2" fillId="0" borderId="0" xfId="833" applyNumberFormat="1" applyFont="1" applyFill="1" applyAlignment="1">
      <alignment horizontal="left" vertical="center"/>
    </xf>
    <xf numFmtId="0" fontId="2" fillId="0" borderId="0" xfId="455" applyNumberFormat="1" applyFont="1" applyFill="1" applyAlignment="1">
      <alignment horizontal="right" vertical="center"/>
    </xf>
    <xf numFmtId="0" fontId="2" fillId="0" borderId="15" xfId="823" applyNumberFormat="1" applyFont="1" applyFill="1" applyBorder="1" applyAlignment="1">
      <alignment horizontal="center" shrinkToFit="1"/>
    </xf>
    <xf numFmtId="0" fontId="2" fillId="0" borderId="26" xfId="823" applyNumberFormat="1" applyFont="1" applyFill="1" applyBorder="1" applyAlignment="1">
      <alignment horizontal="center" vertical="top" shrinkToFit="1"/>
    </xf>
    <xf numFmtId="0" fontId="2" fillId="0" borderId="2" xfId="833" applyNumberFormat="1" applyFont="1" applyFill="1" applyBorder="1" applyAlignment="1">
      <alignment horizontal="centerContinuous" vertical="center"/>
    </xf>
    <xf numFmtId="0" fontId="2" fillId="0" borderId="19" xfId="832" applyNumberFormat="1" applyFont="1" applyFill="1" applyBorder="1" applyAlignment="1">
      <alignment horizontal="distributed" vertical="center"/>
    </xf>
    <xf numFmtId="0" fontId="2" fillId="0" borderId="24" xfId="833" applyNumberFormat="1" applyFont="1" applyFill="1" applyBorder="1" applyAlignment="1">
      <alignment horizontal="centerContinuous" vertical="center"/>
    </xf>
    <xf numFmtId="179" fontId="2" fillId="0" borderId="3" xfId="806" applyNumberFormat="1" applyFont="1" applyFill="1" applyBorder="1" applyAlignment="1">
      <alignment horizontal="right" vertical="center"/>
    </xf>
    <xf numFmtId="0" fontId="2" fillId="0" borderId="31" xfId="806" applyNumberFormat="1" applyFont="1" applyFill="1" applyBorder="1" applyAlignment="1">
      <alignment horizontal="center" vertical="center"/>
    </xf>
    <xf numFmtId="0" fontId="2" fillId="0" borderId="27" xfId="806" applyNumberFormat="1" applyFont="1" applyFill="1" applyBorder="1" applyAlignment="1">
      <alignment horizontal="center" vertical="center"/>
    </xf>
    <xf numFmtId="0" fontId="2" fillId="0" borderId="29" xfId="806" applyNumberFormat="1" applyFont="1" applyFill="1" applyBorder="1" applyAlignment="1">
      <alignment horizontal="center" vertical="center"/>
    </xf>
    <xf numFmtId="0" fontId="2" fillId="0" borderId="19" xfId="832" applyNumberFormat="1" applyFont="1" applyFill="1" applyBorder="1" applyAlignment="1">
      <alignment horizontal="center" vertical="center"/>
    </xf>
    <xf numFmtId="0" fontId="2" fillId="0" borderId="19" xfId="833" applyNumberFormat="1" applyFont="1" applyFill="1" applyBorder="1" applyAlignment="1">
      <alignment horizontal="centerContinuous" vertical="center"/>
    </xf>
    <xf numFmtId="0" fontId="2" fillId="0" borderId="15" xfId="806" applyNumberFormat="1" applyFont="1" applyFill="1" applyBorder="1" applyAlignment="1">
      <alignment horizontal="center" vertical="center"/>
    </xf>
    <xf numFmtId="0" fontId="2" fillId="0" borderId="26" xfId="806" applyNumberFormat="1" applyFont="1" applyFill="1" applyBorder="1" applyAlignment="1">
      <alignment horizontal="center" vertical="center"/>
    </xf>
    <xf numFmtId="0" fontId="2" fillId="0" borderId="2" xfId="806" applyNumberFormat="1" applyFont="1" applyFill="1" applyBorder="1" applyAlignment="1">
      <alignment horizontal="centerContinuous" vertical="center"/>
    </xf>
    <xf numFmtId="0" fontId="2" fillId="0" borderId="24" xfId="806" applyNumberFormat="1" applyFont="1" applyFill="1" applyBorder="1" applyAlignment="1">
      <alignment horizontal="center" vertical="center"/>
    </xf>
    <xf numFmtId="0" fontId="2" fillId="0" borderId="0" xfId="833" applyNumberFormat="1" applyFont="1" applyFill="1" applyBorder="1" applyAlignment="1">
      <alignment horizontal="left" vertical="center"/>
    </xf>
    <xf numFmtId="41" fontId="2" fillId="3" borderId="0" xfId="0" applyNumberFormat="1" applyFont="1" applyFill="1" applyAlignment="1">
      <alignment vertical="center"/>
    </xf>
    <xf numFmtId="183" fontId="2" fillId="0" borderId="0" xfId="453" applyNumberFormat="1" applyFont="1" applyFill="1" applyAlignment="1">
      <alignment horizontal="center" vertical="center"/>
    </xf>
    <xf numFmtId="183" fontId="3" fillId="0" borderId="0" xfId="0" applyNumberFormat="1" applyFont="1" applyFill="1" applyAlignment="1">
      <alignment horizontal="centerContinuous" vertical="center"/>
    </xf>
    <xf numFmtId="183" fontId="2" fillId="0" borderId="0" xfId="0" applyNumberFormat="1" applyFont="1" applyFill="1" applyAlignment="1">
      <alignment horizontal="centerContinuous" vertical="center"/>
    </xf>
    <xf numFmtId="183" fontId="2" fillId="0" borderId="0" xfId="0" applyNumberFormat="1" applyFont="1" applyFill="1" applyAlignment="1">
      <alignment horizontal="right" vertical="center"/>
    </xf>
    <xf numFmtId="183" fontId="2" fillId="0" borderId="24" xfId="0" applyNumberFormat="1" applyFont="1" applyFill="1" applyBorder="1" applyAlignment="1">
      <alignment horizontal="center" vertical="center"/>
    </xf>
    <xf numFmtId="183" fontId="2" fillId="0" borderId="24" xfId="453" applyNumberFormat="1" applyFont="1" applyFill="1" applyBorder="1" applyAlignment="1">
      <alignment horizontal="left" vertical="center"/>
    </xf>
    <xf numFmtId="183" fontId="1" fillId="0" borderId="24" xfId="453" applyNumberFormat="1" applyFont="1" applyFill="1" applyBorder="1" applyAlignment="1">
      <alignment horizontal="left" vertical="center"/>
    </xf>
    <xf numFmtId="183" fontId="2" fillId="0" borderId="0" xfId="0" applyNumberFormat="1" applyFont="1" applyFill="1" applyAlignment="1">
      <alignment horizontal="center" vertical="center"/>
    </xf>
    <xf numFmtId="179" fontId="94" fillId="8" borderId="26" xfId="453" applyNumberFormat="1" applyFont="1" applyFill="1" applyBorder="1" applyAlignment="1">
      <alignment horizontal="right" vertical="center"/>
    </xf>
    <xf numFmtId="183" fontId="95" fillId="0" borderId="24" xfId="0" applyNumberFormat="1" applyFont="1" applyFill="1" applyBorder="1" applyAlignment="1">
      <alignment horizontal="center" vertical="center"/>
    </xf>
    <xf numFmtId="183" fontId="95" fillId="0" borderId="24" xfId="453" applyNumberFormat="1" applyFont="1" applyFill="1" applyBorder="1" applyAlignment="1">
      <alignment horizontal="left" vertical="center"/>
    </xf>
    <xf numFmtId="0" fontId="95" fillId="0" borderId="19" xfId="453" applyNumberFormat="1" applyFont="1" applyFill="1" applyBorder="1" applyAlignment="1">
      <alignment horizontal="right" vertical="center"/>
    </xf>
    <xf numFmtId="183" fontId="0" fillId="0" borderId="24" xfId="453" applyNumberFormat="1" applyFont="1" applyFill="1" applyBorder="1" applyAlignment="1">
      <alignment horizontal="left" vertical="center"/>
    </xf>
    <xf numFmtId="0" fontId="0" fillId="3" borderId="0" xfId="0" applyNumberFormat="1" applyFill="1" applyAlignment="1">
      <alignment vertical="center"/>
    </xf>
    <xf numFmtId="0" fontId="0" fillId="3" borderId="0" xfId="835" applyNumberFormat="1" applyFont="1" applyFill="1" applyBorder="1" applyAlignment="1">
      <alignment horizontal="left" vertical="center"/>
    </xf>
    <xf numFmtId="0" fontId="0" fillId="8" borderId="0" xfId="0" applyNumberFormat="1" applyFill="1" applyBorder="1" applyAlignment="1">
      <alignment horizontal="distributed" vertical="center"/>
    </xf>
    <xf numFmtId="0" fontId="0" fillId="8" borderId="0" xfId="0" applyNumberFormat="1" applyFill="1" applyBorder="1" applyAlignment="1">
      <alignment horizontal="distributed" vertical="center" shrinkToFit="1"/>
    </xf>
    <xf numFmtId="0" fontId="0" fillId="8" borderId="26" xfId="453" applyNumberFormat="1" applyFon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left" vertical="center" shrinkToFit="1"/>
    </xf>
    <xf numFmtId="0" fontId="0" fillId="0" borderId="27" xfId="453" applyNumberFormat="1" applyFont="1" applyFill="1" applyBorder="1" applyAlignment="1">
      <alignment horizontal="left" vertical="center" shrinkToFit="1"/>
    </xf>
    <xf numFmtId="179" fontId="96" fillId="0" borderId="2" xfId="453" applyNumberFormat="1" applyFont="1" applyFill="1" applyBorder="1" applyAlignment="1">
      <alignment horizontal="right" vertical="center"/>
    </xf>
    <xf numFmtId="185" fontId="1" fillId="8" borderId="26" xfId="453" applyNumberFormat="1" applyFont="1" applyFill="1" applyBorder="1" applyAlignment="1">
      <alignment horizontal="center" vertical="center"/>
    </xf>
    <xf numFmtId="185" fontId="1" fillId="8" borderId="4" xfId="453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1" fontId="1" fillId="0" borderId="3" xfId="454" applyFont="1" applyFill="1" applyBorder="1" applyAlignment="1">
      <alignment horizontal="left" vertical="center" wrapText="1"/>
    </xf>
    <xf numFmtId="232" fontId="2" fillId="0" borderId="27" xfId="453" applyNumberFormat="1" applyFont="1" applyFill="1" applyBorder="1" applyAlignment="1">
      <alignment horizontal="right" vertical="center" shrinkToFit="1"/>
    </xf>
    <xf numFmtId="0" fontId="0" fillId="0" borderId="30" xfId="453" quotePrefix="1" applyNumberFormat="1" applyFont="1" applyFill="1" applyBorder="1" applyAlignment="1">
      <alignment horizontal="right" vertical="center"/>
    </xf>
    <xf numFmtId="0" fontId="0" fillId="0" borderId="4" xfId="453" quotePrefix="1" applyNumberFormat="1" applyFont="1" applyFill="1" applyBorder="1" applyAlignment="1">
      <alignment horizontal="right" vertical="center"/>
    </xf>
    <xf numFmtId="0" fontId="0" fillId="0" borderId="25" xfId="453" applyNumberFormat="1" applyFont="1" applyFill="1" applyBorder="1" applyAlignment="1">
      <alignment horizontal="left" vertical="center"/>
    </xf>
    <xf numFmtId="0" fontId="0" fillId="0" borderId="28" xfId="453" applyNumberFormat="1" applyFont="1" applyFill="1" applyBorder="1" applyAlignment="1">
      <alignment horizontal="left" vertical="center"/>
    </xf>
    <xf numFmtId="0" fontId="0" fillId="0" borderId="0" xfId="453" applyNumberFormat="1" applyFont="1" applyFill="1" applyBorder="1" applyAlignment="1">
      <alignment horizontal="left" vertical="center"/>
    </xf>
    <xf numFmtId="0" fontId="0" fillId="0" borderId="29" xfId="0" applyNumberFormat="1" applyFill="1" applyBorder="1" applyAlignment="1">
      <alignment horizontal="left" vertical="center" shrinkToFit="1"/>
    </xf>
    <xf numFmtId="0" fontId="0" fillId="0" borderId="29" xfId="453" applyNumberFormat="1" applyFont="1" applyFill="1" applyBorder="1" applyAlignment="1">
      <alignment horizontal="left" vertical="center" shrinkToFit="1"/>
    </xf>
    <xf numFmtId="0" fontId="0" fillId="3" borderId="25" xfId="453" applyNumberFormat="1" applyFont="1" applyFill="1" applyBorder="1" applyAlignment="1">
      <alignment horizontal="distributed" vertical="center"/>
    </xf>
    <xf numFmtId="0" fontId="0" fillId="3" borderId="28" xfId="453" applyNumberFormat="1" applyFont="1" applyFill="1" applyBorder="1" applyAlignment="1">
      <alignment horizontal="distributed" vertical="center"/>
    </xf>
    <xf numFmtId="0" fontId="0" fillId="8" borderId="14" xfId="0" applyNumberFormat="1" applyFill="1" applyBorder="1" applyAlignment="1">
      <alignment vertical="center"/>
    </xf>
    <xf numFmtId="0" fontId="0" fillId="3" borderId="15" xfId="0" applyNumberFormat="1" applyFill="1" applyBorder="1" applyAlignment="1">
      <alignment horizontal="center" vertical="center" wrapText="1"/>
    </xf>
    <xf numFmtId="0" fontId="0" fillId="3" borderId="3" xfId="0" applyNumberFormat="1" applyFill="1" applyBorder="1" applyAlignment="1">
      <alignment vertical="center" wrapText="1"/>
    </xf>
    <xf numFmtId="0" fontId="2" fillId="3" borderId="19" xfId="0" applyNumberFormat="1" applyFont="1" applyFill="1" applyBorder="1" applyAlignment="1">
      <alignment vertical="center"/>
    </xf>
    <xf numFmtId="0" fontId="0" fillId="3" borderId="19" xfId="453" applyNumberFormat="1" applyFont="1" applyFill="1" applyBorder="1" applyAlignment="1">
      <alignment horizontal="distributed" vertical="center"/>
    </xf>
    <xf numFmtId="0" fontId="2" fillId="3" borderId="2" xfId="453" applyNumberFormat="1" applyFont="1" applyFill="1" applyBorder="1" applyAlignment="1">
      <alignment horizontal="distributed" vertical="center"/>
    </xf>
    <xf numFmtId="0" fontId="2" fillId="3" borderId="24" xfId="453" applyNumberFormat="1" applyFont="1" applyFill="1" applyBorder="1" applyAlignment="1">
      <alignment vertical="center"/>
    </xf>
    <xf numFmtId="41" fontId="0" fillId="8" borderId="3" xfId="454" applyFont="1" applyFill="1" applyBorder="1" applyAlignment="1">
      <alignment horizontal="left" vertical="center" wrapText="1"/>
    </xf>
    <xf numFmtId="41" fontId="0" fillId="0" borderId="3" xfId="454" applyFont="1" applyFill="1" applyBorder="1" applyAlignment="1">
      <alignment horizontal="left" vertical="center" wrapText="1"/>
    </xf>
    <xf numFmtId="10" fontId="0" fillId="0" borderId="0" xfId="0" applyNumberFormat="1" applyFont="1" applyFill="1" applyAlignment="1">
      <alignment horizontal="center" vertical="center"/>
    </xf>
    <xf numFmtId="41" fontId="0" fillId="0" borderId="0" xfId="453" applyFont="1" applyFill="1" applyAlignment="1">
      <alignment horizontal="left" vertical="center"/>
    </xf>
    <xf numFmtId="179" fontId="96" fillId="0" borderId="26" xfId="453" applyNumberFormat="1" applyFont="1" applyFill="1" applyBorder="1" applyAlignment="1">
      <alignment horizontal="center" vertical="center"/>
    </xf>
    <xf numFmtId="179" fontId="96" fillId="0" borderId="26" xfId="453" applyNumberFormat="1" applyFont="1" applyFill="1" applyBorder="1" applyAlignment="1">
      <alignment horizontal="right" vertical="center"/>
    </xf>
    <xf numFmtId="0" fontId="96" fillId="0" borderId="27" xfId="0" applyNumberFormat="1" applyFont="1" applyFill="1" applyBorder="1" applyAlignment="1">
      <alignment horizontal="center" vertical="center"/>
    </xf>
    <xf numFmtId="0" fontId="96" fillId="0" borderId="0" xfId="0" applyNumberFormat="1" applyFont="1" applyFill="1" applyBorder="1" applyAlignment="1">
      <alignment horizontal="distributed" vertical="center"/>
    </xf>
    <xf numFmtId="0" fontId="96" fillId="0" borderId="4" xfId="0" applyNumberFormat="1" applyFont="1" applyFill="1" applyBorder="1" applyAlignment="1">
      <alignment horizontal="center" vertical="center"/>
    </xf>
    <xf numFmtId="0" fontId="96" fillId="0" borderId="26" xfId="453" applyNumberFormat="1" applyFont="1" applyFill="1" applyBorder="1" applyAlignment="1">
      <alignment horizontal="center" vertical="center"/>
    </xf>
    <xf numFmtId="0" fontId="96" fillId="0" borderId="27" xfId="453" applyNumberFormat="1" applyFont="1" applyFill="1" applyBorder="1" applyAlignment="1">
      <alignment horizontal="left" vertical="center"/>
    </xf>
    <xf numFmtId="0" fontId="96" fillId="0" borderId="0" xfId="453" applyNumberFormat="1" applyFont="1" applyFill="1" applyBorder="1" applyAlignment="1">
      <alignment horizontal="distributed" vertical="center"/>
    </xf>
    <xf numFmtId="0" fontId="2" fillId="10" borderId="0" xfId="0" applyNumberFormat="1" applyFont="1" applyFill="1" applyAlignment="1">
      <alignment horizontal="center" vertical="center"/>
    </xf>
    <xf numFmtId="183" fontId="2" fillId="10" borderId="24" xfId="453" applyNumberFormat="1" applyFont="1" applyFill="1" applyBorder="1" applyAlignment="1">
      <alignment horizontal="left" vertical="center"/>
    </xf>
    <xf numFmtId="0" fontId="2" fillId="10" borderId="19" xfId="453" applyNumberFormat="1" applyFont="1" applyFill="1" applyBorder="1" applyAlignment="1">
      <alignment horizontal="right" vertical="center"/>
    </xf>
    <xf numFmtId="185" fontId="2" fillId="10" borderId="2" xfId="0" applyNumberFormat="1" applyFont="1" applyFill="1" applyBorder="1" applyAlignment="1">
      <alignment horizontal="right" vertical="center"/>
    </xf>
    <xf numFmtId="179" fontId="2" fillId="10" borderId="24" xfId="453" applyNumberFormat="1" applyFont="1" applyFill="1" applyBorder="1" applyAlignment="1">
      <alignment horizontal="right" vertical="center"/>
    </xf>
    <xf numFmtId="179" fontId="2" fillId="10" borderId="2" xfId="453" applyNumberFormat="1" applyFont="1" applyFill="1" applyBorder="1" applyAlignment="1">
      <alignment horizontal="right" vertical="center"/>
    </xf>
    <xf numFmtId="49" fontId="1" fillId="8" borderId="4" xfId="807" applyNumberFormat="1" applyFont="1" applyFill="1" applyBorder="1" applyAlignment="1">
      <alignment horizontal="center" vertical="center"/>
    </xf>
    <xf numFmtId="49" fontId="1" fillId="8" borderId="26" xfId="807" applyNumberFormat="1" applyFont="1" applyFill="1" applyBorder="1" applyAlignment="1">
      <alignment horizontal="center" vertical="center"/>
    </xf>
    <xf numFmtId="49" fontId="1" fillId="8" borderId="26" xfId="807" applyNumberFormat="1" applyFont="1" applyFill="1" applyBorder="1" applyAlignment="1">
      <alignment horizontal="center" vertical="center"/>
    </xf>
    <xf numFmtId="0" fontId="0" fillId="8" borderId="0" xfId="826" applyFont="1" applyFill="1" applyAlignment="1">
      <alignment horizontal="left" vertical="center"/>
    </xf>
    <xf numFmtId="49" fontId="0" fillId="8" borderId="3" xfId="807" applyNumberFormat="1" applyFont="1" applyFill="1" applyBorder="1" applyAlignment="1">
      <alignment horizontal="center" vertical="center"/>
    </xf>
    <xf numFmtId="41" fontId="96" fillId="8" borderId="3" xfId="988" applyFont="1" applyFill="1" applyBorder="1" applyAlignment="1">
      <alignment horizontal="left" vertical="center" wrapText="1"/>
    </xf>
    <xf numFmtId="41" fontId="96" fillId="8" borderId="3" xfId="988" applyFont="1" applyFill="1" applyBorder="1" applyAlignment="1">
      <alignment horizontal="left" vertical="center" wrapText="1" shrinkToFit="1"/>
    </xf>
    <xf numFmtId="41" fontId="96" fillId="8" borderId="3" xfId="988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distributed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0" fillId="8" borderId="28" xfId="820" applyNumberFormat="1" applyFont="1" applyFill="1" applyBorder="1" applyAlignment="1">
      <alignment horizontal="distributed" vertical="center" wrapText="1"/>
    </xf>
    <xf numFmtId="186" fontId="1" fillId="8" borderId="5" xfId="453" applyNumberFormat="1" applyFont="1" applyFill="1" applyBorder="1" applyAlignment="1">
      <alignment horizontal="center" vertical="center"/>
    </xf>
    <xf numFmtId="0" fontId="0" fillId="8" borderId="14" xfId="453" applyNumberFormat="1" applyFont="1" applyFill="1" applyBorder="1" applyAlignment="1">
      <alignment horizontal="center" vertical="center"/>
    </xf>
    <xf numFmtId="41" fontId="0" fillId="8" borderId="26" xfId="453" applyFont="1" applyFill="1" applyBorder="1" applyAlignment="1">
      <alignment horizontal="center" vertical="center"/>
    </xf>
    <xf numFmtId="0" fontId="2" fillId="10" borderId="0" xfId="835" applyNumberFormat="1" applyFont="1" applyFill="1" applyAlignment="1">
      <alignment vertical="center"/>
    </xf>
    <xf numFmtId="0" fontId="2" fillId="10" borderId="0" xfId="835" applyNumberFormat="1" applyFont="1" applyFill="1" applyAlignment="1">
      <alignment horizontal="left" vertical="center"/>
    </xf>
    <xf numFmtId="0" fontId="1" fillId="0" borderId="0" xfId="835" quotePrefix="1" applyNumberFormat="1" applyFont="1" applyFill="1" applyBorder="1" applyAlignment="1">
      <alignment horizontal="left" vertical="center"/>
    </xf>
    <xf numFmtId="0" fontId="1" fillId="0" borderId="0" xfId="1002" quotePrefix="1" applyNumberFormat="1" applyFont="1" applyFill="1" applyBorder="1" applyAlignment="1">
      <alignment horizontal="left" vertical="center"/>
    </xf>
    <xf numFmtId="0" fontId="1" fillId="0" borderId="0" xfId="835" applyNumberFormat="1" applyFont="1" applyFill="1" applyBorder="1" applyAlignment="1">
      <alignment horizontal="left" vertical="center"/>
    </xf>
    <xf numFmtId="0" fontId="1" fillId="8" borderId="0" xfId="835" quotePrefix="1" applyNumberFormat="1" applyFont="1" applyFill="1" applyBorder="1" applyAlignment="1">
      <alignment horizontal="left" vertical="center"/>
    </xf>
    <xf numFmtId="0" fontId="1" fillId="8" borderId="0" xfId="1053" quotePrefix="1" applyNumberFormat="1" applyFont="1" applyFill="1" applyBorder="1" applyAlignment="1">
      <alignment horizontal="left" vertical="center"/>
    </xf>
    <xf numFmtId="0" fontId="1" fillId="8" borderId="0" xfId="835" applyNumberFormat="1" applyFont="1" applyFill="1" applyBorder="1" applyAlignment="1">
      <alignment horizontal="left" vertical="center"/>
    </xf>
    <xf numFmtId="0" fontId="1" fillId="8" borderId="0" xfId="835" quotePrefix="1" applyNumberFormat="1" applyFont="1" applyFill="1" applyBorder="1" applyAlignment="1">
      <alignment horizontal="left" vertical="center"/>
    </xf>
    <xf numFmtId="0" fontId="1" fillId="8" borderId="0" xfId="1013" quotePrefix="1" applyNumberFormat="1" applyFont="1" applyFill="1" applyBorder="1" applyAlignment="1">
      <alignment horizontal="left" vertical="center"/>
    </xf>
    <xf numFmtId="0" fontId="1" fillId="8" borderId="0" xfId="835" applyNumberFormat="1" applyFont="1" applyFill="1" applyBorder="1" applyAlignment="1">
      <alignment horizontal="left" vertical="center"/>
    </xf>
    <xf numFmtId="232" fontId="103" fillId="0" borderId="27" xfId="453" applyNumberFormat="1" applyFont="1" applyFill="1" applyBorder="1" applyAlignment="1">
      <alignment horizontal="right" vertical="center" shrinkToFit="1"/>
    </xf>
    <xf numFmtId="179" fontId="103" fillId="0" borderId="3" xfId="453" applyNumberFormat="1" applyFont="1" applyFill="1" applyBorder="1" applyAlignment="1">
      <alignment horizontal="right" vertical="center" shrinkToFit="1"/>
    </xf>
    <xf numFmtId="179" fontId="103" fillId="0" borderId="26" xfId="453" applyNumberFormat="1" applyFont="1" applyFill="1" applyBorder="1" applyAlignment="1">
      <alignment horizontal="right" vertical="center" shrinkToFit="1"/>
    </xf>
    <xf numFmtId="179" fontId="103" fillId="0" borderId="14" xfId="453" applyNumberFormat="1" applyFont="1" applyFill="1" applyBorder="1" applyAlignment="1">
      <alignment horizontal="right" vertical="center" shrinkToFit="1"/>
    </xf>
    <xf numFmtId="179" fontId="103" fillId="0" borderId="3" xfId="806" applyNumberFormat="1" applyFont="1" applyFill="1" applyBorder="1" applyAlignment="1">
      <alignment horizontal="right" vertical="center"/>
    </xf>
    <xf numFmtId="179" fontId="103" fillId="0" borderId="2" xfId="453" applyNumberFormat="1" applyFont="1" applyFill="1" applyBorder="1" applyAlignment="1">
      <alignment horizontal="right" vertical="center"/>
    </xf>
    <xf numFmtId="179" fontId="103" fillId="8" borderId="3" xfId="453" applyNumberFormat="1" applyFont="1" applyFill="1" applyBorder="1" applyAlignment="1">
      <alignment horizontal="right" vertical="center"/>
    </xf>
    <xf numFmtId="0" fontId="15" fillId="0" borderId="0" xfId="1085" applyFont="1" applyFill="1">
      <alignment vertical="center"/>
    </xf>
    <xf numFmtId="41" fontId="101" fillId="12" borderId="61" xfId="1086" applyFont="1" applyFill="1" applyBorder="1" applyAlignment="1">
      <alignment horizontal="center" vertical="center"/>
    </xf>
    <xf numFmtId="41" fontId="98" fillId="0" borderId="14" xfId="1086" applyFont="1" applyFill="1" applyBorder="1" applyAlignment="1">
      <alignment vertical="center"/>
    </xf>
    <xf numFmtId="41" fontId="98" fillId="0" borderId="29" xfId="1085" applyNumberFormat="1" applyFont="1" applyFill="1" applyBorder="1" applyAlignment="1">
      <alignment horizontal="left" vertical="center"/>
    </xf>
    <xf numFmtId="233" fontId="98" fillId="0" borderId="29" xfId="1085" applyNumberFormat="1" applyFont="1" applyFill="1" applyBorder="1" applyAlignment="1">
      <alignment horizontal="left" vertical="center"/>
    </xf>
    <xf numFmtId="233" fontId="98" fillId="0" borderId="14" xfId="1086" applyNumberFormat="1" applyFont="1" applyFill="1" applyBorder="1" applyAlignment="1">
      <alignment vertical="center"/>
    </xf>
    <xf numFmtId="179" fontId="100" fillId="0" borderId="14" xfId="1086" applyNumberFormat="1" applyFont="1" applyFill="1" applyBorder="1" applyAlignment="1">
      <alignment horizontal="right" vertical="center"/>
    </xf>
    <xf numFmtId="10" fontId="100" fillId="0" borderId="14" xfId="1086" applyNumberFormat="1" applyFont="1" applyFill="1" applyBorder="1" applyAlignment="1">
      <alignment horizontal="right" vertical="center"/>
    </xf>
    <xf numFmtId="41" fontId="99" fillId="0" borderId="9" xfId="1087" applyNumberFormat="1" applyFont="1" applyFill="1" applyBorder="1" applyAlignment="1">
      <alignment horizontal="left" vertical="center" wrapText="1" shrinkToFit="1"/>
    </xf>
    <xf numFmtId="0" fontId="99" fillId="0" borderId="9" xfId="1087" applyNumberFormat="1" applyFont="1" applyFill="1" applyBorder="1" applyAlignment="1">
      <alignment horizontal="left" vertical="center" shrinkToFit="1"/>
    </xf>
    <xf numFmtId="234" fontId="99" fillId="0" borderId="9" xfId="1087" applyNumberFormat="1" applyFont="1" applyFill="1" applyBorder="1" applyAlignment="1">
      <alignment horizontal="left" vertical="center" shrinkToFit="1"/>
    </xf>
    <xf numFmtId="41" fontId="98" fillId="13" borderId="14" xfId="1086" applyFont="1" applyFill="1" applyBorder="1" applyAlignment="1">
      <alignment vertical="center"/>
    </xf>
    <xf numFmtId="41" fontId="98" fillId="13" borderId="29" xfId="1085" applyNumberFormat="1" applyFont="1" applyFill="1" applyBorder="1" applyAlignment="1">
      <alignment horizontal="left" vertical="center"/>
    </xf>
    <xf numFmtId="233" fontId="98" fillId="13" borderId="29" xfId="1085" applyNumberFormat="1" applyFont="1" applyFill="1" applyBorder="1" applyAlignment="1">
      <alignment horizontal="left" vertical="center"/>
    </xf>
    <xf numFmtId="179" fontId="100" fillId="13" borderId="14" xfId="1086" applyNumberFormat="1" applyFont="1" applyFill="1" applyBorder="1" applyAlignment="1">
      <alignment horizontal="right" vertical="center"/>
    </xf>
    <xf numFmtId="10" fontId="100" fillId="13" borderId="14" xfId="1086" applyNumberFormat="1" applyFont="1" applyFill="1" applyBorder="1" applyAlignment="1">
      <alignment horizontal="right" vertical="center"/>
    </xf>
    <xf numFmtId="0" fontId="99" fillId="13" borderId="66" xfId="1086" applyNumberFormat="1" applyFont="1" applyFill="1" applyBorder="1" applyAlignment="1">
      <alignment horizontal="left" vertical="center" shrinkToFit="1"/>
    </xf>
    <xf numFmtId="234" fontId="99" fillId="0" borderId="9" xfId="1085" applyNumberFormat="1" applyFont="1" applyFill="1" applyBorder="1" applyAlignment="1">
      <alignment horizontal="left" vertical="center" shrinkToFit="1"/>
    </xf>
    <xf numFmtId="0" fontId="99" fillId="13" borderId="68" xfId="1083" applyNumberFormat="1" applyFont="1" applyFill="1" applyBorder="1" applyAlignment="1">
      <alignment horizontal="left" vertical="center" shrinkToFit="1"/>
    </xf>
    <xf numFmtId="10" fontId="110" fillId="13" borderId="69" xfId="1086" applyNumberFormat="1" applyFont="1" applyFill="1" applyBorder="1" applyAlignment="1">
      <alignment horizontal="right" vertical="center"/>
    </xf>
    <xf numFmtId="0" fontId="111" fillId="13" borderId="71" xfId="1083" applyNumberFormat="1" applyFont="1" applyFill="1" applyBorder="1" applyAlignment="1">
      <alignment horizontal="left" vertical="center" shrinkToFit="1"/>
    </xf>
    <xf numFmtId="41" fontId="98" fillId="14" borderId="14" xfId="1086" applyFont="1" applyFill="1" applyBorder="1" applyAlignment="1">
      <alignment vertical="center"/>
    </xf>
    <xf numFmtId="41" fontId="98" fillId="14" borderId="29" xfId="1085" applyNumberFormat="1" applyFont="1" applyFill="1" applyBorder="1" applyAlignment="1">
      <alignment horizontal="left" vertical="center"/>
    </xf>
    <xf numFmtId="233" fontId="98" fillId="14" borderId="29" xfId="1085" applyNumberFormat="1" applyFont="1" applyFill="1" applyBorder="1" applyAlignment="1">
      <alignment horizontal="left" vertical="center"/>
    </xf>
    <xf numFmtId="179" fontId="100" fillId="14" borderId="14" xfId="1086" applyNumberFormat="1" applyFont="1" applyFill="1" applyBorder="1" applyAlignment="1">
      <alignment horizontal="right" vertical="center"/>
    </xf>
    <xf numFmtId="10" fontId="100" fillId="14" borderId="14" xfId="1086" applyNumberFormat="1" applyFont="1" applyFill="1" applyBorder="1" applyAlignment="1">
      <alignment horizontal="right" vertical="center"/>
    </xf>
    <xf numFmtId="0" fontId="111" fillId="14" borderId="71" xfId="1083" applyNumberFormat="1" applyFont="1" applyFill="1" applyBorder="1" applyAlignment="1">
      <alignment horizontal="left" vertical="center" shrinkToFit="1"/>
    </xf>
    <xf numFmtId="41" fontId="98" fillId="11" borderId="14" xfId="1086" applyFont="1" applyFill="1" applyBorder="1" applyAlignment="1">
      <alignment vertical="center"/>
    </xf>
    <xf numFmtId="41" fontId="98" fillId="11" borderId="29" xfId="1085" applyNumberFormat="1" applyFont="1" applyFill="1" applyBorder="1" applyAlignment="1">
      <alignment horizontal="left" vertical="center"/>
    </xf>
    <xf numFmtId="233" fontId="98" fillId="11" borderId="29" xfId="1085" applyNumberFormat="1" applyFont="1" applyFill="1" applyBorder="1" applyAlignment="1">
      <alignment horizontal="left" vertical="center"/>
    </xf>
    <xf numFmtId="179" fontId="100" fillId="11" borderId="14" xfId="1086" applyNumberFormat="1" applyFont="1" applyFill="1" applyBorder="1" applyAlignment="1">
      <alignment horizontal="right" vertical="center"/>
    </xf>
    <xf numFmtId="10" fontId="100" fillId="11" borderId="14" xfId="1086" applyNumberFormat="1" applyFont="1" applyFill="1" applyBorder="1" applyAlignment="1">
      <alignment horizontal="right" vertical="center"/>
    </xf>
    <xf numFmtId="0" fontId="111" fillId="11" borderId="71" xfId="1083" applyNumberFormat="1" applyFont="1" applyFill="1" applyBorder="1" applyAlignment="1">
      <alignment horizontal="left" vertical="center" shrinkToFit="1"/>
    </xf>
    <xf numFmtId="41" fontId="98" fillId="11" borderId="26" xfId="1086" applyFont="1" applyFill="1" applyBorder="1" applyAlignment="1">
      <alignment vertical="center"/>
    </xf>
    <xf numFmtId="233" fontId="98" fillId="11" borderId="27" xfId="1085" applyNumberFormat="1" applyFont="1" applyFill="1" applyBorder="1" applyAlignment="1">
      <alignment horizontal="left" vertical="center"/>
    </xf>
    <xf numFmtId="179" fontId="100" fillId="11" borderId="26" xfId="1086" applyNumberFormat="1" applyFont="1" applyFill="1" applyBorder="1" applyAlignment="1">
      <alignment horizontal="right" vertical="center"/>
    </xf>
    <xf numFmtId="10" fontId="100" fillId="11" borderId="26" xfId="1086" applyNumberFormat="1" applyFont="1" applyFill="1" applyBorder="1" applyAlignment="1">
      <alignment horizontal="right" vertical="center"/>
    </xf>
    <xf numFmtId="0" fontId="111" fillId="11" borderId="73" xfId="1083" applyNumberFormat="1" applyFont="1" applyFill="1" applyBorder="1" applyAlignment="1">
      <alignment horizontal="left" vertical="center" shrinkToFit="1"/>
    </xf>
    <xf numFmtId="41" fontId="98" fillId="10" borderId="76" xfId="1086" applyFont="1" applyFill="1" applyBorder="1" applyAlignment="1">
      <alignment vertical="center"/>
    </xf>
    <xf numFmtId="41" fontId="98" fillId="10" borderId="75" xfId="1085" applyNumberFormat="1" applyFont="1" applyFill="1" applyBorder="1" applyAlignment="1">
      <alignment horizontal="left" vertical="center"/>
    </xf>
    <xf numFmtId="233" fontId="98" fillId="10" borderId="75" xfId="1085" applyNumberFormat="1" applyFont="1" applyFill="1" applyBorder="1" applyAlignment="1">
      <alignment horizontal="left" vertical="center"/>
    </xf>
    <xf numFmtId="179" fontId="100" fillId="10" borderId="76" xfId="1086" applyNumberFormat="1" applyFont="1" applyFill="1" applyBorder="1" applyAlignment="1">
      <alignment horizontal="right" vertical="center"/>
    </xf>
    <xf numFmtId="10" fontId="100" fillId="10" borderId="76" xfId="1086" applyNumberFormat="1" applyFont="1" applyFill="1" applyBorder="1" applyAlignment="1">
      <alignment horizontal="right" vertical="center"/>
    </xf>
    <xf numFmtId="0" fontId="111" fillId="10" borderId="77" xfId="1083" applyNumberFormat="1" applyFont="1" applyFill="1" applyBorder="1" applyAlignment="1">
      <alignment horizontal="left" vertical="center" shrinkToFit="1"/>
    </xf>
    <xf numFmtId="3" fontId="15" fillId="0" borderId="0" xfId="1085" applyNumberFormat="1" applyFont="1" applyFill="1">
      <alignment vertical="center"/>
    </xf>
    <xf numFmtId="41" fontId="98" fillId="0" borderId="29" xfId="1086" applyFont="1" applyFill="1" applyBorder="1" applyAlignment="1">
      <alignment vertical="center"/>
    </xf>
    <xf numFmtId="41" fontId="98" fillId="13" borderId="29" xfId="1086" applyFont="1" applyFill="1" applyBorder="1" applyAlignment="1">
      <alignment vertical="center"/>
    </xf>
    <xf numFmtId="41" fontId="98" fillId="14" borderId="29" xfId="1086" applyFont="1" applyFill="1" applyBorder="1" applyAlignment="1">
      <alignment vertical="center"/>
    </xf>
    <xf numFmtId="41" fontId="98" fillId="11" borderId="29" xfId="1086" applyFont="1" applyFill="1" applyBorder="1" applyAlignment="1">
      <alignment vertical="center"/>
    </xf>
    <xf numFmtId="41" fontId="98" fillId="11" borderId="27" xfId="1086" applyFont="1" applyFill="1" applyBorder="1" applyAlignment="1">
      <alignment vertical="center"/>
    </xf>
    <xf numFmtId="41" fontId="98" fillId="10" borderId="75" xfId="1086" applyFont="1" applyFill="1" applyBorder="1" applyAlignment="1">
      <alignment vertical="center"/>
    </xf>
    <xf numFmtId="0" fontId="98" fillId="0" borderId="24" xfId="1085" applyFont="1" applyFill="1" applyBorder="1" applyAlignment="1">
      <alignment vertical="center"/>
    </xf>
    <xf numFmtId="41" fontId="101" fillId="12" borderId="61" xfId="1086" applyFont="1" applyFill="1" applyBorder="1" applyAlignment="1">
      <alignment horizontal="center" vertical="center" wrapText="1"/>
    </xf>
    <xf numFmtId="41" fontId="112" fillId="12" borderId="61" xfId="1086" applyFont="1" applyFill="1" applyBorder="1" applyAlignment="1">
      <alignment horizontal="center" vertical="center"/>
    </xf>
    <xf numFmtId="41" fontId="112" fillId="12" borderId="61" xfId="1086" applyFont="1" applyFill="1" applyBorder="1" applyAlignment="1">
      <alignment horizontal="center" vertical="center" wrapText="1"/>
    </xf>
    <xf numFmtId="41" fontId="113" fillId="12" borderId="61" xfId="1086" applyFont="1" applyFill="1" applyBorder="1" applyAlignment="1">
      <alignment horizontal="center" vertical="center" wrapText="1"/>
    </xf>
    <xf numFmtId="233" fontId="98" fillId="13" borderId="14" xfId="1086" applyNumberFormat="1" applyFont="1" applyFill="1" applyBorder="1" applyAlignment="1">
      <alignment vertical="center"/>
    </xf>
    <xf numFmtId="234" fontId="99" fillId="13" borderId="9" xfId="1085" applyNumberFormat="1" applyFont="1" applyFill="1" applyBorder="1" applyAlignment="1">
      <alignment horizontal="left" vertical="center" shrinkToFit="1"/>
    </xf>
    <xf numFmtId="233" fontId="98" fillId="14" borderId="14" xfId="1086" applyNumberFormat="1" applyFont="1" applyFill="1" applyBorder="1" applyAlignment="1">
      <alignment vertical="center"/>
    </xf>
    <xf numFmtId="233" fontId="98" fillId="11" borderId="14" xfId="1086" applyNumberFormat="1" applyFont="1" applyFill="1" applyBorder="1" applyAlignment="1">
      <alignment vertical="center"/>
    </xf>
    <xf numFmtId="233" fontId="98" fillId="11" borderId="26" xfId="1086" applyNumberFormat="1" applyFont="1" applyFill="1" applyBorder="1" applyAlignment="1">
      <alignment vertical="center"/>
    </xf>
    <xf numFmtId="233" fontId="98" fillId="10" borderId="76" xfId="1086" applyNumberFormat="1" applyFont="1" applyFill="1" applyBorder="1" applyAlignment="1">
      <alignment vertical="center"/>
    </xf>
    <xf numFmtId="233" fontId="98" fillId="0" borderId="29" xfId="1086" applyNumberFormat="1" applyFont="1" applyFill="1" applyBorder="1" applyAlignment="1">
      <alignment vertical="center"/>
    </xf>
    <xf numFmtId="0" fontId="98" fillId="11" borderId="70" xfId="1085" applyFont="1" applyFill="1" applyBorder="1" applyAlignment="1">
      <alignment horizontal="center" vertical="center"/>
    </xf>
    <xf numFmtId="0" fontId="98" fillId="11" borderId="19" xfId="1085" applyFont="1" applyFill="1" applyBorder="1" applyAlignment="1">
      <alignment horizontal="center" vertical="center"/>
    </xf>
    <xf numFmtId="0" fontId="98" fillId="11" borderId="24" xfId="1085" applyFont="1" applyFill="1" applyBorder="1" applyAlignment="1">
      <alignment horizontal="center" vertical="center"/>
    </xf>
    <xf numFmtId="0" fontId="98" fillId="14" borderId="70" xfId="1085" applyFont="1" applyFill="1" applyBorder="1" applyAlignment="1">
      <alignment horizontal="center" vertical="center"/>
    </xf>
    <xf numFmtId="0" fontId="98" fillId="14" borderId="19" xfId="1085" applyFont="1" applyFill="1" applyBorder="1" applyAlignment="1">
      <alignment horizontal="center" vertical="center"/>
    </xf>
    <xf numFmtId="0" fontId="98" fillId="14" borderId="24" xfId="1085" applyFont="1" applyFill="1" applyBorder="1" applyAlignment="1">
      <alignment horizontal="center" vertical="center"/>
    </xf>
    <xf numFmtId="0" fontId="98" fillId="11" borderId="72" xfId="1085" applyFont="1" applyFill="1" applyBorder="1" applyAlignment="1">
      <alignment horizontal="center" vertical="center"/>
    </xf>
    <xf numFmtId="0" fontId="98" fillId="11" borderId="25" xfId="1085" applyFont="1" applyFill="1" applyBorder="1" applyAlignment="1">
      <alignment horizontal="center" vertical="center"/>
    </xf>
    <xf numFmtId="0" fontId="98" fillId="11" borderId="31" xfId="1085" applyFont="1" applyFill="1" applyBorder="1" applyAlignment="1">
      <alignment horizontal="center" vertical="center"/>
    </xf>
    <xf numFmtId="0" fontId="97" fillId="10" borderId="74" xfId="1085" applyFont="1" applyFill="1" applyBorder="1" applyAlignment="1">
      <alignment horizontal="center" vertical="center"/>
    </xf>
    <xf numFmtId="0" fontId="97" fillId="10" borderId="18" xfId="1085" applyFont="1" applyFill="1" applyBorder="1" applyAlignment="1">
      <alignment horizontal="center" vertical="center"/>
    </xf>
    <xf numFmtId="0" fontId="97" fillId="10" borderId="75" xfId="1085" applyFont="1" applyFill="1" applyBorder="1" applyAlignment="1">
      <alignment horizontal="center" vertical="center"/>
    </xf>
    <xf numFmtId="0" fontId="98" fillId="13" borderId="67" xfId="1085" applyFont="1" applyFill="1" applyBorder="1" applyAlignment="1">
      <alignment horizontal="center" vertical="center" wrapText="1"/>
    </xf>
    <xf numFmtId="0" fontId="98" fillId="13" borderId="65" xfId="1085" applyFont="1" applyFill="1" applyBorder="1" applyAlignment="1">
      <alignment horizontal="center" vertical="center"/>
    </xf>
    <xf numFmtId="0" fontId="98" fillId="13" borderId="19" xfId="1085" applyFont="1" applyFill="1" applyBorder="1" applyAlignment="1">
      <alignment horizontal="center" vertical="center"/>
    </xf>
    <xf numFmtId="0" fontId="98" fillId="13" borderId="24" xfId="1085" applyFont="1" applyFill="1" applyBorder="1" applyAlignment="1">
      <alignment horizontal="center" vertical="center"/>
    </xf>
    <xf numFmtId="0" fontId="98" fillId="13" borderId="70" xfId="1085" applyFont="1" applyFill="1" applyBorder="1" applyAlignment="1">
      <alignment horizontal="center" vertical="center"/>
    </xf>
    <xf numFmtId="0" fontId="98" fillId="13" borderId="64" xfId="1085" applyFont="1" applyFill="1" applyBorder="1" applyAlignment="1">
      <alignment horizontal="center" vertical="center"/>
    </xf>
    <xf numFmtId="0" fontId="98" fillId="0" borderId="19" xfId="1085" applyFont="1" applyFill="1" applyBorder="1" applyAlignment="1">
      <alignment horizontal="center" vertical="center"/>
    </xf>
    <xf numFmtId="0" fontId="98" fillId="0" borderId="24" xfId="1085" applyFont="1" applyFill="1" applyBorder="1" applyAlignment="1">
      <alignment horizontal="center" vertical="center"/>
    </xf>
    <xf numFmtId="0" fontId="98" fillId="13" borderId="64" xfId="1085" applyFont="1" applyFill="1" applyBorder="1" applyAlignment="1">
      <alignment horizontal="center" vertical="center" wrapText="1"/>
    </xf>
    <xf numFmtId="0" fontId="98" fillId="0" borderId="2" xfId="1085" applyFont="1" applyFill="1" applyBorder="1" applyAlignment="1">
      <alignment horizontal="center" vertical="center"/>
    </xf>
    <xf numFmtId="0" fontId="98" fillId="0" borderId="15" xfId="1085" applyFont="1" applyFill="1" applyBorder="1" applyAlignment="1">
      <alignment horizontal="center" vertical="center" wrapText="1"/>
    </xf>
    <xf numFmtId="0" fontId="98" fillId="0" borderId="26" xfId="1085" applyFont="1" applyFill="1" applyBorder="1" applyAlignment="1">
      <alignment horizontal="center" vertical="center" wrapText="1"/>
    </xf>
    <xf numFmtId="0" fontId="98" fillId="0" borderId="14" xfId="1085" applyFont="1" applyFill="1" applyBorder="1" applyAlignment="1">
      <alignment horizontal="center" vertical="center"/>
    </xf>
    <xf numFmtId="3" fontId="104" fillId="0" borderId="0" xfId="1085" applyNumberFormat="1" applyFont="1" applyFill="1" applyAlignment="1">
      <alignment horizontal="left" vertical="center"/>
    </xf>
    <xf numFmtId="0" fontId="104" fillId="0" borderId="0" xfId="1085" applyFont="1" applyAlignment="1">
      <alignment horizontal="left" vertical="center"/>
    </xf>
    <xf numFmtId="3" fontId="108" fillId="0" borderId="21" xfId="1085" applyNumberFormat="1" applyFont="1" applyFill="1" applyBorder="1" applyAlignment="1">
      <alignment horizontal="left" vertical="center"/>
    </xf>
    <xf numFmtId="0" fontId="14" fillId="0" borderId="21" xfId="1085" applyBorder="1" applyAlignment="1">
      <alignment horizontal="left" vertical="center"/>
    </xf>
    <xf numFmtId="0" fontId="97" fillId="12" borderId="50" xfId="1085" applyFont="1" applyFill="1" applyBorder="1" applyAlignment="1">
      <alignment horizontal="center" vertical="center"/>
    </xf>
    <xf numFmtId="0" fontId="97" fillId="12" borderId="51" xfId="1085" applyFont="1" applyFill="1" applyBorder="1" applyAlignment="1">
      <alignment horizontal="center" vertical="center"/>
    </xf>
    <xf numFmtId="0" fontId="14" fillId="12" borderId="52" xfId="1085" applyFill="1" applyBorder="1" applyAlignment="1">
      <alignment horizontal="center" vertical="center"/>
    </xf>
    <xf numFmtId="0" fontId="97" fillId="12" borderId="58" xfId="1085" applyFont="1" applyFill="1" applyBorder="1" applyAlignment="1">
      <alignment horizontal="center" vertical="center"/>
    </xf>
    <xf numFmtId="0" fontId="97" fillId="12" borderId="59" xfId="1085" applyFont="1" applyFill="1" applyBorder="1" applyAlignment="1">
      <alignment horizontal="center" vertical="center"/>
    </xf>
    <xf numFmtId="0" fontId="14" fillId="12" borderId="60" xfId="1085" applyFill="1" applyBorder="1" applyAlignment="1">
      <alignment horizontal="center" vertical="center"/>
    </xf>
    <xf numFmtId="0" fontId="97" fillId="12" borderId="53" xfId="1085" applyFont="1" applyFill="1" applyBorder="1" applyAlignment="1">
      <alignment horizontal="center" vertical="center"/>
    </xf>
    <xf numFmtId="0" fontId="97" fillId="12" borderId="54" xfId="1085" applyFont="1" applyFill="1" applyBorder="1" applyAlignment="1">
      <alignment horizontal="center" vertical="center"/>
    </xf>
    <xf numFmtId="0" fontId="97" fillId="12" borderId="55" xfId="1085" applyFont="1" applyFill="1" applyBorder="1" applyAlignment="1">
      <alignment horizontal="center" vertical="center"/>
    </xf>
    <xf numFmtId="41" fontId="101" fillId="12" borderId="56" xfId="1086" applyFont="1" applyFill="1" applyBorder="1" applyAlignment="1">
      <alignment horizontal="center" vertical="center"/>
    </xf>
    <xf numFmtId="41" fontId="101" fillId="12" borderId="62" xfId="1086" applyFont="1" applyFill="1" applyBorder="1" applyAlignment="1">
      <alignment horizontal="center" vertical="center"/>
    </xf>
    <xf numFmtId="41" fontId="101" fillId="12" borderId="57" xfId="1086" applyFont="1" applyFill="1" applyBorder="1" applyAlignment="1">
      <alignment horizontal="center" vertical="center"/>
    </xf>
    <xf numFmtId="41" fontId="101" fillId="12" borderId="63" xfId="1086" applyFont="1" applyFill="1" applyBorder="1" applyAlignment="1">
      <alignment horizontal="center" vertical="center"/>
    </xf>
    <xf numFmtId="179" fontId="87" fillId="0" borderId="28" xfId="822" applyNumberFormat="1" applyFont="1" applyFill="1" applyBorder="1" applyAlignment="1">
      <alignment horizontal="left" wrapText="1"/>
    </xf>
    <xf numFmtId="0" fontId="90" fillId="0" borderId="49" xfId="454" applyNumberFormat="1" applyFont="1" applyBorder="1" applyAlignment="1">
      <alignment horizontal="center" vertical="center" wrapText="1"/>
    </xf>
    <xf numFmtId="0" fontId="2" fillId="3" borderId="15" xfId="0" applyNumberFormat="1" applyFont="1" applyFill="1" applyBorder="1" applyAlignment="1">
      <alignment horizontal="center" vertical="center" wrapText="1"/>
    </xf>
    <xf numFmtId="0" fontId="2" fillId="3" borderId="14" xfId="0" applyNumberFormat="1" applyFont="1" applyFill="1" applyBorder="1" applyAlignment="1">
      <alignment horizontal="center" vertical="center" wrapText="1"/>
    </xf>
    <xf numFmtId="0" fontId="2" fillId="3" borderId="26" xfId="0" applyNumberFormat="1" applyFont="1" applyFill="1" applyBorder="1" applyAlignment="1">
      <alignment horizontal="center" vertical="center" wrapText="1"/>
    </xf>
    <xf numFmtId="0" fontId="1" fillId="8" borderId="19" xfId="0" applyNumberFormat="1" applyFont="1" applyFill="1" applyBorder="1" applyAlignment="1">
      <alignment horizontal="distributed" vertical="center"/>
    </xf>
    <xf numFmtId="0" fontId="0" fillId="0" borderId="19" xfId="0" applyNumberFormat="1" applyFill="1" applyBorder="1" applyAlignment="1">
      <alignment horizontal="distributed" vertical="center"/>
    </xf>
    <xf numFmtId="0" fontId="2" fillId="0" borderId="19" xfId="0" applyNumberFormat="1" applyFont="1" applyFill="1" applyBorder="1" applyAlignment="1">
      <alignment horizontal="distributed" vertical="center"/>
    </xf>
    <xf numFmtId="0" fontId="2" fillId="8" borderId="19" xfId="0" applyNumberFormat="1" applyFont="1" applyFill="1" applyBorder="1" applyAlignment="1">
      <alignment horizontal="distributed" vertical="center"/>
    </xf>
    <xf numFmtId="0" fontId="2" fillId="8" borderId="2" xfId="0" applyNumberFormat="1" applyFont="1" applyFill="1" applyBorder="1" applyAlignment="1">
      <alignment horizontal="center" vertical="center"/>
    </xf>
    <xf numFmtId="0" fontId="2" fillId="8" borderId="19" xfId="0" applyNumberFormat="1" applyFont="1" applyFill="1" applyBorder="1" applyAlignment="1">
      <alignment horizontal="center" vertical="center"/>
    </xf>
    <xf numFmtId="0" fontId="2" fillId="8" borderId="24" xfId="0" applyNumberFormat="1" applyFont="1" applyFill="1" applyBorder="1" applyAlignment="1">
      <alignment horizontal="center" vertical="center"/>
    </xf>
    <xf numFmtId="0" fontId="2" fillId="8" borderId="30" xfId="0" applyNumberFormat="1" applyFont="1" applyFill="1" applyBorder="1" applyAlignment="1">
      <alignment horizontal="center" vertical="center" wrapText="1"/>
    </xf>
    <xf numFmtId="0" fontId="2" fillId="8" borderId="31" xfId="0" applyNumberFormat="1" applyFont="1" applyFill="1" applyBorder="1" applyAlignment="1">
      <alignment horizontal="center" vertical="center" wrapText="1"/>
    </xf>
    <xf numFmtId="0" fontId="2" fillId="8" borderId="4" xfId="0" applyNumberFormat="1" applyFont="1" applyFill="1" applyBorder="1" applyAlignment="1">
      <alignment horizontal="center" vertical="center" wrapText="1"/>
    </xf>
    <xf numFmtId="0" fontId="2" fillId="8" borderId="27" xfId="0" applyNumberFormat="1" applyFont="1" applyFill="1" applyBorder="1" applyAlignment="1">
      <alignment horizontal="center" vertical="center" wrapText="1"/>
    </xf>
    <xf numFmtId="0" fontId="2" fillId="8" borderId="5" xfId="0" applyNumberFormat="1" applyFont="1" applyFill="1" applyBorder="1" applyAlignment="1">
      <alignment horizontal="center" vertical="center" wrapText="1"/>
    </xf>
    <xf numFmtId="0" fontId="2" fillId="8" borderId="29" xfId="0" applyNumberFormat="1" applyFont="1" applyFill="1" applyBorder="1" applyAlignment="1">
      <alignment horizontal="center" vertical="center" wrapText="1"/>
    </xf>
    <xf numFmtId="0" fontId="2" fillId="8" borderId="15" xfId="0" applyNumberFormat="1" applyFont="1" applyFill="1" applyBorder="1" applyAlignment="1">
      <alignment horizontal="center" vertical="center" wrapText="1"/>
    </xf>
    <xf numFmtId="0" fontId="2" fillId="8" borderId="26" xfId="0" applyNumberFormat="1" applyFont="1" applyFill="1" applyBorder="1" applyAlignment="1">
      <alignment horizontal="center" vertical="center" wrapText="1"/>
    </xf>
    <xf numFmtId="0" fontId="2" fillId="8" borderId="14" xfId="0" applyNumberFormat="1" applyFont="1" applyFill="1" applyBorder="1" applyAlignment="1">
      <alignment horizontal="center" vertical="center" wrapText="1"/>
    </xf>
    <xf numFmtId="0" fontId="1" fillId="8" borderId="15" xfId="0" applyNumberFormat="1" applyFont="1" applyFill="1" applyBorder="1" applyAlignment="1">
      <alignment horizontal="center" vertical="center" wrapText="1"/>
    </xf>
    <xf numFmtId="0" fontId="1" fillId="8" borderId="26" xfId="0" applyNumberFormat="1" applyFont="1" applyFill="1" applyBorder="1" applyAlignment="1">
      <alignment horizontal="center" vertical="center" wrapText="1"/>
    </xf>
    <xf numFmtId="0" fontId="1" fillId="8" borderId="1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distributed" vertical="center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2" fillId="0" borderId="30" xfId="453" applyNumberFormat="1" applyFont="1" applyFill="1" applyBorder="1" applyAlignment="1">
      <alignment horizontal="center" vertical="center"/>
    </xf>
    <xf numFmtId="0" fontId="2" fillId="0" borderId="31" xfId="453" applyNumberFormat="1" applyFont="1" applyFill="1" applyBorder="1" applyAlignment="1">
      <alignment horizontal="center" vertical="center"/>
    </xf>
    <xf numFmtId="0" fontId="2" fillId="0" borderId="5" xfId="453" applyNumberFormat="1" applyFont="1" applyFill="1" applyBorder="1" applyAlignment="1">
      <alignment horizontal="center" vertical="center"/>
    </xf>
    <xf numFmtId="0" fontId="2" fillId="0" borderId="29" xfId="453" applyNumberFormat="1" applyFont="1" applyFill="1" applyBorder="1" applyAlignment="1">
      <alignment horizontal="center" vertical="center"/>
    </xf>
    <xf numFmtId="183" fontId="2" fillId="0" borderId="31" xfId="453" applyNumberFormat="1" applyFont="1" applyFill="1" applyBorder="1" applyAlignment="1">
      <alignment horizontal="center" vertical="center"/>
    </xf>
    <xf numFmtId="183" fontId="2" fillId="0" borderId="29" xfId="453" applyNumberFormat="1" applyFont="1" applyFill="1" applyBorder="1" applyAlignment="1">
      <alignment horizontal="center" vertical="center"/>
    </xf>
    <xf numFmtId="183" fontId="95" fillId="0" borderId="2" xfId="0" applyNumberFormat="1" applyFont="1" applyFill="1" applyBorder="1" applyAlignment="1">
      <alignment horizontal="center" vertical="center"/>
    </xf>
    <xf numFmtId="183" fontId="95" fillId="0" borderId="24" xfId="0" applyNumberFormat="1" applyFont="1" applyFill="1" applyBorder="1" applyAlignment="1">
      <alignment horizontal="center" vertical="center"/>
    </xf>
    <xf numFmtId="0" fontId="2" fillId="10" borderId="2" xfId="0" applyNumberFormat="1" applyFont="1" applyFill="1" applyBorder="1" applyAlignment="1">
      <alignment horizontal="center" vertical="center"/>
    </xf>
    <xf numFmtId="0" fontId="2" fillId="10" borderId="19" xfId="0" applyNumberFormat="1" applyFont="1" applyFill="1" applyBorder="1" applyAlignment="1">
      <alignment horizontal="center" vertical="center"/>
    </xf>
    <xf numFmtId="0" fontId="2" fillId="10" borderId="24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2" fillId="0" borderId="2" xfId="453" applyNumberFormat="1" applyFont="1" applyFill="1" applyBorder="1" applyAlignment="1">
      <alignment horizontal="center" vertical="center"/>
    </xf>
    <xf numFmtId="0" fontId="2" fillId="0" borderId="24" xfId="453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2" fillId="8" borderId="2" xfId="453" applyNumberFormat="1" applyFont="1" applyFill="1" applyBorder="1" applyAlignment="1">
      <alignment horizontal="center" vertical="center"/>
    </xf>
    <xf numFmtId="0" fontId="2" fillId="8" borderId="24" xfId="453" applyNumberFormat="1" applyFont="1" applyFill="1" applyBorder="1" applyAlignment="1">
      <alignment horizontal="center" vertical="center"/>
    </xf>
    <xf numFmtId="0" fontId="0" fillId="8" borderId="25" xfId="0" applyNumberFormat="1" applyFill="1" applyBorder="1" applyAlignment="1">
      <alignment vertical="center" wrapText="1"/>
    </xf>
    <xf numFmtId="0" fontId="0" fillId="8" borderId="25" xfId="0" applyNumberFormat="1" applyFill="1" applyBorder="1" applyAlignment="1">
      <alignment vertical="center"/>
    </xf>
    <xf numFmtId="0" fontId="0" fillId="8" borderId="0" xfId="0" applyNumberFormat="1" applyFill="1" applyBorder="1" applyAlignment="1">
      <alignment vertical="center"/>
    </xf>
    <xf numFmtId="0" fontId="2" fillId="8" borderId="25" xfId="0" applyNumberFormat="1" applyFont="1" applyFill="1" applyBorder="1" applyAlignment="1">
      <alignment horizontal="center" vertical="center"/>
    </xf>
    <xf numFmtId="0" fontId="2" fillId="8" borderId="28" xfId="0" applyNumberFormat="1" applyFont="1" applyFill="1" applyBorder="1" applyAlignment="1">
      <alignment horizontal="center" vertical="center"/>
    </xf>
    <xf numFmtId="0" fontId="2" fillId="8" borderId="15" xfId="0" applyNumberFormat="1" applyFont="1" applyFill="1" applyBorder="1" applyAlignment="1">
      <alignment horizontal="center" vertical="center"/>
    </xf>
    <xf numFmtId="0" fontId="2" fillId="8" borderId="14" xfId="0" applyNumberFormat="1" applyFont="1" applyFill="1" applyBorder="1" applyAlignment="1">
      <alignment horizontal="center" vertical="center"/>
    </xf>
    <xf numFmtId="0" fontId="2" fillId="8" borderId="25" xfId="0" applyNumberFormat="1" applyFont="1" applyFill="1" applyBorder="1" applyAlignment="1">
      <alignment horizontal="center" vertical="center" wrapText="1"/>
    </xf>
    <xf numFmtId="0" fontId="2" fillId="8" borderId="28" xfId="0" applyNumberFormat="1" applyFont="1" applyFill="1" applyBorder="1" applyAlignment="1">
      <alignment horizontal="center" vertical="center" wrapText="1"/>
    </xf>
    <xf numFmtId="0" fontId="2" fillId="8" borderId="30" xfId="0" applyNumberFormat="1" applyFont="1" applyFill="1" applyBorder="1" applyAlignment="1">
      <alignment horizontal="center" vertical="center"/>
    </xf>
    <xf numFmtId="0" fontId="2" fillId="8" borderId="31" xfId="0" applyNumberFormat="1" applyFont="1" applyFill="1" applyBorder="1" applyAlignment="1">
      <alignment horizontal="center" vertical="center"/>
    </xf>
    <xf numFmtId="0" fontId="2" fillId="8" borderId="5" xfId="0" applyNumberFormat="1" applyFont="1" applyFill="1" applyBorder="1" applyAlignment="1">
      <alignment horizontal="center" vertical="center"/>
    </xf>
    <xf numFmtId="0" fontId="2" fillId="8" borderId="29" xfId="0" applyNumberFormat="1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/>
    </xf>
    <xf numFmtId="0" fontId="2" fillId="8" borderId="15" xfId="453" applyNumberFormat="1" applyFont="1" applyFill="1" applyBorder="1" applyAlignment="1">
      <alignment horizontal="center" vertical="center" wrapText="1"/>
    </xf>
    <xf numFmtId="0" fontId="2" fillId="8" borderId="26" xfId="453" applyNumberFormat="1" applyFont="1" applyFill="1" applyBorder="1" applyAlignment="1">
      <alignment horizontal="center" vertical="center" wrapText="1"/>
    </xf>
    <xf numFmtId="0" fontId="2" fillId="8" borderId="19" xfId="453" applyNumberFormat="1" applyFont="1" applyFill="1" applyBorder="1" applyAlignment="1">
      <alignment horizontal="center" vertical="center"/>
    </xf>
    <xf numFmtId="0" fontId="2" fillId="0" borderId="15" xfId="806" applyNumberFormat="1" applyFont="1" applyFill="1" applyBorder="1" applyAlignment="1">
      <alignment horizontal="center" vertical="center" textRotation="255"/>
    </xf>
    <xf numFmtId="0" fontId="2" fillId="0" borderId="26" xfId="806" applyNumberFormat="1" applyFont="1" applyFill="1" applyBorder="1" applyAlignment="1">
      <alignment horizontal="center" vertical="center" textRotation="255"/>
    </xf>
    <xf numFmtId="0" fontId="2" fillId="0" borderId="14" xfId="806" applyNumberFormat="1" applyFont="1" applyFill="1" applyBorder="1" applyAlignment="1">
      <alignment horizontal="center" vertical="center" textRotation="255"/>
    </xf>
    <xf numFmtId="0" fontId="2" fillId="0" borderId="2" xfId="806" applyNumberFormat="1" applyFont="1" applyFill="1" applyBorder="1" applyAlignment="1">
      <alignment horizontal="center" vertical="center"/>
    </xf>
    <xf numFmtId="0" fontId="2" fillId="0" borderId="19" xfId="806" applyNumberFormat="1" applyFont="1" applyFill="1" applyBorder="1" applyAlignment="1">
      <alignment horizontal="center" vertical="center"/>
    </xf>
    <xf numFmtId="0" fontId="2" fillId="0" borderId="24" xfId="806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2" fillId="0" borderId="30" xfId="833" applyNumberFormat="1" applyFont="1" applyFill="1" applyBorder="1" applyAlignment="1">
      <alignment horizontal="center" vertical="center"/>
    </xf>
    <xf numFmtId="0" fontId="2" fillId="0" borderId="25" xfId="833" applyNumberFormat="1" applyFont="1" applyFill="1" applyBorder="1" applyAlignment="1">
      <alignment horizontal="center" vertical="center"/>
    </xf>
    <xf numFmtId="0" fontId="2" fillId="0" borderId="31" xfId="833" applyNumberFormat="1" applyFont="1" applyFill="1" applyBorder="1" applyAlignment="1">
      <alignment horizontal="center" vertical="center"/>
    </xf>
    <xf numFmtId="0" fontId="2" fillId="0" borderId="5" xfId="833" applyNumberFormat="1" applyFont="1" applyFill="1" applyBorder="1" applyAlignment="1">
      <alignment horizontal="center" vertical="center"/>
    </xf>
    <xf numFmtId="0" fontId="2" fillId="0" borderId="28" xfId="833" applyNumberFormat="1" applyFont="1" applyFill="1" applyBorder="1" applyAlignment="1">
      <alignment horizontal="center" vertical="center"/>
    </xf>
    <xf numFmtId="0" fontId="2" fillId="0" borderId="29" xfId="833" applyNumberFormat="1" applyFont="1" applyFill="1" applyBorder="1" applyAlignment="1">
      <alignment horizontal="center" vertical="center"/>
    </xf>
    <xf numFmtId="0" fontId="2" fillId="0" borderId="15" xfId="823" applyNumberFormat="1" applyFont="1" applyFill="1" applyBorder="1" applyAlignment="1">
      <alignment horizontal="center" vertical="center"/>
    </xf>
    <xf numFmtId="0" fontId="2" fillId="0" borderId="14" xfId="823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19" xfId="453" applyNumberFormat="1" applyFont="1" applyFill="1" applyBorder="1" applyAlignment="1">
      <alignment horizontal="center" vertical="center"/>
    </xf>
    <xf numFmtId="0" fontId="2" fillId="0" borderId="15" xfId="826" applyNumberFormat="1" applyFont="1" applyFill="1" applyBorder="1" applyAlignment="1">
      <alignment horizontal="center" vertical="center" wrapText="1"/>
    </xf>
    <xf numFmtId="0" fontId="2" fillId="0" borderId="14" xfId="826" applyNumberFormat="1" applyFont="1" applyFill="1" applyBorder="1" applyAlignment="1">
      <alignment horizontal="center" vertical="center" wrapText="1"/>
    </xf>
    <xf numFmtId="0" fontId="2" fillId="0" borderId="15" xfId="453" applyNumberFormat="1" applyFont="1" applyFill="1" applyBorder="1" applyAlignment="1">
      <alignment horizontal="center" vertical="center"/>
    </xf>
    <xf numFmtId="0" fontId="2" fillId="0" borderId="14" xfId="453" applyNumberFormat="1" applyFont="1" applyFill="1" applyBorder="1" applyAlignment="1">
      <alignment horizontal="center" vertical="center"/>
    </xf>
    <xf numFmtId="0" fontId="2" fillId="8" borderId="15" xfId="454" applyNumberFormat="1" applyFont="1" applyFill="1" applyBorder="1" applyAlignment="1">
      <alignment horizontal="center" vertical="center" wrapText="1"/>
    </xf>
    <xf numFmtId="0" fontId="2" fillId="8" borderId="26" xfId="454" applyNumberFormat="1" applyFont="1" applyFill="1" applyBorder="1" applyAlignment="1">
      <alignment horizontal="center" vertical="center"/>
    </xf>
    <xf numFmtId="0" fontId="2" fillId="8" borderId="14" xfId="454" applyNumberFormat="1" applyFont="1" applyFill="1" applyBorder="1" applyAlignment="1">
      <alignment horizontal="center" vertical="center"/>
    </xf>
    <xf numFmtId="0" fontId="2" fillId="8" borderId="15" xfId="826" applyNumberFormat="1" applyFont="1" applyFill="1" applyBorder="1" applyAlignment="1">
      <alignment horizontal="center" vertical="center" wrapText="1"/>
    </xf>
    <xf numFmtId="0" fontId="2" fillId="8" borderId="14" xfId="826" applyNumberFormat="1" applyFont="1" applyFill="1" applyBorder="1" applyAlignment="1">
      <alignment horizontal="center" vertical="center"/>
    </xf>
    <xf numFmtId="0" fontId="2" fillId="8" borderId="15" xfId="807" applyNumberFormat="1" applyFont="1" applyFill="1" applyBorder="1" applyAlignment="1">
      <alignment horizontal="center" vertical="center"/>
    </xf>
    <xf numFmtId="0" fontId="2" fillId="8" borderId="14" xfId="807" applyNumberFormat="1" applyFont="1" applyFill="1" applyBorder="1" applyAlignment="1">
      <alignment horizontal="center" vertical="center"/>
    </xf>
    <xf numFmtId="0" fontId="2" fillId="8" borderId="25" xfId="826" applyNumberFormat="1" applyFont="1" applyFill="1" applyBorder="1" applyAlignment="1">
      <alignment horizontal="center" vertical="center"/>
    </xf>
    <xf numFmtId="0" fontId="2" fillId="8" borderId="28" xfId="826" applyNumberFormat="1" applyFont="1" applyFill="1" applyBorder="1" applyAlignment="1">
      <alignment horizontal="center" vertical="center"/>
    </xf>
    <xf numFmtId="0" fontId="2" fillId="8" borderId="30" xfId="826" applyNumberFormat="1" applyFont="1" applyFill="1" applyBorder="1" applyAlignment="1">
      <alignment horizontal="center" vertical="center"/>
    </xf>
    <xf numFmtId="0" fontId="2" fillId="8" borderId="5" xfId="826" applyNumberFormat="1" applyFont="1" applyFill="1" applyBorder="1" applyAlignment="1">
      <alignment horizontal="center" vertical="center"/>
    </xf>
    <xf numFmtId="0" fontId="2" fillId="8" borderId="31" xfId="826" applyNumberFormat="1" applyFont="1" applyFill="1" applyBorder="1" applyAlignment="1">
      <alignment horizontal="center" vertical="center"/>
    </xf>
    <xf numFmtId="0" fontId="2" fillId="8" borderId="29" xfId="826" applyNumberFormat="1" applyFont="1" applyFill="1" applyBorder="1" applyAlignment="1">
      <alignment horizontal="center" vertical="center"/>
    </xf>
    <xf numFmtId="0" fontId="22" fillId="8" borderId="19" xfId="835" applyNumberFormat="1" applyFont="1" applyFill="1" applyBorder="1" applyAlignment="1">
      <alignment horizontal="center" vertical="center" wrapText="1"/>
    </xf>
    <xf numFmtId="0" fontId="22" fillId="8" borderId="2" xfId="835" applyNumberFormat="1" applyFont="1" applyFill="1" applyBorder="1" applyAlignment="1">
      <alignment horizontal="center" vertical="center" wrapText="1"/>
    </xf>
    <xf numFmtId="0" fontId="26" fillId="8" borderId="24" xfId="0" applyNumberFormat="1" applyFont="1" applyFill="1" applyBorder="1" applyAlignment="1">
      <alignment vertical="center"/>
    </xf>
  </cellXfs>
  <cellStyles count="1088">
    <cellStyle name="          _x000d__x000a_386grabber=vga.3gr_x000d__x000a_" xfId="2"/>
    <cellStyle name="          _x000d__x000a_386grabber=vga.3gr_x000d__x000a_ 2" xfId="981"/>
    <cellStyle name="          _x000d__x000a_386grabber=vga.3gr_x000d__x000a_ 3" xfId="967"/>
    <cellStyle name="          _x000d__x000a_386grabber=vga.3gr_x000d__x000a_ 4" xfId="996"/>
    <cellStyle name="          _x000d__x000a_386grabber=vga.3gr_x000d__x000a_ 5" xfId="1058"/>
    <cellStyle name="          _x000d__x000a_386grabber=vga.3gr_x000d__x000a_ 6" xfId="1011"/>
    <cellStyle name="          _x000d__x000a_386grabber=vga.3gr_x000d__x000a_ 7" xfId="1044"/>
    <cellStyle name="          _x000d__x000a_386grabber=vga.3gr_x000d__x000a_ 8" xfId="1022"/>
    <cellStyle name="Ი_x000b_" xfId="3"/>
    <cellStyle name="&quot;" xfId="4"/>
    <cellStyle name="#" xfId="5"/>
    <cellStyle name="# 2" xfId="982"/>
    <cellStyle name="# 3" xfId="968"/>
    <cellStyle name="# 4" xfId="997"/>
    <cellStyle name="# 5" xfId="1057"/>
    <cellStyle name="# 6" xfId="1012"/>
    <cellStyle name="# 7" xfId="1041"/>
    <cellStyle name="# 8" xfId="1023"/>
    <cellStyle name="#,##0" xfId="6"/>
    <cellStyle name="#,##0.0" xfId="7"/>
    <cellStyle name="#,##0.00" xfId="8"/>
    <cellStyle name="#,##0.000" xfId="9"/>
    <cellStyle name="#,##0_목차" xfId="10"/>
    <cellStyle name="#_1. 경기문화재단" xfId="11"/>
    <cellStyle name="#_1-1. 경기문화재단" xfId="12"/>
    <cellStyle name="#_2. 경기도박물관" xfId="13"/>
    <cellStyle name="#_4. 경기도자박물관" xfId="14"/>
    <cellStyle name="#_경기문화재단종합관리" xfId="15"/>
    <cellStyle name="#_청소업무용역(수정-최종)" xfId="16"/>
    <cellStyle name="$" xfId="17"/>
    <cellStyle name="$_0008금감원통합감독검사정보시스템" xfId="18"/>
    <cellStyle name="$_0009김포공항LED교체공사(광일)" xfId="19"/>
    <cellStyle name="$_0011KIST소각설비제작설치" xfId="29"/>
    <cellStyle name="$_0011긴급전화기정산(99년형광일)" xfId="20"/>
    <cellStyle name="$_0011부산종합경기장전광판" xfId="21"/>
    <cellStyle name="$_0011부산종합경기장전광판_강원지역본부(2006년_060109)" xfId="22"/>
    <cellStyle name="$_0011부산종합경기장전광판_경남지역본부-" xfId="23"/>
    <cellStyle name="$_0011부산종합경기장전광판_경북지역본부-" xfId="24"/>
    <cellStyle name="$_0011부산종합경기장전광판_중부지역본부-" xfId="25"/>
    <cellStyle name="$_0011부산종합경기장전광판_충청지역본부-" xfId="26"/>
    <cellStyle name="$_0011부산종합경기장전광판_통행료면탈방지시스템(최종)" xfId="27"/>
    <cellStyle name="$_0011부산종합경기장전광판_호남지역본부-" xfId="28"/>
    <cellStyle name="$_0012문화유적지표석제작설치" xfId="30"/>
    <cellStyle name="$_0102국제조명신공항분수조명" xfId="31"/>
    <cellStyle name="$_0102국제조명신공항분수조명_강원지역본부(2006년_060109)" xfId="32"/>
    <cellStyle name="$_0102국제조명신공항분수조명_경남지역본부-" xfId="33"/>
    <cellStyle name="$_0102국제조명신공항분수조명_경북지역본부-" xfId="34"/>
    <cellStyle name="$_0102국제조명신공항분수조명_중부지역본부-" xfId="35"/>
    <cellStyle name="$_0102국제조명신공항분수조명_충청지역본부-" xfId="36"/>
    <cellStyle name="$_0102국제조명신공항분수조명_통행료면탈방지시스템(최종)" xfId="37"/>
    <cellStyle name="$_0102국제조명신공항분수조명_호남지역본부-" xfId="38"/>
    <cellStyle name="$_0103회전식현수막게시대제작설치" xfId="39"/>
    <cellStyle name="$_0104포항시침출수처리시스템" xfId="40"/>
    <cellStyle name="$_0105담배자판기개조원가" xfId="41"/>
    <cellStyle name="$_0105담배자판기개조원가_강원지역본부(2006년_060109)" xfId="42"/>
    <cellStyle name="$_0105담배자판기개조원가_경남지역본부-" xfId="43"/>
    <cellStyle name="$_0105담배자판기개조원가_경북지역본부-" xfId="44"/>
    <cellStyle name="$_0105담배자판기개조원가_중부지역본부-" xfId="45"/>
    <cellStyle name="$_0105담배자판기개조원가_충청지역본부-" xfId="46"/>
    <cellStyle name="$_0105담배자판기개조원가_통행료면탈방지시스템(최종)" xfId="47"/>
    <cellStyle name="$_0105담배자판기개조원가_호남지역본부-" xfId="48"/>
    <cellStyle name="$_0106LG인버터냉난방기제작-1" xfId="49"/>
    <cellStyle name="$_0106LG인버터냉난방기제작-1_강원지역본부(2006년_060109)" xfId="50"/>
    <cellStyle name="$_0106LG인버터냉난방기제작-1_경남지역본부-" xfId="51"/>
    <cellStyle name="$_0106LG인버터냉난방기제작-1_경북지역본부-" xfId="52"/>
    <cellStyle name="$_0106LG인버터냉난방기제작-1_중부지역본부-" xfId="53"/>
    <cellStyle name="$_0106LG인버터냉난방기제작-1_충청지역본부-" xfId="54"/>
    <cellStyle name="$_0106LG인버터냉난방기제작-1_통행료면탈방지시스템(최종)" xfId="55"/>
    <cellStyle name="$_0106LG인버터냉난방기제작-1_호남지역본부-" xfId="56"/>
    <cellStyle name="$_0107광전송장비구매설치" xfId="57"/>
    <cellStyle name="$_0107도공IBS설비SW부문(참조)" xfId="58"/>
    <cellStyle name="$_0107문화재복원용목재-8월6일" xfId="59"/>
    <cellStyle name="$_0107문화재복원용목재-8월6일_강원지역본부(2006년_060109)" xfId="60"/>
    <cellStyle name="$_0107문화재복원용목재-8월6일_경남지역본부-" xfId="61"/>
    <cellStyle name="$_0107문화재복원용목재-8월6일_경북지역본부-" xfId="62"/>
    <cellStyle name="$_0107문화재복원용목재-8월6일_중부지역본부-" xfId="63"/>
    <cellStyle name="$_0107문화재복원용목재-8월6일_충청지역본부-" xfId="64"/>
    <cellStyle name="$_0107문화재복원용목재-8월6일_통행료면탈방지시스템(최종)" xfId="65"/>
    <cellStyle name="$_0107문화재복원용목재-8월6일_호남지역본부-" xfId="66"/>
    <cellStyle name="$_0107포천영중수배전반(제조,설치)" xfId="67"/>
    <cellStyle name="$_0108농기반미곡건조기제작설치" xfId="68"/>
    <cellStyle name="$_0108담배인삼공사영업춘추복" xfId="69"/>
    <cellStyle name="$_0108한국전기교통-LED교통신호등((원본))" xfId="70"/>
    <cellStyle name="$_0108한국전기교통-LED교통신호등((원본))_강원지역본부(2006년_060109)" xfId="71"/>
    <cellStyle name="$_0108한국전기교통-LED교통신호등((원본))_경남지역본부-" xfId="72"/>
    <cellStyle name="$_0108한국전기교통-LED교통신호등((원본))_경북지역본부-" xfId="73"/>
    <cellStyle name="$_0108한국전기교통-LED교통신호등((원본))_중부지역본부-" xfId="74"/>
    <cellStyle name="$_0108한국전기교통-LED교통신호등((원본))_충청지역본부-" xfId="75"/>
    <cellStyle name="$_0108한국전기교통-LED교통신호등((원본))_통행료면탈방지시스템(최종)" xfId="76"/>
    <cellStyle name="$_0108한국전기교통-LED교통신호등((원본))_호남지역본부-" xfId="77"/>
    <cellStyle name="$_0111해양수산부등명기제작" xfId="78"/>
    <cellStyle name="$_0111핸디소프트-전자표준문서시스템" xfId="79"/>
    <cellStyle name="$_0112금감원사무자동화시스템" xfId="80"/>
    <cellStyle name="$_0112수도권매립지SW원가" xfId="81"/>
    <cellStyle name="$_0112중고원-HRD종합정보망구축(完)" xfId="82"/>
    <cellStyle name="$_0201종합예술회관의자제작설치" xfId="83"/>
    <cellStyle name="$_0201종합예술회관의자제작설치-1" xfId="84"/>
    <cellStyle name="$_0202마사회근무복" xfId="85"/>
    <cellStyle name="$_0202마사회근무복_강원지역본부(2006년_060109)" xfId="86"/>
    <cellStyle name="$_0202마사회근무복_경남지역본부-" xfId="87"/>
    <cellStyle name="$_0202마사회근무복_경북지역본부-" xfId="88"/>
    <cellStyle name="$_0202마사회근무복_중부지역본부-" xfId="89"/>
    <cellStyle name="$_0202마사회근무복_충청지역본부-" xfId="90"/>
    <cellStyle name="$_0202마사회근무복_통행료면탈방지시스템(최종)" xfId="91"/>
    <cellStyle name="$_0202마사회근무복_호남지역본부-" xfId="92"/>
    <cellStyle name="$_0202부경교재-승강칠판" xfId="93"/>
    <cellStyle name="$_0202부경교재-승강칠판_강원지역본부(2006년_060109)" xfId="94"/>
    <cellStyle name="$_0202부경교재-승강칠판_경남지역본부-" xfId="95"/>
    <cellStyle name="$_0202부경교재-승강칠판_경북지역본부-" xfId="96"/>
    <cellStyle name="$_0202부경교재-승강칠판_중부지역본부-" xfId="97"/>
    <cellStyle name="$_0202부경교재-승강칠판_충청지역본부-" xfId="98"/>
    <cellStyle name="$_0202부경교재-승강칠판_통행료면탈방지시스템(최종)" xfId="99"/>
    <cellStyle name="$_0202부경교재-승강칠판_호남지역본부-" xfId="100"/>
    <cellStyle name="$_0204한국석묘납골함-1규격" xfId="101"/>
    <cellStyle name="$_0205TTMS-긴급전화기&amp;전체총괄" xfId="102"/>
    <cellStyle name="$_0206금감원금융정보교환망재구축" xfId="103"/>
    <cellStyle name="$_0206정통부수납장표기기제작설치" xfId="104"/>
    <cellStyle name="$_0207담배인삼공사-담요" xfId="105"/>
    <cellStyle name="$_0208레비텍-다층여과기설계변경" xfId="106"/>
    <cellStyle name="$_0209이산화염소발생기-설치(50K)" xfId="107"/>
    <cellStyle name="$_0210현대정보기술-TD이중계" xfId="108"/>
    <cellStyle name="$_0211조달청-#1대북지원사업정산(1월7일)" xfId="109"/>
    <cellStyle name="$_0212금감원-법규정보시스템(完)" xfId="110"/>
    <cellStyle name="$_0301교통방송-CCTV유지보수" xfId="111"/>
    <cellStyle name="$_0302인천경찰청-무인단속기위탁관리" xfId="112"/>
    <cellStyle name="$_0302조달청-대북지원2차(안성연)" xfId="113"/>
    <cellStyle name="$_0302조달청-대북지원2차(최수현)" xfId="114"/>
    <cellStyle name="$_0302표준문서-쌍용정보통신(신)" xfId="115"/>
    <cellStyle name="$_0304소프트파워-정부표준전자문서시스템" xfId="116"/>
    <cellStyle name="$_0304소프트파워-정부표준전자문서시스템(完)" xfId="117"/>
    <cellStyle name="$_0304철도청-주변환장치-1" xfId="118"/>
    <cellStyle name="$_0305금감원-금융통계정보시스템구축(完)" xfId="119"/>
    <cellStyle name="$_0305제낭조합-면범포지" xfId="120"/>
    <cellStyle name="$_0306제낭공업협동조합-면범포지원단(경비까지)" xfId="121"/>
    <cellStyle name="$_0307경찰청-무인교통단속표준SW개발용역(完)" xfId="122"/>
    <cellStyle name="$_0308조달청-#8대북지원사업정산" xfId="123"/>
    <cellStyle name="$_0309두합크린텍-설치원가" xfId="124"/>
    <cellStyle name="$_0309조달청-#9대북지원사업정산" xfId="125"/>
    <cellStyle name="$_0310여주상수도-탈수기(유천ENG)" xfId="126"/>
    <cellStyle name="$_0311대기해양작업시간" xfId="127"/>
    <cellStyle name="$_0311대기해양중형등명기" xfId="128"/>
    <cellStyle name="$_0312국민체육진흥공단-전기부문" xfId="129"/>
    <cellStyle name="$_0312대기해양-중형등명기제작설치" xfId="130"/>
    <cellStyle name="$_0312라이준-칼라아스콘4규격" xfId="131"/>
    <cellStyle name="$_0401집진기프로그램SW개발비산정" xfId="132"/>
    <cellStyle name="$_13. 관리동" xfId="133"/>
    <cellStyle name="$_2001-06조달청신성-한냉지형" xfId="134"/>
    <cellStyle name="$_2002-03경찰대학-졸업식" xfId="135"/>
    <cellStyle name="$_2002-03경찰청-경찰표지장" xfId="136"/>
    <cellStyle name="$_2002-03반디-가로등(열주형)" xfId="137"/>
    <cellStyle name="$_2002-03신화전자-감지기" xfId="138"/>
    <cellStyle name="$_2002-04강원랜드-슬러트머신" xfId="139"/>
    <cellStyle name="$_2002-04메가컴-외주무대" xfId="140"/>
    <cellStyle name="$_2002-04엘지애드-무대" xfId="141"/>
    <cellStyle name="$_2002-05강원랜드-슬러트머신(넥스터)" xfId="142"/>
    <cellStyle name="$_2002-05경기경찰청-냉온수기공사" xfId="143"/>
    <cellStyle name="$_2002-05대통령비서실-카페트" xfId="144"/>
    <cellStyle name="$_2002결과표" xfId="145"/>
    <cellStyle name="$_2002결과표_강원지역본부(2006년_060109)" xfId="146"/>
    <cellStyle name="$_2002결과표_경남지역본부-" xfId="147"/>
    <cellStyle name="$_2002결과표_경북지역본부-" xfId="148"/>
    <cellStyle name="$_2002결과표_중부지역본부-" xfId="149"/>
    <cellStyle name="$_2002결과표_충청지역본부-" xfId="150"/>
    <cellStyle name="$_2002결과표_통행료면탈방지시스템(최종)" xfId="151"/>
    <cellStyle name="$_2002결과표_호남지역본부-" xfId="152"/>
    <cellStyle name="$_2002결과표1" xfId="153"/>
    <cellStyle name="$_2003-01정일사-표창5종" xfId="154"/>
    <cellStyle name="$_db진흥" xfId="221"/>
    <cellStyle name="$_Pilot플랜트-계변경" xfId="222"/>
    <cellStyle name="$_Pilot플랜트이전설치-변경최종" xfId="223"/>
    <cellStyle name="$_SE40" xfId="224"/>
    <cellStyle name="$_SW(케이비)" xfId="225"/>
    <cellStyle name="$_간지,목차,페이지,표지" xfId="155"/>
    <cellStyle name="$_강원지역본부(2006년_060109)" xfId="156"/>
    <cellStyle name="$_견적2" xfId="157"/>
    <cellStyle name="$_경남지역본부-" xfId="158"/>
    <cellStyle name="$_경북지역본부-" xfId="159"/>
    <cellStyle name="$_경찰청-근무,기동복" xfId="160"/>
    <cellStyle name="$_공사일반관리비양식" xfId="161"/>
    <cellStyle name="$_관리동sw" xfId="162"/>
    <cellStyle name="$_기아" xfId="163"/>
    <cellStyle name="$_기초공사" xfId="164"/>
    <cellStyle name="$_네인텍정보기술-회로카드(수현)" xfId="165"/>
    <cellStyle name="$_대기해양노무비" xfId="166"/>
    <cellStyle name="$_대북자재8월분" xfId="167"/>
    <cellStyle name="$_대북자재8월분-1" xfId="168"/>
    <cellStyle name="$_동산용사촌수현(원본)" xfId="169"/>
    <cellStyle name="$_목차" xfId="170"/>
    <cellStyle name="$_백제군사전시1" xfId="171"/>
    <cellStyle name="$_수초제거기(대양기계)" xfId="172"/>
    <cellStyle name="$_수초제거기(대양기계)_강원지역본부(2006년_060109)" xfId="173"/>
    <cellStyle name="$_수초제거기(대양기계)_경남지역본부-" xfId="174"/>
    <cellStyle name="$_수초제거기(대양기계)_경북지역본부-" xfId="175"/>
    <cellStyle name="$_수초제거기(대양기계)_중부지역본부-" xfId="176"/>
    <cellStyle name="$_수초제거기(대양기계)_충청지역본부-" xfId="177"/>
    <cellStyle name="$_수초제거기(대양기계)_통행료면탈방지시스템(최종)" xfId="178"/>
    <cellStyle name="$_수초제거기(대양기계)_호남지역본부-" xfId="179"/>
    <cellStyle name="$_시설용역" xfId="180"/>
    <cellStyle name="$_암전정밀실체현미경(수현)" xfId="181"/>
    <cellStyle name="$_오리엔탈" xfId="182"/>
    <cellStyle name="$_원본 - 한국전기교통-개선형신호등 4종" xfId="183"/>
    <cellStyle name="$_원본 - 한국전기교통-개선형신호등 4종_강원지역본부(2006년_060109)" xfId="184"/>
    <cellStyle name="$_원본 - 한국전기교통-개선형신호등 4종_경남지역본부-" xfId="185"/>
    <cellStyle name="$_원본 - 한국전기교통-개선형신호등 4종_경북지역본부-" xfId="186"/>
    <cellStyle name="$_원본 - 한국전기교통-개선형신호등 4종_중부지역본부-" xfId="187"/>
    <cellStyle name="$_원본 - 한국전기교통-개선형신호등 4종_충청지역본부-" xfId="188"/>
    <cellStyle name="$_원본 - 한국전기교통-개선형신호등 4종_통행료면탈방지시스템(최종)" xfId="189"/>
    <cellStyle name="$_원본 - 한국전기교통-개선형신호등 4종_호남지역본부-" xfId="190"/>
    <cellStyle name="$_제경비율모음" xfId="191"/>
    <cellStyle name="$_제조원가" xfId="192"/>
    <cellStyle name="$_조달청-B판사천강교제작(최종본)" xfId="201"/>
    <cellStyle name="$_조달청-대북지원3차(최수현)" xfId="193"/>
    <cellStyle name="$_조달청-대북지원4차(최수현)" xfId="194"/>
    <cellStyle name="$_조달청-대북지원5차(최수현)" xfId="195"/>
    <cellStyle name="$_조달청-대북지원6차(번호)" xfId="196"/>
    <cellStyle name="$_조달청-대북지원6차(최수현)" xfId="197"/>
    <cellStyle name="$_조달청-대북지원7차(최수현)" xfId="198"/>
    <cellStyle name="$_조달청-대북지원8차(최수현)" xfId="199"/>
    <cellStyle name="$_조달청-대북지원9차(최수현)" xfId="200"/>
    <cellStyle name="$_중부지역본부-" xfId="202"/>
    <cellStyle name="$_중앙선관위(투표,개표)" xfId="203"/>
    <cellStyle name="$_중앙선관위(투표,개표)-사본" xfId="204"/>
    <cellStyle name="$_철공가공조립" xfId="205"/>
    <cellStyle name="$_최종-한국전기교통-개선형신호등 4종(공수조정)" xfId="206"/>
    <cellStyle name="$_최종-한국전기교통-개선형신호등 4종(공수조정)_강원지역본부(2006년_060109)" xfId="207"/>
    <cellStyle name="$_최종-한국전기교통-개선형신호등 4종(공수조정)_경남지역본부-" xfId="208"/>
    <cellStyle name="$_최종-한국전기교통-개선형신호등 4종(공수조정)_경북지역본부-" xfId="209"/>
    <cellStyle name="$_최종-한국전기교통-개선형신호등 4종(공수조정)_중부지역본부-" xfId="210"/>
    <cellStyle name="$_최종-한국전기교통-개선형신호등 4종(공수조정)_충청지역본부-" xfId="211"/>
    <cellStyle name="$_최종-한국전기교통-개선형신호등 4종(공수조정)_통행료면탈방지시스템(최종)" xfId="212"/>
    <cellStyle name="$_최종-한국전기교통-개선형신호등 4종(공수조정)_호남지역본부-" xfId="213"/>
    <cellStyle name="$_충청지역본부-" xfId="214"/>
    <cellStyle name="$_코솔라-제조원가" xfId="215"/>
    <cellStyle name="$_토지공사-간접비" xfId="216"/>
    <cellStyle name="$_통행료면탈방지시스템(최종)" xfId="217"/>
    <cellStyle name="$_한국도로공사" xfId="218"/>
    <cellStyle name="$_한전내역서-최종" xfId="219"/>
    <cellStyle name="$_호남지역본부-" xfId="220"/>
    <cellStyle name="??&amp;O?&amp;H?_x0008__x000f__x0007_?_x0007__x0001__x0001_" xfId="227"/>
    <cellStyle name="??&amp;O?&amp;H?_x0008_??_x0007__x0001__x0001_" xfId="228"/>
    <cellStyle name="??&amp;쏗?뷐9_x0008__x0011__x0007_?_x0007__x0001__x0001_" xfId="226"/>
    <cellStyle name="???­ [0]_¸ð??¸·" xfId="229"/>
    <cellStyle name="???­_¸ð??¸·" xfId="230"/>
    <cellStyle name="???Ø_¸ð??¸·" xfId="231"/>
    <cellStyle name="?Þ¸¶ [0]_¸ð??¸·" xfId="233"/>
    <cellStyle name="?Þ¸¶_¸ð??¸·" xfId="234"/>
    <cellStyle name="?W?_laroux" xfId="235"/>
    <cellStyle name="?曹%U?&amp;H?_x0008_?s_x000a__x0007__x0001__x0001_" xfId="232"/>
    <cellStyle name="@_laroux" xfId="236"/>
    <cellStyle name="@_laroux_제트베인" xfId="237"/>
    <cellStyle name="@_laroux_제트베인_1" xfId="238"/>
    <cellStyle name="_06년)하이패스_점검내역" xfId="239"/>
    <cellStyle name="_1_터널교통관리시설구축_공사설계서(달성12터널외2개소)" xfId="240"/>
    <cellStyle name="_11.통합보안관리서버" xfId="241"/>
    <cellStyle name="_1220-원가조사-전자지불" xfId="242"/>
    <cellStyle name="_2001 장애조치" xfId="243"/>
    <cellStyle name="_2002결과표1" xfId="244"/>
    <cellStyle name="_C앤C" xfId="379"/>
    <cellStyle name="_C앤C(네트웍)" xfId="380"/>
    <cellStyle name="_C앤C원가계산" xfId="381"/>
    <cellStyle name="_GN_극동건설(주)_덕정병원_토목(작업)-1" xfId="382"/>
    <cellStyle name="_TCS 영업소(050214)" xfId="383"/>
    <cellStyle name="_간지" xfId="245"/>
    <cellStyle name="_간지,목차,페이지,표지" xfId="246"/>
    <cellStyle name="_감가상각(01년도) (2)" xfId="247"/>
    <cellStyle name="_감가상각(01년도) (3)" xfId="248"/>
    <cellStyle name="_강산FRP" xfId="249"/>
    <cellStyle name="_강원지역본부(2006년_060109)" xfId="252"/>
    <cellStyle name="_개요" xfId="256"/>
    <cellStyle name="_개요(봉림)-참고용" xfId="257"/>
    <cellStyle name="_개요(봉림)-최종" xfId="258"/>
    <cellStyle name="_개요(주안-인천)" xfId="259"/>
    <cellStyle name="_견적서_모바일경기-정현창" xfId="260"/>
    <cellStyle name="_경남지역본부-" xfId="264"/>
    <cellStyle name="_경북031002" xfId="298"/>
    <cellStyle name="_경북지역본부-" xfId="299"/>
    <cellStyle name="_계중기(051216)" xfId="301"/>
    <cellStyle name="_고객서비스모니터링" xfId="302"/>
    <cellStyle name="_과학의 날 행사용 영상물제작" xfId="303"/>
    <cellStyle name="_광가입자전송장비(FLC)삼성" xfId="304"/>
    <cellStyle name="_광안리내역서(구도)" xfId="305"/>
    <cellStyle name="_광케이블_SNI_LGCNS_1" xfId="306"/>
    <cellStyle name="_구로지사 증축 및 보수공사 2차(최종)-12.16(신규)" xfId="307"/>
    <cellStyle name="_구로지사 증축 및 보수공사(최종)+개요" xfId="308"/>
    <cellStyle name="_기초공사" xfId="309"/>
    <cellStyle name="_나노엔텍(임금)" xfId="310"/>
    <cellStyle name="_내역(991895-7)" xfId="311"/>
    <cellStyle name="_내역(991895-7)-01" xfId="312"/>
    <cellStyle name="_내역(991895-7)-12-3일작업" xfId="313"/>
    <cellStyle name="_내역서" xfId="314"/>
    <cellStyle name="_내역서(서남권)" xfId="315"/>
    <cellStyle name="_내역서+개요(월배통신)" xfId="316"/>
    <cellStyle name="_내역서+개요(전기)-6.7(최종)" xfId="317"/>
    <cellStyle name="_내역서+개요(통신)" xfId="318"/>
    <cellStyle name="_농수로3종외-최종" xfId="319"/>
    <cellStyle name="_단가비교" xfId="320"/>
    <cellStyle name="_대전망운용국 대수선 전기공사+개요" xfId="321"/>
    <cellStyle name="_동목포전화국제4회기성청구서" xfId="322"/>
    <cellStyle name="_동학농민(전기)(02.09.05)" xfId="323"/>
    <cellStyle name="_모바일 경기넷 구축 사업(최종)" xfId="324"/>
    <cellStyle name="_목차" xfId="325"/>
    <cellStyle name="_목차 2" xfId="983"/>
    <cellStyle name="_목차 3" xfId="969"/>
    <cellStyle name="_목차 4" xfId="1020"/>
    <cellStyle name="_목차 5" xfId="1040"/>
    <cellStyle name="_목차 6" xfId="1061"/>
    <cellStyle name="_목차 7" xfId="1009"/>
    <cellStyle name="_목차 8" xfId="1046"/>
    <cellStyle name="_목차_1. 경기문화재단" xfId="326"/>
    <cellStyle name="_목차_1-1. 경기문화재단" xfId="327"/>
    <cellStyle name="_목차_2. 경기도박물관" xfId="328"/>
    <cellStyle name="_목차_4. 경기도자박물관" xfId="329"/>
    <cellStyle name="_목차_경기문화재단종합관리" xfId="330"/>
    <cellStyle name="_목차_청소업무용역(수정-최종)" xfId="331"/>
    <cellStyle name="_무역 전시회 지원성과" xfId="332"/>
    <cellStyle name="_봉림고교 교사신축(최종)" xfId="333"/>
    <cellStyle name="_봉림고교 교사신축(최종)-참고용" xfId="334"/>
    <cellStyle name="_브랜드개발" xfId="335"/>
    <cellStyle name="_샤워식분무기(최종)" xfId="336"/>
    <cellStyle name="_서울과학관의장" xfId="337"/>
    <cellStyle name="_신흥기업사-최종" xfId="338"/>
    <cellStyle name="_안양지식산업진흥원" xfId="339"/>
    <cellStyle name="_연구원실험대(24종)-최종" xfId="340"/>
    <cellStyle name="_원격유지관리시스템(2004)" xfId="341"/>
    <cellStyle name="_유선설비(051216)" xfId="342"/>
    <cellStyle name="_일위대가" xfId="343"/>
    <cellStyle name="_자재비교표" xfId="344"/>
    <cellStyle name="_장현중(내역서+개요)" xfId="345"/>
    <cellStyle name="_재료비" xfId="346"/>
    <cellStyle name="_전자지불(삼성SDS)" xfId="347"/>
    <cellStyle name="_전자지불-(케이비)" xfId="348"/>
    <cellStyle name="_정보통신-광통신망관리(050214)" xfId="349"/>
    <cellStyle name="_제일은행하계근무복" xfId="350"/>
    <cellStyle name="_중부지역본부-" xfId="351"/>
    <cellStyle name="_증권예탁원_퇴직연금시스템_구축_요약_Ver2" xfId="361"/>
    <cellStyle name="_직접경비" xfId="362"/>
    <cellStyle name="_창(에리트(설치제외)" xfId="363"/>
    <cellStyle name="_총괄(최종)" xfId="364"/>
    <cellStyle name="_춘천전화국증축통신+개요" xfId="365"/>
    <cellStyle name="_춘천합동내역+개요(수정한최종)" xfId="366"/>
    <cellStyle name="_충청지역본부-" xfId="367"/>
    <cellStyle name="_테마공사새로03" xfId="368"/>
    <cellStyle name="_통행료 전자지불 SW" xfId="369"/>
    <cellStyle name="_통행료면탈방지시스템(최종)" xfId="370"/>
    <cellStyle name="_퇴직연금 기록관리 시스템" xfId="372"/>
    <cellStyle name="_표지" xfId="373"/>
    <cellStyle name="_하이패스 전자지불(050214)" xfId="374"/>
    <cellStyle name="_하이패스(최종)" xfId="375"/>
    <cellStyle name="_호남지역본부-" xfId="376"/>
    <cellStyle name="_호남지역본부-20041220" xfId="377"/>
    <cellStyle name="_흙막이공사(일위)" xfId="378"/>
    <cellStyle name="´þ·?" xfId="386"/>
    <cellStyle name="’E‰Y [0.00]_laroux" xfId="387"/>
    <cellStyle name="’E‰Y_laroux" xfId="388"/>
    <cellStyle name="¤@?e_TEST-1 " xfId="389"/>
    <cellStyle name="°ia¤¼o¼ya¡" xfId="390"/>
    <cellStyle name="°ia¤aa·a1" xfId="391"/>
    <cellStyle name="°ia¤aa·a2" xfId="392"/>
    <cellStyle name="" xfId="1"/>
    <cellStyle name="_TCS_축중기" xfId="384"/>
    <cellStyle name="_TTMS위탁수량(KHC)" xfId="385"/>
    <cellStyle name="_강원지역본부" xfId="250"/>
    <cellStyle name="_강원지역본부(2006년)" xfId="251"/>
    <cellStyle name="_강원지역본부(2006년_060109)" xfId="253"/>
    <cellStyle name="_강원지역본부(2006년-051228)" xfId="254"/>
    <cellStyle name="_강원지역본부(2006년-060102)" xfId="255"/>
    <cellStyle name="_경남본부_2006년도_유지관리대상수량" xfId="261"/>
    <cellStyle name="_경남본부_2006년도_유지관리대상수량_경남지역본부(2006년)" xfId="262"/>
    <cellStyle name="_경남본부_2006년도_유지관리대상수량_경남지역본부(2006년도)" xfId="263"/>
    <cellStyle name="_경남지역본부-" xfId="265"/>
    <cellStyle name="_경남지역본부_20041220_상반기" xfId="266"/>
    <cellStyle name="_경남지역본부_20041220_상반기_2005년도급내역서" xfId="267"/>
    <cellStyle name="_경남지역본부_20041220_상반기_2005년도급내역서_TTMS위탁수량(KHC)" xfId="282"/>
    <cellStyle name="_경남지역본부_20041220_상반기_2005년도급내역서_강원지역본부(2006년)" xfId="268"/>
    <cellStyle name="_경남지역본부_20041220_상반기_2005년도급내역서_강원지역본부(2006년-051228)" xfId="269"/>
    <cellStyle name="_경남지역본부_20041220_상반기_2005년도급내역서_강원지역본부(2006년-060102)" xfId="270"/>
    <cellStyle name="_경남지역본부_20041220_상반기_2005년도급내역서_경남본부_2006년도_유지관리대상수량" xfId="271"/>
    <cellStyle name="_경남지역본부_20041220_상반기_2005년도급내역서_경남본부_2006년도_유지관리대상수량_경남지역본부(2006년)" xfId="272"/>
    <cellStyle name="_경남지역본부_20041220_상반기_2005년도급내역서_경남본부_2006년도_유지관리대상수량_경남지역본부(2006년도)" xfId="273"/>
    <cellStyle name="_경남지역본부_20041220_상반기_2005년도급내역서_중부지역본부(2006년)_기준" xfId="274"/>
    <cellStyle name="_경남지역본부_20041220_상반기_2005년도급내역서_중부지역본부(2006년)_기준_경남지역본부(2006년)" xfId="275"/>
    <cellStyle name="_경남지역본부_20041220_상반기_2005년도급내역서_중부지역본부(2006년)_기준_경남지역본부(2006년도)" xfId="276"/>
    <cellStyle name="_경남지역본부_20041220_상반기_2005년도급내역서_중부지역본부(2006년)_기준_경북지역본부(2006년)" xfId="277"/>
    <cellStyle name="_경남지역본부_20041220_상반기_2005년도급내역서_중부지역본부(2006년)_기준_경북지역본부(2006년도)" xfId="278"/>
    <cellStyle name="_경남지역본부_20041220_상반기_2005년도급내역서_중부지역본부(2006년-051220)" xfId="279"/>
    <cellStyle name="_경남지역본부_20041220_상반기_2005년도급내역서_중부지역본부(2006년-051228)" xfId="280"/>
    <cellStyle name="_경남지역본부_20041220_상반기_2005년도급내역서_중부지역본부(2006년-060102)" xfId="281"/>
    <cellStyle name="_경남지역본부_20041220_상반기_TTMS위탁수량(KHC)" xfId="297"/>
    <cellStyle name="_경남지역본부_20041220_상반기_강원지역본부(2006년)" xfId="283"/>
    <cellStyle name="_경남지역본부_20041220_상반기_강원지역본부(2006년-051228)" xfId="284"/>
    <cellStyle name="_경남지역본부_20041220_상반기_강원지역본부(2006년-060102)" xfId="285"/>
    <cellStyle name="_경남지역본부_20041220_상반기_경남본부_2006년도_유지관리대상수량" xfId="286"/>
    <cellStyle name="_경남지역본부_20041220_상반기_경남본부_2006년도_유지관리대상수량_경남지역본부(2006년)" xfId="287"/>
    <cellStyle name="_경남지역본부_20041220_상반기_경남본부_2006년도_유지관리대상수량_경남지역본부(2006년도)" xfId="288"/>
    <cellStyle name="_경남지역본부_20041220_상반기_중부지역본부(2006년)_기준" xfId="289"/>
    <cellStyle name="_경남지역본부_20041220_상반기_중부지역본부(2006년)_기준_경남지역본부(2006년)" xfId="290"/>
    <cellStyle name="_경남지역본부_20041220_상반기_중부지역본부(2006년)_기준_경남지역본부(2006년도)" xfId="291"/>
    <cellStyle name="_경남지역본부_20041220_상반기_중부지역본부(2006년)_기준_경북지역본부(2006년)" xfId="292"/>
    <cellStyle name="_경남지역본부_20041220_상반기_중부지역본부(2006년)_기준_경북지역본부(2006년도)" xfId="293"/>
    <cellStyle name="_경남지역본부_20041220_상반기_중부지역본부(2006년-051220)" xfId="294"/>
    <cellStyle name="_경남지역본부_20041220_상반기_중부지역본부(2006년-051228)" xfId="295"/>
    <cellStyle name="_경남지역본부_20041220_상반기_중부지역본부(2006년-060102)" xfId="296"/>
    <cellStyle name="_경북지역본부-" xfId="300"/>
    <cellStyle name="_중부지역본부-" xfId="352"/>
    <cellStyle name="_중부지역본부(2006년)_기준" xfId="353"/>
    <cellStyle name="_중부지역본부(2006년)_기준_경남지역본부(2006년)" xfId="354"/>
    <cellStyle name="_중부지역본부(2006년)_기준_경남지역본부(2006년도)" xfId="355"/>
    <cellStyle name="_중부지역본부(2006년)_기준_경북지역본부(2006년)" xfId="356"/>
    <cellStyle name="_중부지역본부(2006년)_기준_경북지역본부(2006년도)" xfId="357"/>
    <cellStyle name="_중부지역본부(2006년-051220)" xfId="358"/>
    <cellStyle name="_중부지역본부(2006년-051228)" xfId="359"/>
    <cellStyle name="_중부지역본부(2006년-060102)" xfId="360"/>
    <cellStyle name="_통행료면탈방지시스템(최종)" xfId="371"/>
    <cellStyle name="0%" xfId="393"/>
    <cellStyle name="0% 2" xfId="984"/>
    <cellStyle name="0% 3" xfId="970"/>
    <cellStyle name="0% 4" xfId="1024"/>
    <cellStyle name="0% 5" xfId="1031"/>
    <cellStyle name="0% 6" xfId="1069"/>
    <cellStyle name="0% 7" xfId="1000"/>
    <cellStyle name="0% 8" xfId="1077"/>
    <cellStyle name="0,0_x000d__x000a_NA_x000d__x000a_" xfId="394"/>
    <cellStyle name="0.0" xfId="395"/>
    <cellStyle name="0.0%" xfId="396"/>
    <cellStyle name="0.0% 2" xfId="985"/>
    <cellStyle name="0.0% 3" xfId="971"/>
    <cellStyle name="0.0% 4" xfId="1025"/>
    <cellStyle name="0.0% 5" xfId="1030"/>
    <cellStyle name="0.0% 6" xfId="1070"/>
    <cellStyle name="0.0% 7" xfId="999"/>
    <cellStyle name="0.0% 8" xfId="1054"/>
    <cellStyle name="0.00" xfId="397"/>
    <cellStyle name="0.00%" xfId="398"/>
    <cellStyle name="0.00% 2" xfId="986"/>
    <cellStyle name="0.00% 3" xfId="972"/>
    <cellStyle name="0.00% 4" xfId="1026"/>
    <cellStyle name="0.00% 5" xfId="1029"/>
    <cellStyle name="0.00% 6" xfId="1071"/>
    <cellStyle name="0.00% 7" xfId="998"/>
    <cellStyle name="0.00% 8" xfId="1055"/>
    <cellStyle name="0.000%" xfId="399"/>
    <cellStyle name="0.000% 2" xfId="987"/>
    <cellStyle name="0.000% 3" xfId="973"/>
    <cellStyle name="0.000% 4" xfId="1027"/>
    <cellStyle name="0.000% 5" xfId="1028"/>
    <cellStyle name="0.000% 6" xfId="1072"/>
    <cellStyle name="0.000% 7" xfId="1001"/>
    <cellStyle name="0.000% 8" xfId="1056"/>
    <cellStyle name="0.0000%" xfId="400"/>
    <cellStyle name="1" xfId="401"/>
    <cellStyle name="10" xfId="402"/>
    <cellStyle name="120" xfId="403"/>
    <cellStyle name="19990216" xfId="404"/>
    <cellStyle name="¹éº" xfId="406"/>
    <cellStyle name="1월" xfId="405"/>
    <cellStyle name="³?a￥" xfId="407"/>
    <cellStyle name="60" xfId="408"/>
    <cellStyle name="_x0014_7." xfId="409"/>
    <cellStyle name="aa" xfId="843"/>
    <cellStyle name="aa 2" xfId="994"/>
    <cellStyle name="aa 3" xfId="980"/>
    <cellStyle name="aa 4" xfId="1060"/>
    <cellStyle name="aa 5" xfId="1010"/>
    <cellStyle name="aa 6" xfId="1045"/>
    <cellStyle name="aa 7" xfId="1021"/>
    <cellStyle name="aa 8" xfId="1038"/>
    <cellStyle name="Actual Date" xfId="844"/>
    <cellStyle name="Åë" xfId="845"/>
    <cellStyle name="Aee­ " xfId="846"/>
    <cellStyle name="Åëè­ [" xfId="847"/>
    <cellStyle name="ÅëÈ­ [0]_¸ðÇü¸·" xfId="848"/>
    <cellStyle name="AeE­ [0]_±a¼uAe½A " xfId="849"/>
    <cellStyle name="ÅëÈ­ [0]_laroux" xfId="850"/>
    <cellStyle name="Aee­ _06년)하이패스_점검내역" xfId="851"/>
    <cellStyle name="ÅëÈ­_¸ðÇü¸·" xfId="852"/>
    <cellStyle name="AeE­_±a¼uAe½A " xfId="853"/>
    <cellStyle name="ÅëÈ­_laroux" xfId="854"/>
    <cellStyle name="Æu¼¾æR" xfId="855"/>
    <cellStyle name="ALIGNMENT" xfId="856"/>
    <cellStyle name="Äþ" xfId="857"/>
    <cellStyle name="Äþ¸¶ [" xfId="858"/>
    <cellStyle name="ÄÞ¸¶ [0]_¸ðÇü¸·" xfId="859"/>
    <cellStyle name="AÞ¸¶ [0]_±a¼uAe½A " xfId="860"/>
    <cellStyle name="ÄÞ¸¶ [0]_laroux" xfId="861"/>
    <cellStyle name="ÄÞ¸¶_¸ðÇü¸·" xfId="862"/>
    <cellStyle name="AÞ¸¶_±a¼uAe½A " xfId="863"/>
    <cellStyle name="ÄÞ¸¶_laroux" xfId="864"/>
    <cellStyle name="Au¸R¼o" xfId="865"/>
    <cellStyle name="Au¸R¼o0" xfId="866"/>
    <cellStyle name="b?þ?b?þ?b?þ?b?þ?b?þ?b?þ?b?þ?b?þ?b?þ?b?þ?b灌þ?b?þ?&lt;?b?þ?b濬þ?b?þ?b?þ昰_x0018_?þ????_x0008_" xfId="867"/>
    <cellStyle name="b?þ?b?þ?b?þ?b灌þ?b?þ?&lt;?b?þ?b濬þ?b?þ?b?þ昰_x0018_?þ????_x0008_" xfId="868"/>
    <cellStyle name="b␌þකb濰þඪb瀠þයb灌þ්b炈þ宐&lt;෢b濈þෲb濬þขb瀐þฒb瀰þ昰_x0018_⋸þ㤕䰀ጤܕ_x0008_" xfId="869"/>
    <cellStyle name="body" xfId="871"/>
    <cellStyle name="b嬜þപb嬼þഺb孬þൊb⍜þ൚b⍼þ൪b⎨þൺb⏜þඊb␌þකb濰þඪb瀠þයb灌þ්b炈þ宐&lt;෢b濈þෲb濬þขb瀐þฒb瀰þ昰_x0018_⋸þ㤕䰀ጤܕ_x0008_" xfId="870"/>
    <cellStyle name="C¡IA¨ª_Sheet1 (2)" xfId="872"/>
    <cellStyle name="Ç¥" xfId="873"/>
    <cellStyle name="C￥AØ_  FAB AIA¤  " xfId="874"/>
    <cellStyle name="Ç¥ÁØ_¸ðÇü¸·" xfId="875"/>
    <cellStyle name="C￥AØ_¿μ¾÷CoE² " xfId="876"/>
    <cellStyle name="Ç¥ÁØ_°­´ç (2)" xfId="877"/>
    <cellStyle name="C￥AØ_°A·¡≫oE²" xfId="878"/>
    <cellStyle name="Calc Currency (0)" xfId="879"/>
    <cellStyle name="category" xfId="880"/>
    <cellStyle name="CIAIÆU¸μAⓒ" xfId="881"/>
    <cellStyle name="Co≫e" xfId="882"/>
    <cellStyle name="Comma" xfId="883"/>
    <cellStyle name="Comma [0]" xfId="884"/>
    <cellStyle name="comma zerodec" xfId="885"/>
    <cellStyle name="Comma_ SG&amp;A Bridge " xfId="886"/>
    <cellStyle name="Comma0" xfId="887"/>
    <cellStyle name="Copied" xfId="888"/>
    <cellStyle name="Curren?_x0012_퐀_x0017_?" xfId="889"/>
    <cellStyle name="Currency" xfId="890"/>
    <cellStyle name="Currency [0]" xfId="891"/>
    <cellStyle name="Currency_ SG&amp;A Bridge " xfId="892"/>
    <cellStyle name="Currency0" xfId="893"/>
    <cellStyle name="Currency1" xfId="894"/>
    <cellStyle name="Date" xfId="895"/>
    <cellStyle name="Dezimal [0]_Ausdruck RUND (D)" xfId="896"/>
    <cellStyle name="Dezimal_Ausdruck RUND (D)" xfId="897"/>
    <cellStyle name="Dollar (zero dec)" xfId="898"/>
    <cellStyle name="E­æo±ae￡" xfId="899"/>
    <cellStyle name="E­æo±ae￡0" xfId="900"/>
    <cellStyle name="Entered" xfId="901"/>
    <cellStyle name="Euro" xfId="902"/>
    <cellStyle name="F2" xfId="903"/>
    <cellStyle name="F3" xfId="904"/>
    <cellStyle name="F4" xfId="905"/>
    <cellStyle name="F5" xfId="906"/>
    <cellStyle name="F6" xfId="907"/>
    <cellStyle name="F7" xfId="908"/>
    <cellStyle name="F8" xfId="909"/>
    <cellStyle name="Fixed" xfId="910"/>
    <cellStyle name="G/표준" xfId="911"/>
    <cellStyle name="Grey" xfId="912"/>
    <cellStyle name="head" xfId="913"/>
    <cellStyle name="head 1" xfId="914"/>
    <cellStyle name="head 1-1" xfId="915"/>
    <cellStyle name="HEADER" xfId="916"/>
    <cellStyle name="Header1" xfId="917"/>
    <cellStyle name="Header2" xfId="918"/>
    <cellStyle name="Heading 1" xfId="919"/>
    <cellStyle name="Heading 2" xfId="920"/>
    <cellStyle name="Heading1" xfId="921"/>
    <cellStyle name="Heading2" xfId="922"/>
    <cellStyle name="Helv8_PFD4.XLS" xfId="923"/>
    <cellStyle name="HIGHLIGHT" xfId="924"/>
    <cellStyle name="Hyperlink_NEGS" xfId="925"/>
    <cellStyle name="Input [yellow]" xfId="926"/>
    <cellStyle name="Milliers [0]_Arabian Spec" xfId="927"/>
    <cellStyle name="Milliers_Arabian Spec" xfId="928"/>
    <cellStyle name="Model" xfId="929"/>
    <cellStyle name="Mon?aire [0]_Arabian Spec" xfId="930"/>
    <cellStyle name="Mon?aire_Arabian Spec" xfId="931"/>
    <cellStyle name="no dec" xfId="932"/>
    <cellStyle name="Normal - Style1" xfId="934"/>
    <cellStyle name="Normal - Style2" xfId="935"/>
    <cellStyle name="Normal - Style3" xfId="936"/>
    <cellStyle name="Normal - Style4" xfId="937"/>
    <cellStyle name="Normal - Style5" xfId="938"/>
    <cellStyle name="Normal - Style6" xfId="939"/>
    <cellStyle name="Normal - Style7" xfId="940"/>
    <cellStyle name="Normal - Style8" xfId="941"/>
    <cellStyle name="Normal - 유형1" xfId="933"/>
    <cellStyle name="Normal_ SG&amp;A Bridge" xfId="942"/>
    <cellStyle name="Œ…?æ맖?e [0.00]_laroux" xfId="943"/>
    <cellStyle name="Œ…?æ맖?e_laroux" xfId="944"/>
    <cellStyle name="oft Excel]_x000d__x000a_Comment=The open=/f lines load custom functions into the Paste Function list._x000d__x000a_Maximized=3_x000d__x000a_AutoFormat=" xfId="945"/>
    <cellStyle name="Percent" xfId="946"/>
    <cellStyle name="Percent [2]" xfId="947"/>
    <cellStyle name="Percent_06년)하이패스_점검내역" xfId="948"/>
    <cellStyle name="RevList" xfId="949"/>
    <cellStyle name="STANDARD" xfId="950"/>
    <cellStyle name="STD" xfId="951"/>
    <cellStyle name="subhead" xfId="952"/>
    <cellStyle name="Subtotal" xfId="953"/>
    <cellStyle name="þ?b?þ?b?þ?b?þ?b?þ?b?þ?b?þ?b灌þ?b?þ?&lt;?b?þ?b濬þ?b?þ?b?þ昰_x0018_?þ????_x0008_" xfId="954"/>
    <cellStyle name="þ൚b⍼þ൪b⎨þൺb⏜þඊb␌þකb濰þඪb瀠þයb灌þ්b炈þ宐&lt;෢b濈þෲb濬þขb瀐þฒb瀰þ昰_x0018_⋸þ㤕䰀ጤܕ_x0008_" xfId="955"/>
    <cellStyle name="Title" xfId="956"/>
    <cellStyle name="title [1]" xfId="957"/>
    <cellStyle name="title [2]" xfId="958"/>
    <cellStyle name="Total" xfId="959"/>
    <cellStyle name="UM" xfId="960"/>
    <cellStyle name="Unprot" xfId="961"/>
    <cellStyle name="Unprot$" xfId="962"/>
    <cellStyle name="Unprotect" xfId="963"/>
    <cellStyle name="W?rung [0]_Ausdruck RUND (D)" xfId="964"/>
    <cellStyle name="W?rung_Ausdruck RUND (D)" xfId="965"/>
    <cellStyle name="μU¿¡ ¿A´A CIAIÆU¸μAⓒ" xfId="966"/>
    <cellStyle name="고정소숫점" xfId="410"/>
    <cellStyle name="고정출력1" xfId="411"/>
    <cellStyle name="고정출력2" xfId="412"/>
    <cellStyle name="咬訌裝?INCOM1" xfId="413"/>
    <cellStyle name="咬訌裝?INCOM10" xfId="414"/>
    <cellStyle name="咬訌裝?INCOM2" xfId="415"/>
    <cellStyle name="咬訌裝?INCOM3" xfId="416"/>
    <cellStyle name="咬訌裝?INCOM4" xfId="417"/>
    <cellStyle name="咬訌裝?INCOM5" xfId="418"/>
    <cellStyle name="咬訌裝?INCOM6" xfId="419"/>
    <cellStyle name="咬訌裝?INCOM7" xfId="420"/>
    <cellStyle name="咬訌裝?INCOM8" xfId="421"/>
    <cellStyle name="咬訌裝?INCOM9" xfId="422"/>
    <cellStyle name="咬訌裝?PRIB11" xfId="423"/>
    <cellStyle name="구        분" xfId="424"/>
    <cellStyle name="금액" xfId="425"/>
    <cellStyle name="김해전기" xfId="426"/>
    <cellStyle name="날짜" xfId="427"/>
    <cellStyle name="내역서" xfId="428"/>
    <cellStyle name="단위(원)" xfId="429"/>
    <cellStyle name="달러" xfId="430"/>
    <cellStyle name="뒤에 오는 하이퍼링크" xfId="431"/>
    <cellStyle name="똿뗦먛귟 [0.00]_laroux" xfId="432"/>
    <cellStyle name="똿뗦먛귟_laroux" xfId="433"/>
    <cellStyle name="믅됞 [0.00]_laroux" xfId="434"/>
    <cellStyle name="믅됞_laroux" xfId="435"/>
    <cellStyle name="배분" xfId="436"/>
    <cellStyle name="백분율 [0]" xfId="437"/>
    <cellStyle name="백분율 [2]" xfId="438"/>
    <cellStyle name="백분율 2" xfId="1084"/>
    <cellStyle name="백분율［△1］" xfId="439"/>
    <cellStyle name="백분율［△2］" xfId="440"/>
    <cellStyle name="뷭?_?긚??_1" xfId="441"/>
    <cellStyle name="선택영역의 가운데로" xfId="442"/>
    <cellStyle name="설계서" xfId="443"/>
    <cellStyle name="설계서-내용" xfId="444"/>
    <cellStyle name="설계서-내용-소수점" xfId="445"/>
    <cellStyle name="설계서-내용-우" xfId="446"/>
    <cellStyle name="설계서-내용-좌" xfId="447"/>
    <cellStyle name="설계서-소제목" xfId="448"/>
    <cellStyle name="설계서-타이틀" xfId="449"/>
    <cellStyle name="설계서-항목" xfId="450"/>
    <cellStyle name="수산" xfId="451"/>
    <cellStyle name="숫자(R)" xfId="452"/>
    <cellStyle name="쉼표 [0]" xfId="453" builtinId="6"/>
    <cellStyle name="쉼표 [0] 2" xfId="454"/>
    <cellStyle name="쉼표 [0] 2 2" xfId="1032"/>
    <cellStyle name="쉼표 [0] 2 2 2" xfId="1033"/>
    <cellStyle name="쉼표 [0] 2 2 2 2" xfId="1073"/>
    <cellStyle name="쉼표 [0] 2 2 2 2 2" xfId="1074"/>
    <cellStyle name="쉼표 [0] 2 2 2 2 2 2" xfId="1078"/>
    <cellStyle name="쉼표 [0] 2 2 2 2 2 2 2" xfId="1079"/>
    <cellStyle name="쉼표 [0] 2 2 2 2 2 2 3" xfId="1081"/>
    <cellStyle name="쉼표 [0] 2 2 2 2 2 3" xfId="1080"/>
    <cellStyle name="쉼표 [0] 2 2 2 2 3" xfId="1076"/>
    <cellStyle name="쉼표 [0] 2 2 2 2 4" xfId="1043"/>
    <cellStyle name="쉼표 [0] 2 2 2 3" xfId="1075"/>
    <cellStyle name="쉼표 [0] 2 2 2 4" xfId="1042"/>
    <cellStyle name="쉼표 [0] 2 2 3" xfId="1067"/>
    <cellStyle name="쉼표 [0] 2 2 4" xfId="1003"/>
    <cellStyle name="쉼표 [0] 2 2 5" xfId="1052"/>
    <cellStyle name="쉼표 [0] 2 2 6" xfId="1014"/>
    <cellStyle name="쉼표 [0] 2 3" xfId="1068"/>
    <cellStyle name="쉼표 [0] 2 4" xfId="1002"/>
    <cellStyle name="쉼표 [0] 2 5" xfId="1053"/>
    <cellStyle name="쉼표 [0] 2 6" xfId="1013"/>
    <cellStyle name="쉼표 [0] 2 7" xfId="1086"/>
    <cellStyle name="쉼표 [0] 3" xfId="988"/>
    <cellStyle name="쉼표 [0] 4" xfId="974"/>
    <cellStyle name="쉼표 [0] 5" xfId="1087"/>
    <cellStyle name="쉼표 [0]_2. 냉온수" xfId="455"/>
    <cellStyle name="쉼표 [0]_목차_1" xfId="456"/>
    <cellStyle name="스타일 1" xfId="457"/>
    <cellStyle name="스타일 1 2" xfId="989"/>
    <cellStyle name="스타일 1 3" xfId="975"/>
    <cellStyle name="스타일 1 4" xfId="1034"/>
    <cellStyle name="스타일 1 5" xfId="1066"/>
    <cellStyle name="스타일 1 6" xfId="1004"/>
    <cellStyle name="스타일 1 7" xfId="1051"/>
    <cellStyle name="스타일 1 8" xfId="1015"/>
    <cellStyle name="스타일 10" xfId="458"/>
    <cellStyle name="스타일 11" xfId="459"/>
    <cellStyle name="스타일 12" xfId="460"/>
    <cellStyle name="스타일 13" xfId="461"/>
    <cellStyle name="스타일 14" xfId="462"/>
    <cellStyle name="스타일 15" xfId="463"/>
    <cellStyle name="스타일 15 2" xfId="990"/>
    <cellStyle name="스타일 15 3" xfId="976"/>
    <cellStyle name="스타일 15 4" xfId="1035"/>
    <cellStyle name="스타일 15 5" xfId="1065"/>
    <cellStyle name="스타일 15 6" xfId="1005"/>
    <cellStyle name="스타일 15 7" xfId="1050"/>
    <cellStyle name="스타일 15 8" xfId="1016"/>
    <cellStyle name="스타일 16" xfId="464"/>
    <cellStyle name="스타일 17" xfId="465"/>
    <cellStyle name="스타일 18" xfId="466"/>
    <cellStyle name="스타일 19" xfId="467"/>
    <cellStyle name="스타일 2" xfId="468"/>
    <cellStyle name="스타일 20" xfId="469"/>
    <cellStyle name="스타일 21" xfId="470"/>
    <cellStyle name="스타일 22" xfId="471"/>
    <cellStyle name="스타일 22 2" xfId="991"/>
    <cellStyle name="스타일 22 3" xfId="977"/>
    <cellStyle name="스타일 22 4" xfId="1036"/>
    <cellStyle name="스타일 22 5" xfId="1064"/>
    <cellStyle name="스타일 22 6" xfId="1006"/>
    <cellStyle name="스타일 22 7" xfId="1049"/>
    <cellStyle name="스타일 22 8" xfId="1017"/>
    <cellStyle name="스타일 23" xfId="472"/>
    <cellStyle name="스타일 24" xfId="473"/>
    <cellStyle name="스타일 25" xfId="474"/>
    <cellStyle name="스타일 26" xfId="475"/>
    <cellStyle name="스타일 27" xfId="476"/>
    <cellStyle name="스타일 28" xfId="477"/>
    <cellStyle name="스타일 29" xfId="478"/>
    <cellStyle name="스타일 3" xfId="479"/>
    <cellStyle name="스타일 30" xfId="480"/>
    <cellStyle name="스타일 31" xfId="481"/>
    <cellStyle name="스타일 32" xfId="482"/>
    <cellStyle name="스타일 32 2" xfId="992"/>
    <cellStyle name="스타일 32 3" xfId="978"/>
    <cellStyle name="스타일 32 4" xfId="1037"/>
    <cellStyle name="스타일 32 5" xfId="1063"/>
    <cellStyle name="스타일 32 6" xfId="1007"/>
    <cellStyle name="스타일 32 7" xfId="1048"/>
    <cellStyle name="스타일 32 8" xfId="1018"/>
    <cellStyle name="스타일 33" xfId="483"/>
    <cellStyle name="스타일 34" xfId="484"/>
    <cellStyle name="스타일 35" xfId="485"/>
    <cellStyle name="스타일 36" xfId="486"/>
    <cellStyle name="스타일 37" xfId="487"/>
    <cellStyle name="스타일 38" xfId="488"/>
    <cellStyle name="스타일 39" xfId="489"/>
    <cellStyle name="스타일 4" xfId="490"/>
    <cellStyle name="스타일 5" xfId="491"/>
    <cellStyle name="스타일 6" xfId="492"/>
    <cellStyle name="스타일 7" xfId="493"/>
    <cellStyle name="스타일 8" xfId="494"/>
    <cellStyle name="스타일 8 2" xfId="993"/>
    <cellStyle name="스타일 8 3" xfId="979"/>
    <cellStyle name="스타일 8 4" xfId="1039"/>
    <cellStyle name="스타일 8 5" xfId="1062"/>
    <cellStyle name="스타일 8 6" xfId="1008"/>
    <cellStyle name="스타일 8 7" xfId="1047"/>
    <cellStyle name="스타일 8 8" xfId="1019"/>
    <cellStyle name="스타일 9" xfId="495"/>
    <cellStyle name="안건회계법인" xfId="496"/>
    <cellStyle name="원" xfId="497"/>
    <cellStyle name="원_0008금감원통합감독검사정보시스템" xfId="498"/>
    <cellStyle name="원_0009김포공항LED교체공사(광일)" xfId="499"/>
    <cellStyle name="원_0009김포공항LED교체공사(광일)_강원지역본부(2006년_060109)" xfId="500"/>
    <cellStyle name="원_0009김포공항LED교체공사(광일)_경남지역본부-" xfId="501"/>
    <cellStyle name="원_0009김포공항LED교체공사(광일)_경북지역본부-" xfId="502"/>
    <cellStyle name="원_0009김포공항LED교체공사(광일)_중부지역본부-" xfId="503"/>
    <cellStyle name="원_0009김포공항LED교체공사(광일)_충청지역본부-" xfId="504"/>
    <cellStyle name="원_0009김포공항LED교체공사(광일)_통행료면탈방지시스템(최종)" xfId="505"/>
    <cellStyle name="원_0009김포공항LED교체공사(광일)_호남지역본부-" xfId="506"/>
    <cellStyle name="원_0011KIST소각설비제작설치" xfId="523"/>
    <cellStyle name="원_0011KIST소각설비제작설치_강원지역본부(2006년_060109)" xfId="524"/>
    <cellStyle name="원_0011KIST소각설비제작설치_경남지역본부-" xfId="525"/>
    <cellStyle name="원_0011KIST소각설비제작설치_경북지역본부-" xfId="526"/>
    <cellStyle name="원_0011KIST소각설비제작설치_중부지역본부-" xfId="527"/>
    <cellStyle name="원_0011KIST소각설비제작설치_충청지역본부-" xfId="528"/>
    <cellStyle name="원_0011KIST소각설비제작설치_통행료면탈방지시스템(최종)" xfId="529"/>
    <cellStyle name="원_0011KIST소각설비제작설치_호남지역본부-" xfId="530"/>
    <cellStyle name="원_0011긴급전화기정산(99년형광일)" xfId="507"/>
    <cellStyle name="원_0011긴급전화기정산(99년형광일)_강원지역본부(2006년_060109)" xfId="508"/>
    <cellStyle name="원_0011긴급전화기정산(99년형광일)_경남지역본부-" xfId="509"/>
    <cellStyle name="원_0011긴급전화기정산(99년형광일)_경북지역본부-" xfId="510"/>
    <cellStyle name="원_0011긴급전화기정산(99년형광일)_중부지역본부-" xfId="511"/>
    <cellStyle name="원_0011긴급전화기정산(99년형광일)_충청지역본부-" xfId="512"/>
    <cellStyle name="원_0011긴급전화기정산(99년형광일)_통행료면탈방지시스템(최종)" xfId="513"/>
    <cellStyle name="원_0011긴급전화기정산(99년형광일)_호남지역본부-" xfId="514"/>
    <cellStyle name="원_0011부산종합경기장전광판" xfId="515"/>
    <cellStyle name="원_0011부산종합경기장전광판_강원지역본부(2006년_060109)" xfId="516"/>
    <cellStyle name="원_0011부산종합경기장전광판_경남지역본부-" xfId="517"/>
    <cellStyle name="원_0011부산종합경기장전광판_경북지역본부-" xfId="518"/>
    <cellStyle name="원_0011부산종합경기장전광판_중부지역본부-" xfId="519"/>
    <cellStyle name="원_0011부산종합경기장전광판_충청지역본부-" xfId="520"/>
    <cellStyle name="원_0011부산종합경기장전광판_통행료면탈방지시스템(최종)" xfId="521"/>
    <cellStyle name="원_0011부산종합경기장전광판_호남지역본부-" xfId="522"/>
    <cellStyle name="원_0012문화유적지표석제작설치" xfId="531"/>
    <cellStyle name="원_0012문화유적지표석제작설치_강원지역본부(2006년_060109)" xfId="532"/>
    <cellStyle name="원_0012문화유적지표석제작설치_경남지역본부-" xfId="533"/>
    <cellStyle name="원_0012문화유적지표석제작설치_경북지역본부-" xfId="534"/>
    <cellStyle name="원_0012문화유적지표석제작설치_중부지역본부-" xfId="535"/>
    <cellStyle name="원_0012문화유적지표석제작설치_충청지역본부-" xfId="536"/>
    <cellStyle name="원_0012문화유적지표석제작설치_통행료면탈방지시스템(최종)" xfId="537"/>
    <cellStyle name="원_0012문화유적지표석제작설치_호남지역본부-" xfId="538"/>
    <cellStyle name="원_0102국제조명신공항분수조명" xfId="539"/>
    <cellStyle name="원_0102국제조명신공항분수조명_강원지역본부(2006년_060109)" xfId="540"/>
    <cellStyle name="원_0102국제조명신공항분수조명_경남지역본부-" xfId="541"/>
    <cellStyle name="원_0102국제조명신공항분수조명_경북지역본부-" xfId="542"/>
    <cellStyle name="원_0102국제조명신공항분수조명_중부지역본부-" xfId="543"/>
    <cellStyle name="원_0102국제조명신공항분수조명_충청지역본부-" xfId="544"/>
    <cellStyle name="원_0102국제조명신공항분수조명_통행료면탈방지시스템(최종)" xfId="545"/>
    <cellStyle name="원_0102국제조명신공항분수조명_호남지역본부-" xfId="546"/>
    <cellStyle name="원_0103회전식현수막게시대제작설치" xfId="547"/>
    <cellStyle name="원_0104포항시침출수처리시스템" xfId="548"/>
    <cellStyle name="원_0105담배자판기개조원가" xfId="549"/>
    <cellStyle name="원_0105담배자판기개조원가_강원지역본부(2006년_060109)" xfId="550"/>
    <cellStyle name="원_0105담배자판기개조원가_경남지역본부-" xfId="551"/>
    <cellStyle name="원_0105담배자판기개조원가_경북지역본부-" xfId="552"/>
    <cellStyle name="원_0105담배자판기개조원가_중부지역본부-" xfId="553"/>
    <cellStyle name="원_0105담배자판기개조원가_충청지역본부-" xfId="554"/>
    <cellStyle name="원_0105담배자판기개조원가_통행료면탈방지시스템(최종)" xfId="555"/>
    <cellStyle name="원_0105담배자판기개조원가_호남지역본부-" xfId="556"/>
    <cellStyle name="원_0106LG인버터냉난방기제작-1" xfId="557"/>
    <cellStyle name="원_0106LG인버터냉난방기제작-1_강원지역본부(2006년_060109)" xfId="558"/>
    <cellStyle name="원_0106LG인버터냉난방기제작-1_경남지역본부-" xfId="559"/>
    <cellStyle name="원_0106LG인버터냉난방기제작-1_경북지역본부-" xfId="560"/>
    <cellStyle name="원_0106LG인버터냉난방기제작-1_중부지역본부-" xfId="561"/>
    <cellStyle name="원_0106LG인버터냉난방기제작-1_충청지역본부-" xfId="562"/>
    <cellStyle name="원_0106LG인버터냉난방기제작-1_통행료면탈방지시스템(최종)" xfId="563"/>
    <cellStyle name="원_0106LG인버터냉난방기제작-1_호남지역본부-" xfId="564"/>
    <cellStyle name="원_0107광전송장비구매설치" xfId="565"/>
    <cellStyle name="원_0107광전송장비구매설치_강원지역본부(2006년_060109)" xfId="566"/>
    <cellStyle name="원_0107광전송장비구매설치_경남지역본부-" xfId="567"/>
    <cellStyle name="원_0107광전송장비구매설치_경북지역본부-" xfId="568"/>
    <cellStyle name="원_0107광전송장비구매설치_중부지역본부-" xfId="569"/>
    <cellStyle name="원_0107광전송장비구매설치_충청지역본부-" xfId="570"/>
    <cellStyle name="원_0107광전송장비구매설치_통행료면탈방지시스템(최종)" xfId="571"/>
    <cellStyle name="원_0107광전송장비구매설치_호남지역본부-" xfId="572"/>
    <cellStyle name="원_0107도공IBS설비SW부문(참조)" xfId="573"/>
    <cellStyle name="원_0107도공IBS설비SW부문(참조)_강원지역본부(2006년_060109)" xfId="574"/>
    <cellStyle name="원_0107도공IBS설비SW부문(참조)_경남지역본부-" xfId="575"/>
    <cellStyle name="원_0107도공IBS설비SW부문(참조)_경북지역본부-" xfId="576"/>
    <cellStyle name="원_0107도공IBS설비SW부문(참조)_중부지역본부-" xfId="577"/>
    <cellStyle name="원_0107도공IBS설비SW부문(참조)_충청지역본부-" xfId="578"/>
    <cellStyle name="원_0107도공IBS설비SW부문(참조)_통행료면탈방지시스템(최종)" xfId="579"/>
    <cellStyle name="원_0107도공IBS설비SW부문(참조)_호남지역본부-" xfId="580"/>
    <cellStyle name="원_0107문화재복원용목재-8월6일" xfId="581"/>
    <cellStyle name="원_0107문화재복원용목재-8월6일_강원지역본부(2006년_060109)" xfId="582"/>
    <cellStyle name="원_0107문화재복원용목재-8월6일_경남지역본부-" xfId="583"/>
    <cellStyle name="원_0107문화재복원용목재-8월6일_경북지역본부-" xfId="584"/>
    <cellStyle name="원_0107문화재복원용목재-8월6일_중부지역본부-" xfId="585"/>
    <cellStyle name="원_0107문화재복원용목재-8월6일_충청지역본부-" xfId="586"/>
    <cellStyle name="원_0107문화재복원용목재-8월6일_통행료면탈방지시스템(최종)" xfId="587"/>
    <cellStyle name="원_0107문화재복원용목재-8월6일_호남지역본부-" xfId="588"/>
    <cellStyle name="원_0107포천영중수배전반(제조,설치)" xfId="589"/>
    <cellStyle name="원_0107포천영중수배전반(제조,설치)_강원지역본부(2006년_060109)" xfId="590"/>
    <cellStyle name="원_0107포천영중수배전반(제조,설치)_경남지역본부-" xfId="591"/>
    <cellStyle name="원_0107포천영중수배전반(제조,설치)_경북지역본부-" xfId="592"/>
    <cellStyle name="원_0107포천영중수배전반(제조,설치)_중부지역본부-" xfId="593"/>
    <cellStyle name="원_0107포천영중수배전반(제조,설치)_충청지역본부-" xfId="594"/>
    <cellStyle name="원_0107포천영중수배전반(제조,설치)_통행료면탈방지시스템(최종)" xfId="595"/>
    <cellStyle name="원_0107포천영중수배전반(제조,설치)_호남지역본부-" xfId="596"/>
    <cellStyle name="원_0108농기반미곡건조기제작설치" xfId="597"/>
    <cellStyle name="원_0108담배인삼공사영업춘추복" xfId="598"/>
    <cellStyle name="원_0108한국전기교통-LED교통신호등((원본))" xfId="599"/>
    <cellStyle name="원_0108한국전기교통-LED교통신호등((원본))_강원지역본부(2006년_060109)" xfId="600"/>
    <cellStyle name="원_0108한국전기교통-LED교통신호등((원본))_경남지역본부-" xfId="601"/>
    <cellStyle name="원_0108한국전기교통-LED교통신호등((원본))_경북지역본부-" xfId="602"/>
    <cellStyle name="원_0108한국전기교통-LED교통신호등((원본))_중부지역본부-" xfId="603"/>
    <cellStyle name="원_0108한국전기교통-LED교통신호등((원본))_충청지역본부-" xfId="604"/>
    <cellStyle name="원_0108한국전기교통-LED교통신호등((원본))_통행료면탈방지시스템(최종)" xfId="605"/>
    <cellStyle name="원_0108한국전기교통-LED교통신호등((원본))_호남지역본부-" xfId="606"/>
    <cellStyle name="원_0111해양수산부등명기제작" xfId="607"/>
    <cellStyle name="원_0111해양수산부등명기제작_강원지역본부(2006년_060109)" xfId="608"/>
    <cellStyle name="원_0111해양수산부등명기제작_경남지역본부-" xfId="609"/>
    <cellStyle name="원_0111해양수산부등명기제작_경북지역본부-" xfId="610"/>
    <cellStyle name="원_0111해양수산부등명기제작_중부지역본부-" xfId="611"/>
    <cellStyle name="원_0111해양수산부등명기제작_충청지역본부-" xfId="612"/>
    <cellStyle name="원_0111해양수산부등명기제작_통행료면탈방지시스템(최종)" xfId="613"/>
    <cellStyle name="원_0111해양수산부등명기제작_호남지역본부-" xfId="614"/>
    <cellStyle name="원_0111핸디소프트-전자표준문서시스템" xfId="615"/>
    <cellStyle name="원_0112금감원사무자동화시스템" xfId="616"/>
    <cellStyle name="원_0112금감원사무자동화시스템_강원지역본부(2006년_060109)" xfId="617"/>
    <cellStyle name="원_0112금감원사무자동화시스템_경남지역본부-" xfId="618"/>
    <cellStyle name="원_0112금감원사무자동화시스템_경북지역본부-" xfId="619"/>
    <cellStyle name="원_0112금감원사무자동화시스템_중부지역본부-" xfId="620"/>
    <cellStyle name="원_0112금감원사무자동화시스템_충청지역본부-" xfId="621"/>
    <cellStyle name="원_0112금감원사무자동화시스템_통행료면탈방지시스템(최종)" xfId="622"/>
    <cellStyle name="원_0112금감원사무자동화시스템_호남지역본부-" xfId="623"/>
    <cellStyle name="원_0112수도권매립지SW원가" xfId="624"/>
    <cellStyle name="원_0112수도권매립지SW원가_강원지역본부(2006년_060109)" xfId="625"/>
    <cellStyle name="원_0112수도권매립지SW원가_경남지역본부-" xfId="626"/>
    <cellStyle name="원_0112수도권매립지SW원가_경북지역본부-" xfId="627"/>
    <cellStyle name="원_0112수도권매립지SW원가_중부지역본부-" xfId="628"/>
    <cellStyle name="원_0112수도권매립지SW원가_충청지역본부-" xfId="629"/>
    <cellStyle name="원_0112수도권매립지SW원가_통행료면탈방지시스템(최종)" xfId="630"/>
    <cellStyle name="원_0112수도권매립지SW원가_호남지역본부-" xfId="631"/>
    <cellStyle name="원_0112중고원-HRD종합정보망구축(完)" xfId="632"/>
    <cellStyle name="원_0201종합예술회관의자제작설치" xfId="633"/>
    <cellStyle name="원_0201종합예술회관의자제작설치-1" xfId="634"/>
    <cellStyle name="원_0202마사회근무복" xfId="635"/>
    <cellStyle name="원_0202마사회근무복_강원지역본부(2006년_060109)" xfId="636"/>
    <cellStyle name="원_0202마사회근무복_경남지역본부-" xfId="637"/>
    <cellStyle name="원_0202마사회근무복_경북지역본부-" xfId="638"/>
    <cellStyle name="원_0202마사회근무복_중부지역본부-" xfId="639"/>
    <cellStyle name="원_0202마사회근무복_충청지역본부-" xfId="640"/>
    <cellStyle name="원_0202마사회근무복_통행료면탈방지시스템(최종)" xfId="641"/>
    <cellStyle name="원_0202마사회근무복_호남지역본부-" xfId="642"/>
    <cellStyle name="원_0202부경교재-승강칠판" xfId="643"/>
    <cellStyle name="원_0202부경교재-승강칠판_강원지역본부(2006년_060109)" xfId="644"/>
    <cellStyle name="원_0202부경교재-승강칠판_경남지역본부-" xfId="645"/>
    <cellStyle name="원_0202부경교재-승강칠판_경북지역본부-" xfId="646"/>
    <cellStyle name="원_0202부경교재-승강칠판_중부지역본부-" xfId="647"/>
    <cellStyle name="원_0202부경교재-승강칠판_충청지역본부-" xfId="648"/>
    <cellStyle name="원_0202부경교재-승강칠판_통행료면탈방지시스템(최종)" xfId="649"/>
    <cellStyle name="원_0202부경교재-승강칠판_호남지역본부-" xfId="650"/>
    <cellStyle name="원_0204한국석묘납골함-1규격" xfId="651"/>
    <cellStyle name="원_0204한국석묘납골함-1규격_강원지역본부(2006년_060109)" xfId="652"/>
    <cellStyle name="원_0204한국석묘납골함-1규격_경남지역본부-" xfId="653"/>
    <cellStyle name="원_0204한국석묘납골함-1규격_경북지역본부-" xfId="654"/>
    <cellStyle name="원_0204한국석묘납골함-1규격_중부지역본부-" xfId="655"/>
    <cellStyle name="원_0204한국석묘납골함-1규격_충청지역본부-" xfId="656"/>
    <cellStyle name="원_0204한국석묘납골함-1규격_통행료면탈방지시스템(최종)" xfId="657"/>
    <cellStyle name="원_0204한국석묘납골함-1규격_호남지역본부-" xfId="658"/>
    <cellStyle name="원_0205TTMS-긴급전화기&amp;전체총괄" xfId="659"/>
    <cellStyle name="원_0206금감원금융정보교환망재구축" xfId="660"/>
    <cellStyle name="원_0206정통부수납장표기기제작설치" xfId="661"/>
    <cellStyle name="원_0207담배인삼공사-담요" xfId="662"/>
    <cellStyle name="원_0208레비텍-다층여과기설계변경" xfId="663"/>
    <cellStyle name="원_0209이산화염소발생기-설치(50K)" xfId="664"/>
    <cellStyle name="원_0210현대정보기술-TD이중계" xfId="665"/>
    <cellStyle name="원_0211조달청-#1대북지원사업정산(1월7일)" xfId="666"/>
    <cellStyle name="원_0212금감원-법규정보시스템(完)" xfId="667"/>
    <cellStyle name="원_0301교통방송-CCTV유지보수" xfId="668"/>
    <cellStyle name="원_0302인천경찰청-무인단속기위탁관리" xfId="669"/>
    <cellStyle name="원_0302조달청-대북지원2차(안성연)" xfId="670"/>
    <cellStyle name="원_0302조달청-대북지원2차(최수현)" xfId="671"/>
    <cellStyle name="원_0302표준문서-쌍용정보통신(신)" xfId="672"/>
    <cellStyle name="원_0304소프트파워-정부표준전자문서시스템" xfId="673"/>
    <cellStyle name="원_0304소프트파워-정부표준전자문서시스템(完)" xfId="674"/>
    <cellStyle name="원_0304철도청-주변환장치-1" xfId="675"/>
    <cellStyle name="원_0305금감원-금융통계정보시스템구축(完)" xfId="676"/>
    <cellStyle name="원_0305제낭조합-면범포지" xfId="677"/>
    <cellStyle name="원_0306제낭공업협동조합-면범포지원단(경비까지)" xfId="678"/>
    <cellStyle name="원_0307경찰청-무인교통단속표준SW개발용역(完)" xfId="679"/>
    <cellStyle name="원_0308조달청-#8대북지원사업정산" xfId="680"/>
    <cellStyle name="원_0309두합크린텍-설치원가" xfId="681"/>
    <cellStyle name="원_0309조달청-#9대북지원사업정산" xfId="682"/>
    <cellStyle name="원_0310여주상수도-탈수기(유천ENG)" xfId="683"/>
    <cellStyle name="원_0311대기해양작업시간" xfId="684"/>
    <cellStyle name="원_0311대기해양중형등명기" xfId="685"/>
    <cellStyle name="원_0312국민체육진흥공단-전기부문" xfId="686"/>
    <cellStyle name="원_0312대기해양-중형등명기제작설치" xfId="687"/>
    <cellStyle name="원_0312라이준-칼라아스콘4규격" xfId="688"/>
    <cellStyle name="원_0401집진기프로그램SW개발비산정" xfId="689"/>
    <cellStyle name="원_13. 관리동" xfId="690"/>
    <cellStyle name="원_2001-06조달청신성-한냉지형" xfId="691"/>
    <cellStyle name="원_2002-03경찰대학-졸업식" xfId="692"/>
    <cellStyle name="원_2002-03경찰청-경찰표지장" xfId="693"/>
    <cellStyle name="원_2002-03반디-가로등(열주형)" xfId="694"/>
    <cellStyle name="원_2002-03신화전자-감지기" xfId="695"/>
    <cellStyle name="원_2002-04강원랜드-슬러트머신" xfId="696"/>
    <cellStyle name="원_2002-04메가컴-외주무대" xfId="697"/>
    <cellStyle name="원_2002-04엘지애드-무대" xfId="698"/>
    <cellStyle name="원_2002-05강원랜드-슬러트머신(넥스터)" xfId="699"/>
    <cellStyle name="원_2002-05경기경찰청-냉온수기공사" xfId="700"/>
    <cellStyle name="원_2002-05대통령비서실-카페트" xfId="701"/>
    <cellStyle name="원_2002결과표" xfId="702"/>
    <cellStyle name="원_2002결과표_강원지역본부(2006년_060109)" xfId="703"/>
    <cellStyle name="원_2002결과표_경남지역본부-" xfId="704"/>
    <cellStyle name="원_2002결과표_경북지역본부-" xfId="705"/>
    <cellStyle name="원_2002결과표_중부지역본부-" xfId="706"/>
    <cellStyle name="원_2002결과표_충청지역본부-" xfId="707"/>
    <cellStyle name="원_2002결과표_통행료면탈방지시스템(최종)" xfId="708"/>
    <cellStyle name="원_2002결과표_호남지역본부-" xfId="709"/>
    <cellStyle name="원_2002결과표1" xfId="710"/>
    <cellStyle name="원_2003-01정일사-표창5종" xfId="711"/>
    <cellStyle name="원_Pilot플랜트-계변경" xfId="790"/>
    <cellStyle name="원_Pilot플랜트이전설치-변경최종" xfId="791"/>
    <cellStyle name="원_SW(케이비)" xfId="792"/>
    <cellStyle name="원_간지,목차,페이지,표지" xfId="712"/>
    <cellStyle name="원_강원지역본부(2006년_060109)" xfId="713"/>
    <cellStyle name="원_경남지역본부-" xfId="714"/>
    <cellStyle name="원_경북지역본부-" xfId="715"/>
    <cellStyle name="원_경찰청-근무,기동복" xfId="716"/>
    <cellStyle name="원_공사일반관리비양식" xfId="717"/>
    <cellStyle name="원_관리동sw" xfId="718"/>
    <cellStyle name="원_기초공사" xfId="719"/>
    <cellStyle name="원_네인텍정보기술-회로카드(수현)" xfId="720"/>
    <cellStyle name="원_대기해양노무비" xfId="721"/>
    <cellStyle name="원_대북자재8월분" xfId="722"/>
    <cellStyle name="원_대북자재8월분-1" xfId="723"/>
    <cellStyle name="원_동산용사촌수현(원본)" xfId="724"/>
    <cellStyle name="원_동산용사촌수현(원본)_강원지역본부(2006년_060109)" xfId="725"/>
    <cellStyle name="원_동산용사촌수현(원본)_경남지역본부-" xfId="726"/>
    <cellStyle name="원_동산용사촌수현(원본)_경북지역본부-" xfId="727"/>
    <cellStyle name="원_동산용사촌수현(원본)_중부지역본부-" xfId="728"/>
    <cellStyle name="원_동산용사촌수현(원본)_충청지역본부-" xfId="729"/>
    <cellStyle name="원_동산용사촌수현(원본)_통행료면탈방지시스템(최종)" xfId="730"/>
    <cellStyle name="원_동산용사촌수현(원본)_호남지역본부-" xfId="731"/>
    <cellStyle name="원_목차" xfId="732"/>
    <cellStyle name="원_백제군사전시1" xfId="733"/>
    <cellStyle name="원_수초제거기(대양기계)" xfId="734"/>
    <cellStyle name="원_수초제거기(대양기계)_강원지역본부(2006년_060109)" xfId="735"/>
    <cellStyle name="원_수초제거기(대양기계)_경남지역본부-" xfId="736"/>
    <cellStyle name="원_수초제거기(대양기계)_경북지역본부-" xfId="737"/>
    <cellStyle name="원_수초제거기(대양기계)_중부지역본부-" xfId="738"/>
    <cellStyle name="원_수초제거기(대양기계)_충청지역본부-" xfId="739"/>
    <cellStyle name="원_수초제거기(대양기계)_통행료면탈방지시스템(최종)" xfId="740"/>
    <cellStyle name="원_수초제거기(대양기계)_호남지역본부-" xfId="741"/>
    <cellStyle name="원_시설용역" xfId="742"/>
    <cellStyle name="원_암전정밀실체현미경(수현)" xfId="743"/>
    <cellStyle name="원_오리엔탈" xfId="744"/>
    <cellStyle name="원_원본 - 한국전기교통-개선형신호등 4종" xfId="745"/>
    <cellStyle name="원_원본 - 한국전기교통-개선형신호등 4종_강원지역본부(2006년_060109)" xfId="746"/>
    <cellStyle name="원_원본 - 한국전기교통-개선형신호등 4종_경남지역본부-" xfId="747"/>
    <cellStyle name="원_원본 - 한국전기교통-개선형신호등 4종_경북지역본부-" xfId="748"/>
    <cellStyle name="원_원본 - 한국전기교통-개선형신호등 4종_중부지역본부-" xfId="749"/>
    <cellStyle name="원_원본 - 한국전기교통-개선형신호등 4종_충청지역본부-" xfId="750"/>
    <cellStyle name="원_원본 - 한국전기교통-개선형신호등 4종_통행료면탈방지시스템(최종)" xfId="751"/>
    <cellStyle name="원_원본 - 한국전기교통-개선형신호등 4종_호남지역본부-" xfId="752"/>
    <cellStyle name="원_제경비율모음" xfId="753"/>
    <cellStyle name="원_제조원가" xfId="754"/>
    <cellStyle name="원_조달청-B판사천강교제작(최종본)" xfId="763"/>
    <cellStyle name="원_조달청-대북지원3차(최수현)" xfId="755"/>
    <cellStyle name="원_조달청-대북지원4차(최수현)" xfId="756"/>
    <cellStyle name="원_조달청-대북지원5차(최수현)" xfId="757"/>
    <cellStyle name="원_조달청-대북지원6차(번호)" xfId="758"/>
    <cellStyle name="원_조달청-대북지원6차(최수현)" xfId="759"/>
    <cellStyle name="원_조달청-대북지원7차(최수현)" xfId="760"/>
    <cellStyle name="원_조달청-대북지원8차(최수현)" xfId="761"/>
    <cellStyle name="원_조달청-대북지원9차(최수현)" xfId="762"/>
    <cellStyle name="원_중부지역본부-" xfId="764"/>
    <cellStyle name="원_중앙선관위(투표,개표)" xfId="765"/>
    <cellStyle name="원_중앙선관위(투표,개표)_강원지역본부(2006년_060109)" xfId="766"/>
    <cellStyle name="원_중앙선관위(투표,개표)_경남지역본부-" xfId="767"/>
    <cellStyle name="원_중앙선관위(투표,개표)_경북지역본부-" xfId="768"/>
    <cellStyle name="원_중앙선관위(투표,개표)_중부지역본부-" xfId="769"/>
    <cellStyle name="원_중앙선관위(투표,개표)_충청지역본부-" xfId="770"/>
    <cellStyle name="원_중앙선관위(투표,개표)_통행료면탈방지시스템(최종)" xfId="771"/>
    <cellStyle name="원_중앙선관위(투표,개표)_호남지역본부-" xfId="772"/>
    <cellStyle name="원_중앙선관위(투표,개표)-사본" xfId="773"/>
    <cellStyle name="원_철공가공조립" xfId="774"/>
    <cellStyle name="원_최종-한국전기교통-개선형신호등 4종(공수조정)" xfId="775"/>
    <cellStyle name="원_최종-한국전기교통-개선형신호등 4종(공수조정)_강원지역본부(2006년_060109)" xfId="776"/>
    <cellStyle name="원_최종-한국전기교통-개선형신호등 4종(공수조정)_경남지역본부-" xfId="777"/>
    <cellStyle name="원_최종-한국전기교통-개선형신호등 4종(공수조정)_경북지역본부-" xfId="778"/>
    <cellStyle name="원_최종-한국전기교통-개선형신호등 4종(공수조정)_중부지역본부-" xfId="779"/>
    <cellStyle name="원_최종-한국전기교통-개선형신호등 4종(공수조정)_충청지역본부-" xfId="780"/>
    <cellStyle name="원_최종-한국전기교통-개선형신호등 4종(공수조정)_통행료면탈방지시스템(최종)" xfId="781"/>
    <cellStyle name="원_최종-한국전기교통-개선형신호등 4종(공수조정)_호남지역본부-" xfId="782"/>
    <cellStyle name="원_충청지역본부-" xfId="783"/>
    <cellStyle name="원_코솔라-제조원가" xfId="784"/>
    <cellStyle name="원_토지공사-간접비" xfId="785"/>
    <cellStyle name="원_통행료면탈방지시스템(최종)" xfId="786"/>
    <cellStyle name="원_한국도로공사" xfId="787"/>
    <cellStyle name="원_한전내역서-최종" xfId="788"/>
    <cellStyle name="원_호남지역본부-" xfId="789"/>
    <cellStyle name="유영" xfId="793"/>
    <cellStyle name="일위대가" xfId="794"/>
    <cellStyle name="자리수" xfId="795"/>
    <cellStyle name="자리수0" xfId="796"/>
    <cellStyle name="점선" xfId="797"/>
    <cellStyle name="제목[1 줄]" xfId="798"/>
    <cellStyle name="제목[2줄 아래]" xfId="799"/>
    <cellStyle name="제목[2줄 위]" xfId="800"/>
    <cellStyle name="제목1" xfId="801"/>
    <cellStyle name="지정되지 않음" xfId="802"/>
    <cellStyle name="콤마 [#]" xfId="803"/>
    <cellStyle name="콤마 []" xfId="804"/>
    <cellStyle name="콤마 [0]" xfId="805"/>
    <cellStyle name="콤마 [0]_경비" xfId="806"/>
    <cellStyle name="콤마 [0]_국영테크" xfId="807"/>
    <cellStyle name="콤마 [0]_모형제조" xfId="808"/>
    <cellStyle name="콤마 [0]기기자재비" xfId="809"/>
    <cellStyle name="콤마 [2]" xfId="810"/>
    <cellStyle name="콤마 [금액]" xfId="811"/>
    <cellStyle name="콤마 [소수]" xfId="812"/>
    <cellStyle name="콤마 [수량]" xfId="813"/>
    <cellStyle name="콤마[ ]" xfId="814"/>
    <cellStyle name="콤마[*]" xfId="815"/>
    <cellStyle name="콤마[.]" xfId="816"/>
    <cellStyle name="콤마[0]" xfId="817"/>
    <cellStyle name="콤마_  종  합  " xfId="818"/>
    <cellStyle name="퍼센트" xfId="819"/>
    <cellStyle name="표준" xfId="0" builtinId="0"/>
    <cellStyle name="표준 2" xfId="1085"/>
    <cellStyle name="표준 2 2" xfId="995"/>
    <cellStyle name="표준 2 2 2" xfId="1082"/>
    <cellStyle name="표준 2 3" xfId="1059"/>
    <cellStyle name="표준_071008 2007년 청소용역 산출내역(제3별관)" xfId="1083"/>
    <cellStyle name="표준_1(1).청사경비용역" xfId="820"/>
    <cellStyle name="표준_1. 경기지역본부" xfId="821"/>
    <cellStyle name="표준_1.태백산맥(전시시설)" xfId="822"/>
    <cellStyle name="표준_2. 냉온수" xfId="823"/>
    <cellStyle name="標準_Akia(F）-8" xfId="836"/>
    <cellStyle name="표준_가변형_신성금고제작" xfId="824"/>
    <cellStyle name="표준_간지" xfId="825"/>
    <cellStyle name="표준_국영공사" xfId="826"/>
    <cellStyle name="표준_단말기" xfId="827"/>
    <cellStyle name="표준_마권용지" xfId="828"/>
    <cellStyle name="표준_모형제조" xfId="829"/>
    <cellStyle name="표준_모형제조_2-사인공사조정" xfId="830"/>
    <cellStyle name="표준_목차" xfId="831"/>
    <cellStyle name="표준_배부율" xfId="832"/>
    <cellStyle name="표준_비닐백" xfId="833"/>
    <cellStyle name="표준_원가" xfId="834"/>
    <cellStyle name="표준_일반관리비" xfId="835"/>
    <cellStyle name="표준1" xfId="837"/>
    <cellStyle name="표준날짜" xfId="838"/>
    <cellStyle name="표준숫자" xfId="839"/>
    <cellStyle name="합산" xfId="840"/>
    <cellStyle name="화폐기호" xfId="841"/>
    <cellStyle name="화폐기호0" xfId="8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4.xml"/><Relationship Id="rId47" Type="http://schemas.openxmlformats.org/officeDocument/2006/relationships/externalLink" Target="externalLinks/externalLink9.xml"/><Relationship Id="rId50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45" Type="http://schemas.openxmlformats.org/officeDocument/2006/relationships/externalLink" Target="externalLinks/externalLink7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6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5.xml"/><Relationship Id="rId48" Type="http://schemas.openxmlformats.org/officeDocument/2006/relationships/externalLink" Target="externalLinks/externalLink10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376" name="Line 1"/>
        <xdr:cNvSpPr>
          <a:spLocks noChangeShapeType="1"/>
        </xdr:cNvSpPr>
      </xdr:nvSpPr>
      <xdr:spPr bwMode="auto">
        <a:xfrm>
          <a:off x="0" y="1247775"/>
          <a:ext cx="2552700" cy="6286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6</xdr:col>
      <xdr:colOff>9525</xdr:colOff>
      <xdr:row>6</xdr:row>
      <xdr:rowOff>0</xdr:rowOff>
    </xdr:to>
    <xdr:sp macro="" textlink="">
      <xdr:nvSpPr>
        <xdr:cNvPr id="30456" name="Line 1"/>
        <xdr:cNvSpPr>
          <a:spLocks noChangeShapeType="1"/>
        </xdr:cNvSpPr>
      </xdr:nvSpPr>
      <xdr:spPr bwMode="auto">
        <a:xfrm>
          <a:off x="0" y="1247775"/>
          <a:ext cx="2438400" cy="4953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144</xdr:row>
      <xdr:rowOff>0</xdr:rowOff>
    </xdr:from>
    <xdr:to>
      <xdr:col>6</xdr:col>
      <xdr:colOff>9525</xdr:colOff>
      <xdr:row>146</xdr:row>
      <xdr:rowOff>0</xdr:rowOff>
    </xdr:to>
    <xdr:sp macro="" textlink="">
      <xdr:nvSpPr>
        <xdr:cNvPr id="30457" name="Line 5"/>
        <xdr:cNvSpPr>
          <a:spLocks noChangeShapeType="1"/>
        </xdr:cNvSpPr>
      </xdr:nvSpPr>
      <xdr:spPr bwMode="auto">
        <a:xfrm>
          <a:off x="0" y="35842575"/>
          <a:ext cx="2438400" cy="4953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41</xdr:row>
      <xdr:rowOff>0</xdr:rowOff>
    </xdr:to>
    <xdr:sp macro="" textlink="">
      <xdr:nvSpPr>
        <xdr:cNvPr id="30458" name="Line 9"/>
        <xdr:cNvSpPr>
          <a:spLocks noChangeShapeType="1"/>
        </xdr:cNvSpPr>
      </xdr:nvSpPr>
      <xdr:spPr bwMode="auto">
        <a:xfrm>
          <a:off x="0" y="9896475"/>
          <a:ext cx="2438400" cy="4953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179</xdr:row>
      <xdr:rowOff>0</xdr:rowOff>
    </xdr:from>
    <xdr:to>
      <xdr:col>6</xdr:col>
      <xdr:colOff>9525</xdr:colOff>
      <xdr:row>181</xdr:row>
      <xdr:rowOff>0</xdr:rowOff>
    </xdr:to>
    <xdr:sp macro="" textlink="">
      <xdr:nvSpPr>
        <xdr:cNvPr id="30459" name="Line 15"/>
        <xdr:cNvSpPr>
          <a:spLocks noChangeShapeType="1"/>
        </xdr:cNvSpPr>
      </xdr:nvSpPr>
      <xdr:spPr bwMode="auto">
        <a:xfrm>
          <a:off x="0" y="44491275"/>
          <a:ext cx="2438400" cy="4953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214</xdr:row>
      <xdr:rowOff>0</xdr:rowOff>
    </xdr:from>
    <xdr:to>
      <xdr:col>6</xdr:col>
      <xdr:colOff>9525</xdr:colOff>
      <xdr:row>216</xdr:row>
      <xdr:rowOff>0</xdr:rowOff>
    </xdr:to>
    <xdr:sp macro="" textlink="">
      <xdr:nvSpPr>
        <xdr:cNvPr id="30460" name="Line 16"/>
        <xdr:cNvSpPr>
          <a:spLocks noChangeShapeType="1"/>
        </xdr:cNvSpPr>
      </xdr:nvSpPr>
      <xdr:spPr bwMode="auto">
        <a:xfrm>
          <a:off x="0" y="53139975"/>
          <a:ext cx="2438400" cy="4953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284</xdr:row>
      <xdr:rowOff>0</xdr:rowOff>
    </xdr:from>
    <xdr:to>
      <xdr:col>6</xdr:col>
      <xdr:colOff>9525</xdr:colOff>
      <xdr:row>286</xdr:row>
      <xdr:rowOff>0</xdr:rowOff>
    </xdr:to>
    <xdr:sp macro="" textlink="">
      <xdr:nvSpPr>
        <xdr:cNvPr id="30461" name="Line 16"/>
        <xdr:cNvSpPr>
          <a:spLocks noChangeShapeType="1"/>
        </xdr:cNvSpPr>
      </xdr:nvSpPr>
      <xdr:spPr bwMode="auto">
        <a:xfrm>
          <a:off x="0" y="70437375"/>
          <a:ext cx="2438400" cy="4953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319</xdr:row>
      <xdr:rowOff>0</xdr:rowOff>
    </xdr:from>
    <xdr:to>
      <xdr:col>6</xdr:col>
      <xdr:colOff>9525</xdr:colOff>
      <xdr:row>321</xdr:row>
      <xdr:rowOff>0</xdr:rowOff>
    </xdr:to>
    <xdr:sp macro="" textlink="">
      <xdr:nvSpPr>
        <xdr:cNvPr id="30462" name="Line 16"/>
        <xdr:cNvSpPr>
          <a:spLocks noChangeShapeType="1"/>
        </xdr:cNvSpPr>
      </xdr:nvSpPr>
      <xdr:spPr bwMode="auto">
        <a:xfrm>
          <a:off x="0" y="77838300"/>
          <a:ext cx="24384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249</xdr:row>
      <xdr:rowOff>0</xdr:rowOff>
    </xdr:from>
    <xdr:to>
      <xdr:col>6</xdr:col>
      <xdr:colOff>9525</xdr:colOff>
      <xdr:row>251</xdr:row>
      <xdr:rowOff>0</xdr:rowOff>
    </xdr:to>
    <xdr:sp macro="" textlink="">
      <xdr:nvSpPr>
        <xdr:cNvPr id="30463" name="Line 16"/>
        <xdr:cNvSpPr>
          <a:spLocks noChangeShapeType="1"/>
        </xdr:cNvSpPr>
      </xdr:nvSpPr>
      <xdr:spPr bwMode="auto">
        <a:xfrm>
          <a:off x="0" y="61788675"/>
          <a:ext cx="2438400" cy="4953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354</xdr:row>
      <xdr:rowOff>0</xdr:rowOff>
    </xdr:from>
    <xdr:to>
      <xdr:col>6</xdr:col>
      <xdr:colOff>9525</xdr:colOff>
      <xdr:row>356</xdr:row>
      <xdr:rowOff>0</xdr:rowOff>
    </xdr:to>
    <xdr:sp macro="" textlink="">
      <xdr:nvSpPr>
        <xdr:cNvPr id="30464" name="Line 16"/>
        <xdr:cNvSpPr>
          <a:spLocks noChangeShapeType="1"/>
        </xdr:cNvSpPr>
      </xdr:nvSpPr>
      <xdr:spPr bwMode="auto">
        <a:xfrm>
          <a:off x="0" y="77838300"/>
          <a:ext cx="24384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495300</xdr:rowOff>
    </xdr:from>
    <xdr:to>
      <xdr:col>4</xdr:col>
      <xdr:colOff>0</xdr:colOff>
      <xdr:row>3</xdr:row>
      <xdr:rowOff>495300</xdr:rowOff>
    </xdr:to>
    <xdr:sp macro="" textlink="">
      <xdr:nvSpPr>
        <xdr:cNvPr id="3757" name="Line 1"/>
        <xdr:cNvSpPr>
          <a:spLocks noChangeShapeType="1"/>
        </xdr:cNvSpPr>
      </xdr:nvSpPr>
      <xdr:spPr bwMode="auto">
        <a:xfrm>
          <a:off x="1400175" y="124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495300</xdr:rowOff>
    </xdr:from>
    <xdr:to>
      <xdr:col>4</xdr:col>
      <xdr:colOff>0</xdr:colOff>
      <xdr:row>3</xdr:row>
      <xdr:rowOff>495300</xdr:rowOff>
    </xdr:to>
    <xdr:sp macro="" textlink="">
      <xdr:nvSpPr>
        <xdr:cNvPr id="3758" name="Line 2"/>
        <xdr:cNvSpPr>
          <a:spLocks noChangeShapeType="1"/>
        </xdr:cNvSpPr>
      </xdr:nvSpPr>
      <xdr:spPr bwMode="auto">
        <a:xfrm>
          <a:off x="1400175" y="124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495300</xdr:rowOff>
    </xdr:from>
    <xdr:to>
      <xdr:col>4</xdr:col>
      <xdr:colOff>0</xdr:colOff>
      <xdr:row>3</xdr:row>
      <xdr:rowOff>495300</xdr:rowOff>
    </xdr:to>
    <xdr:sp macro="" textlink="">
      <xdr:nvSpPr>
        <xdr:cNvPr id="3759" name="Line 3"/>
        <xdr:cNvSpPr>
          <a:spLocks noChangeShapeType="1"/>
        </xdr:cNvSpPr>
      </xdr:nvSpPr>
      <xdr:spPr bwMode="auto">
        <a:xfrm>
          <a:off x="1400175" y="124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495300</xdr:rowOff>
    </xdr:from>
    <xdr:to>
      <xdr:col>3</xdr:col>
      <xdr:colOff>0</xdr:colOff>
      <xdr:row>3</xdr:row>
      <xdr:rowOff>495300</xdr:rowOff>
    </xdr:to>
    <xdr:sp macro="" textlink="">
      <xdr:nvSpPr>
        <xdr:cNvPr id="2277" name="Line 1"/>
        <xdr:cNvSpPr>
          <a:spLocks noChangeShapeType="1"/>
        </xdr:cNvSpPr>
      </xdr:nvSpPr>
      <xdr:spPr bwMode="auto">
        <a:xfrm>
          <a:off x="10858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495300</xdr:rowOff>
    </xdr:from>
    <xdr:to>
      <xdr:col>4</xdr:col>
      <xdr:colOff>0</xdr:colOff>
      <xdr:row>3</xdr:row>
      <xdr:rowOff>495300</xdr:rowOff>
    </xdr:to>
    <xdr:sp macro="" textlink="">
      <xdr:nvSpPr>
        <xdr:cNvPr id="4938" name="Line 1"/>
        <xdr:cNvSpPr>
          <a:spLocks noChangeShapeType="1"/>
        </xdr:cNvSpPr>
      </xdr:nvSpPr>
      <xdr:spPr bwMode="auto">
        <a:xfrm>
          <a:off x="2152650" y="1476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495300</xdr:rowOff>
    </xdr:from>
    <xdr:to>
      <xdr:col>4</xdr:col>
      <xdr:colOff>0</xdr:colOff>
      <xdr:row>3</xdr:row>
      <xdr:rowOff>495300</xdr:rowOff>
    </xdr:to>
    <xdr:sp macro="" textlink="">
      <xdr:nvSpPr>
        <xdr:cNvPr id="4939" name="Line 2"/>
        <xdr:cNvSpPr>
          <a:spLocks noChangeShapeType="1"/>
        </xdr:cNvSpPr>
      </xdr:nvSpPr>
      <xdr:spPr bwMode="auto">
        <a:xfrm>
          <a:off x="2152650" y="1476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495300</xdr:rowOff>
    </xdr:from>
    <xdr:to>
      <xdr:col>4</xdr:col>
      <xdr:colOff>0</xdr:colOff>
      <xdr:row>3</xdr:row>
      <xdr:rowOff>495300</xdr:rowOff>
    </xdr:to>
    <xdr:sp macro="" textlink="">
      <xdr:nvSpPr>
        <xdr:cNvPr id="4940" name="Line 3"/>
        <xdr:cNvSpPr>
          <a:spLocks noChangeShapeType="1"/>
        </xdr:cNvSpPr>
      </xdr:nvSpPr>
      <xdr:spPr bwMode="auto">
        <a:xfrm>
          <a:off x="2152650" y="1476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</xdr:row>
      <xdr:rowOff>495300</xdr:rowOff>
    </xdr:from>
    <xdr:to>
      <xdr:col>4</xdr:col>
      <xdr:colOff>0</xdr:colOff>
      <xdr:row>2</xdr:row>
      <xdr:rowOff>495300</xdr:rowOff>
    </xdr:to>
    <xdr:sp macro="" textlink="">
      <xdr:nvSpPr>
        <xdr:cNvPr id="4941" name="Line 1"/>
        <xdr:cNvSpPr>
          <a:spLocks noChangeShapeType="1"/>
        </xdr:cNvSpPr>
      </xdr:nvSpPr>
      <xdr:spPr bwMode="auto">
        <a:xfrm>
          <a:off x="2152650" y="116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3&#45380;\E-&#50696;&#51221;&#50896;&#44032;\&#50896;&#44032;&#44228;&#49328;\2000\10\&#54872;&#44221;&#50672;&#44396;&#50896;\&#50672;&#46041;&#51228;Ds\&#48512;&#44257;&#52264;&#47049;\&#51648;&#49688;&#51312;&#51221;\&#54217;&#5346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d02\cad00-e\HEXCEL\XLS\XL_DATA\&#44204;&#51201;\&#50629;&#52404;\HIT\&#50500;&#49328;&#44277;&#51109;\&#50500;&#49328;&#51032;&#5120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3&#45380;\E-&#50696;&#51221;&#50896;&#44032;\&#50896;&#44032;&#44228;&#49328;\2000\10\&#54872;&#44221;&#50672;&#44396;&#50896;\&#50896;&#44032;&#44228;&#49328;\4\2002&#50900;&#46300;&#52981;\KKK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9437;&#44260;&#48512;&#51109;\C\&#49884;&#44277;&#51089;&#50629;\&#49688;&#45768;\&#52264;&#51452;&#51076;\KK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SJ\&#47932;&#44032;&#50672;&#46041;&#51228;\&#47932;&#44032;&#51312;&#51221;&#50984;\WINDOWS\EXCEL\K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3&#45380;\E-&#50696;&#51221;&#50896;&#44032;\&#50896;&#44032;&#44228;&#49328;\2000\10\&#54872;&#44221;&#50672;&#44396;&#50896;\HEXCEL\XLS\XL_DATA\&#44204;&#51201;\&#50629;&#52404;\HIT\&#50500;&#49328;&#44277;&#51109;\&#50500;&#49328;&#51032;&#5120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3&#45380;\&#50896;&#44032;&#44228;&#49328;\4\2002&#50900;&#46300;&#52981;\KK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3&#45380;\E-&#50696;&#51221;&#50896;&#44032;\&#50896;&#44032;&#44228;&#49328;\2000\10\&#54872;&#44221;&#50672;&#44396;&#50896;\My%20Documents\&#51312;&#49324;&#51088;&#47308;\WINDOWS\EXCEL\KI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mj\c\WINDOWS\EXCEL\KI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2&#45380;\My%20Documents\KI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KK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3&#45380;\E-&#50696;&#51221;&#50896;&#44032;\&#50896;&#44032;&#44228;&#49328;\2000\10\&#54872;&#44221;&#50672;&#44396;&#50896;\&#50672;&#46041;&#51228;Ds\&#48512;&#44257;&#52264;&#47049;\&#51648;&#49688;&#51312;&#51221;\KK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건축"/>
      <sheetName val="건집"/>
      <sheetName val="경산"/>
      <sheetName val="수로교총재료집계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표지 (5_15) 가구별도"/>
      <sheetName val=" HIT-&gt;HMC 견적(3900)"/>
      <sheetName val="견적갑지"/>
      <sheetName val="견적내용"/>
      <sheetName val="공사비 검토내역서"/>
      <sheetName val="Sheet1"/>
      <sheetName val="일위대가"/>
      <sheetName val="2F 회의실견적(5_14 일대)"/>
      <sheetName val="I一般比"/>
      <sheetName val="단가산출"/>
      <sheetName val="SHL"/>
      <sheetName val="#REF"/>
      <sheetName val="_HIT__HMC 견적_3900_"/>
      <sheetName val="아산의전"/>
      <sheetName val="직노"/>
      <sheetName val="TABLE"/>
      <sheetName val="J直材4"/>
      <sheetName val="민감도"/>
      <sheetName val="1"/>
      <sheetName val="현장관리비"/>
      <sheetName val="간접비계산"/>
      <sheetName val="설직재-1"/>
      <sheetName val="노임"/>
      <sheetName val="일위대가(가설)"/>
      <sheetName val="N賃率-職"/>
      <sheetName val="1,2공구원가계산서"/>
      <sheetName val="2공구산출내역"/>
      <sheetName val="1공구산출내역서"/>
      <sheetName val="내역서"/>
      <sheetName val="20관리비율"/>
      <sheetName val="기본일위"/>
      <sheetName val="공정집계_국별"/>
      <sheetName val="문학간접"/>
      <sheetName val="CM 1"/>
      <sheetName val="22인공"/>
      <sheetName val="백암비스타내역"/>
      <sheetName val="인부신상자료"/>
      <sheetName val="시화점실행"/>
      <sheetName val="지우지마세요"/>
      <sheetName val="수량산출"/>
      <sheetName val="과천MAIN"/>
      <sheetName val="일위단가"/>
      <sheetName val="직재"/>
      <sheetName val="Sheet22"/>
      <sheetName val="공사비집계"/>
      <sheetName val="2순기"/>
      <sheetName val="9GNG운반"/>
      <sheetName val="INSTR"/>
      <sheetName val="집계표"/>
      <sheetName val="FACTOR"/>
      <sheetName val="전체"/>
      <sheetName val="A 견적"/>
      <sheetName val="을지"/>
      <sheetName val="을지  (2)"/>
      <sheetName val="출고대장"/>
      <sheetName val="2"/>
      <sheetName val="신우"/>
      <sheetName val="하조서"/>
      <sheetName val="말뚝지지력산정"/>
      <sheetName val="입력정보"/>
      <sheetName val="Total"/>
      <sheetName val="현지검측내역"/>
      <sheetName val="산출내역서"/>
      <sheetName val="의장"/>
      <sheetName val="원가계산서"/>
      <sheetName val="산출근거"/>
      <sheetName val="노무비 근거"/>
      <sheetName val="인건비"/>
      <sheetName val="일위대가목록(기계)"/>
      <sheetName val="투자효율분석"/>
      <sheetName val="표지_(5_15)_가구별도"/>
      <sheetName val="_HIT-&gt;HMC_견적(3900)"/>
      <sheetName val="공사비_검토내역서"/>
      <sheetName val="갑(전기)"/>
      <sheetName val="갑(계장)"/>
      <sheetName val="대림경상68억"/>
      <sheetName val="교통대책내역"/>
      <sheetName val="입력"/>
      <sheetName val="TOEIC기준점수"/>
      <sheetName val="정산내역"/>
      <sheetName val="1_2공구원가계산서"/>
      <sheetName val="개요"/>
      <sheetName val="일괄인쇄"/>
      <sheetName val="DATE"/>
      <sheetName val="주소"/>
      <sheetName val="견적서"/>
      <sheetName val="터파기및재료"/>
      <sheetName val="실행내역서 "/>
      <sheetName val="일위대가(1)"/>
    </sheetNames>
    <sheetDataSet>
      <sheetData sheetId="0" refreshError="1"/>
      <sheetData sheetId="1" refreshError="1">
        <row r="31">
          <cell r="J31">
            <v>1.4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공정율"/>
      <sheetName val="pldt"/>
      <sheetName val="건집"/>
      <sheetName val="건축"/>
      <sheetName val="기설집"/>
      <sheetName val="설집"/>
      <sheetName val="일위대가"/>
      <sheetName val="일위목록"/>
      <sheetName val=" HIT-&gt;HMC 견적(3900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원가계산"/>
      <sheetName val="수정내역"/>
      <sheetName val="일위대가표"/>
      <sheetName val="일위대가"/>
      <sheetName val="실행내역"/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XXXXXX"/>
      <sheetName val="VXXX"/>
      <sheetName val="진짜내역"/>
      <sheetName val="전시원"/>
      <sheetName val="전시내"/>
      <sheetName val="Sheet1"/>
      <sheetName val="Sheet2"/>
      <sheetName val="Sheet3"/>
      <sheetName val="표"/>
      <sheetName val="목"/>
      <sheetName val="설 (3)"/>
      <sheetName val="설 (2)"/>
      <sheetName val="설"/>
      <sheetName val="일"/>
      <sheetName val="일집표"/>
      <sheetName val="일위표"/>
      <sheetName val="수표"/>
      <sheetName val="총집"/>
      <sheetName val="원가"/>
      <sheetName val="집계표"/>
      <sheetName val="제작총집계표"/>
      <sheetName val="총경기장별내역서(10-11)"/>
      <sheetName val="경기장별내역서(12-107)"/>
      <sheetName val="내역서"/>
      <sheetName val="단가산출서"/>
      <sheetName val="중기사용료"/>
      <sheetName val="재료단가"/>
      <sheetName val="노임단가"/>
      <sheetName val="기본일위"/>
      <sheetName val="J直材4"/>
      <sheetName val="현장"/>
      <sheetName val="내역"/>
      <sheetName val="#REF"/>
      <sheetName val="101동"/>
      <sheetName val="2000년1차"/>
      <sheetName val="2000전체분"/>
      <sheetName val="MAIN_TABLE"/>
      <sheetName val="백암비스타내역"/>
      <sheetName val="교통대책내역"/>
      <sheetName val="KKK"/>
      <sheetName val="예산M11A"/>
      <sheetName val="건축내역"/>
      <sheetName val="기초자료"/>
      <sheetName val="출자한도"/>
      <sheetName val="I一般比"/>
      <sheetName val="3BL공동구 수량"/>
      <sheetName val="일대-1"/>
      <sheetName val="공사개요(서광주)"/>
      <sheetName val="공사비총괄표"/>
      <sheetName val="총괄표"/>
      <sheetName val="차수공개요"/>
      <sheetName val="단가조사"/>
      <sheetName val="재료"/>
      <sheetName val="경산"/>
      <sheetName val="대공종"/>
      <sheetName val="산출내역서"/>
      <sheetName val="산근"/>
      <sheetName val="산출근거"/>
      <sheetName val="금액내역서"/>
      <sheetName val="골재산출"/>
      <sheetName val="스포회원매출"/>
      <sheetName val="조명율표"/>
      <sheetName val="자료"/>
      <sheetName val="CTEMCOST"/>
      <sheetName val="일위대가목차"/>
      <sheetName val="N賃率-職"/>
      <sheetName val="영창26"/>
      <sheetName val="지질조사"/>
      <sheetName val="교각별철근수량집계표"/>
      <sheetName val="철탑공사"/>
      <sheetName val="Customer Databas"/>
      <sheetName val="노임"/>
      <sheetName val="당초"/>
      <sheetName val="5공철탑검토표"/>
      <sheetName val="4공철탑검토"/>
      <sheetName val="토공 total"/>
      <sheetName val="조명시설"/>
      <sheetName val="기본단가표"/>
      <sheetName val="본체"/>
      <sheetName val="중기"/>
      <sheetName val="식재인부"/>
      <sheetName val="설직재-1"/>
      <sheetName val="요율"/>
      <sheetName val="본공사"/>
      <sheetName val="적용토목"/>
      <sheetName val="갑지"/>
      <sheetName val="기초내역서"/>
      <sheetName val="수량산출"/>
      <sheetName val="대가목록표"/>
      <sheetName val="식생블럭단위수량"/>
      <sheetName val="1.설계조건"/>
      <sheetName val="노임,재료비"/>
      <sheetName val="설계서"/>
      <sheetName val="LF자재단가"/>
      <sheetName val="목록"/>
      <sheetName val="위생설비"/>
      <sheetName val="실행"/>
      <sheetName val="코드표"/>
      <sheetName val="NYS"/>
      <sheetName val="단중표"/>
      <sheetName val="노무비"/>
      <sheetName val="특외대"/>
      <sheetName val="내역(원안-대안)"/>
      <sheetName val="자재단가"/>
      <sheetName val="토공(우물통,기타) "/>
      <sheetName val="갑지(추정)"/>
      <sheetName val="RE9604"/>
      <sheetName val="102역사"/>
      <sheetName val="물가자료"/>
      <sheetName val="공정율"/>
      <sheetName val="pldt"/>
      <sheetName val="건집"/>
      <sheetName val="건축"/>
      <sheetName val="기설집"/>
      <sheetName val="설집"/>
      <sheetName val="식재수량표"/>
      <sheetName val="총괄"/>
      <sheetName val="집계"/>
      <sheetName val="공량집"/>
      <sheetName val="단가"/>
      <sheetName val="배부율"/>
      <sheetName val="완성1"/>
      <sheetName val="완성2"/>
      <sheetName val="산재비율"/>
      <sheetName val="안전비율"/>
      <sheetName val="일반비율"/>
      <sheetName val="공량"/>
      <sheetName val="VXXXXX"/>
      <sheetName val="적용대가"/>
      <sheetName val="지수내역"/>
      <sheetName val="노(97.1,97.9,98.1)"/>
      <sheetName val="재료비노무비"/>
      <sheetName val="교수설계"/>
      <sheetName val="단가산출"/>
      <sheetName val="asd"/>
      <sheetName val="6PILE  (돌출)"/>
      <sheetName val="공사직종별노임"/>
      <sheetName val="데이타"/>
      <sheetName val="DATA"/>
      <sheetName val="도급기성"/>
      <sheetName val="설비단가표"/>
      <sheetName val="견적"/>
      <sheetName val="AIR SHOWER(3인용)"/>
      <sheetName val=" HIT-&gt;HMC 견적(3900)"/>
      <sheetName val="CIVIL4"/>
      <sheetName val="데리네이타현황"/>
      <sheetName val="6호기"/>
      <sheetName val="기술부대조건"/>
      <sheetName val="예산"/>
      <sheetName val="지하"/>
      <sheetName val="LEGEND"/>
      <sheetName val="Sheet6"/>
      <sheetName val="연부97-1"/>
      <sheetName val="조건표"/>
      <sheetName val="자갈,시멘트,모래산출"/>
      <sheetName val="오수공수량집계표"/>
      <sheetName val="Sheet5"/>
      <sheetName val="원가 (2)"/>
      <sheetName val="DATE"/>
      <sheetName val="기계경비(시간당)"/>
      <sheetName val="96정변2"/>
      <sheetName val="조경일람"/>
      <sheetName val="사다리"/>
      <sheetName val="내역서2안"/>
      <sheetName val="48전력선로일위"/>
      <sheetName val="단가표"/>
      <sheetName val="시설물기초"/>
      <sheetName val=" 냉각수펌프"/>
      <sheetName val="AHU집계"/>
      <sheetName val="ELEC"/>
      <sheetName val="9GNG운반"/>
      <sheetName val="율촌법률사무소2내역"/>
      <sheetName val="공조기휀"/>
      <sheetName val="내역서(중수)"/>
      <sheetName val="CAT_5"/>
      <sheetName val="단가비교표_공통1"/>
      <sheetName val="N賃率_職"/>
      <sheetName val="내역서 "/>
      <sheetName val="철거산출근거"/>
      <sheetName val="입찰안"/>
      <sheetName val="시멘트"/>
      <sheetName val="금액집계"/>
      <sheetName val="수주추정"/>
      <sheetName val="당진1,2호기전선관설치및접지4차공사내역서-을지"/>
      <sheetName val="본체철근표"/>
      <sheetName val="역공종"/>
      <sheetName val="대치판정"/>
      <sheetName val="원가서"/>
      <sheetName val="전기일위목록"/>
      <sheetName val="노무,재료"/>
      <sheetName val="아파트건축"/>
      <sheetName val="도급견적가"/>
      <sheetName val="공통가설공사"/>
      <sheetName val="표지"/>
      <sheetName val="guard(mac)"/>
      <sheetName val="제-노임"/>
      <sheetName val="제직재"/>
      <sheetName val="총수량집계표"/>
      <sheetName val="제작비추산총괄표"/>
      <sheetName val="갑"/>
      <sheetName val="001"/>
      <sheetName val="단위내역서"/>
      <sheetName val="주beam"/>
      <sheetName val="공사개요"/>
      <sheetName val="견적서"/>
      <sheetName val="원가계산서"/>
      <sheetName val="부대공Ⅱ"/>
      <sheetName val="간접1"/>
      <sheetName val="장비가동"/>
      <sheetName val="내역관리1"/>
      <sheetName val="산출-설비"/>
      <sheetName val="설_(3)"/>
      <sheetName val="설_(2)"/>
      <sheetName val="3BL공동구_수량"/>
      <sheetName val="갑지1"/>
      <sheetName val="전선 및 전선관"/>
      <sheetName val="공통가설"/>
      <sheetName val="저"/>
      <sheetName val="내역(설계)"/>
      <sheetName val="백룡교차로"/>
      <sheetName val="산정교차로"/>
      <sheetName val="신영교차로"/>
      <sheetName val="물량입력"/>
      <sheetName val="일위(철거)"/>
      <sheetName val="E총15"/>
      <sheetName val="약품공급2"/>
      <sheetName val="카메라"/>
      <sheetName val="내역서(기성청구)"/>
      <sheetName val="입력변수"/>
      <sheetName val="일위"/>
      <sheetName val="일위대가1"/>
      <sheetName val="계약서"/>
      <sheetName val="노 무 비"/>
      <sheetName val="별표 "/>
      <sheetName val="Sheet7(ㅅ)"/>
      <sheetName val="청주(철골발주의뢰서)"/>
      <sheetName val="200"/>
      <sheetName val="3.2제조설비"/>
      <sheetName val="적용건축"/>
      <sheetName val="단가대비표 (3)"/>
      <sheetName val="Inst."/>
      <sheetName val="01상노임"/>
      <sheetName val="토공"/>
      <sheetName val="터파기및재료"/>
      <sheetName val="2공구산출내역"/>
      <sheetName val="첨부1"/>
      <sheetName val="sub"/>
      <sheetName val="반포2차"/>
      <sheetName val="하도급원가계산총괄표(식재)"/>
      <sheetName val="공사착공계"/>
      <sheetName val="부하자료"/>
      <sheetName val="찍기"/>
      <sheetName val="특별땅고르기"/>
      <sheetName val="단위단가"/>
      <sheetName val="연결관암거"/>
      <sheetName val="소비자가"/>
      <sheetName val="일위대가목록"/>
      <sheetName val="일위_파일"/>
      <sheetName val="Baby일위대가"/>
      <sheetName val="일위(PANEL)"/>
      <sheetName val="효성CB 1P기초"/>
      <sheetName val="계수시트"/>
      <sheetName val="램머"/>
      <sheetName val="경영상태"/>
      <sheetName val="을지"/>
      <sheetName val="단"/>
      <sheetName val="노무비 근거"/>
      <sheetName val="상가분양"/>
      <sheetName val="INPUT"/>
      <sheetName val="물량표"/>
      <sheetName val="국내"/>
      <sheetName val="내역서 제출"/>
      <sheetName val="직접공사비"/>
      <sheetName val="JUCKEYK"/>
      <sheetName val="내역표지"/>
      <sheetName val="건축원가"/>
      <sheetName val="#3_일위대가목록"/>
      <sheetName val="토공집계표"/>
      <sheetName val="기계공사비집계(원안)"/>
      <sheetName val="AIR_SHOWER(3인용)"/>
      <sheetName val="Customer_Databas"/>
      <sheetName val="토공(우물통,기타)_"/>
      <sheetName val="원가_(2)"/>
      <sheetName val="_HIT-&gt;HMC_견적(3900)"/>
      <sheetName val="2000년 공정표"/>
      <sheetName val="기초일위"/>
      <sheetName val="노무비단가"/>
      <sheetName val="설계조건"/>
      <sheetName val="배수내역"/>
      <sheetName val="기흥하도용"/>
      <sheetName val="별표"/>
      <sheetName val="차액보증"/>
      <sheetName val="도급예산내역서봉투"/>
      <sheetName val="공사원가계산서"/>
      <sheetName val="설계산출표지"/>
      <sheetName val="도급예산내역서총괄표"/>
      <sheetName val="을부담운반비"/>
      <sheetName val="설계산출기초"/>
      <sheetName val="운반비산출"/>
      <sheetName val="내역서1"/>
      <sheetName val="1공구산출내역서"/>
      <sheetName val="지점장"/>
      <sheetName val="유기공정"/>
      <sheetName val="유림콘도"/>
      <sheetName val="ITEM"/>
      <sheetName val="원본"/>
      <sheetName val="암거단위"/>
      <sheetName val="손익분석"/>
      <sheetName val="원가총괄"/>
      <sheetName val="수량산출(생반)"/>
      <sheetName val="일반전기C"/>
      <sheetName val="청곡지선입력"/>
      <sheetName val="토공_total"/>
      <sheetName val="노(97_1,97_9,98_1)"/>
      <sheetName val="6PILE__(돌출)"/>
      <sheetName val="적용단위길이"/>
      <sheetName val="피벗테이블데이터분석"/>
      <sheetName val="COST"/>
      <sheetName val="부대내역"/>
      <sheetName val="세골재  T2 변경 현황"/>
      <sheetName val="직재"/>
      <sheetName val="통합집계표"/>
      <sheetName val="3본사"/>
      <sheetName val="단가일람"/>
      <sheetName val="갑지.을지"/>
      <sheetName val="실행철강하도"/>
      <sheetName val="BID"/>
      <sheetName val="일위대가(1)"/>
      <sheetName val="기타 정보통신공사"/>
      <sheetName val="재집"/>
      <sheetName val="Sheet1 (2)"/>
      <sheetName val="조명율"/>
      <sheetName val="(1)본선수량집계"/>
      <sheetName val="Macro1"/>
      <sheetName val="1000 DB구축 부표"/>
      <sheetName val="CT "/>
      <sheetName val="발신정보"/>
      <sheetName val="기초대가"/>
      <sheetName val="조도계산서 (도서)"/>
      <sheetName val="명세서"/>
      <sheetName val="구리토평1전기"/>
      <sheetName val="C.전기공사"/>
      <sheetName val="J-EQ"/>
      <sheetName val="총괄내역"/>
      <sheetName val="하이테콤직원"/>
      <sheetName val="맨홀수량산출"/>
      <sheetName val="개요"/>
      <sheetName val="노임단가(08.01)"/>
      <sheetName val="현장관리비"/>
      <sheetName val="일위대가10"/>
      <sheetName val="일위대가11"/>
      <sheetName val="일위대가12"/>
      <sheetName val="일위대가13"/>
      <sheetName val="일위대가14"/>
      <sheetName val="일위대가15"/>
      <sheetName val="일위대가16"/>
      <sheetName val="일위대가17"/>
      <sheetName val="일위대가2"/>
      <sheetName val="일위대가3"/>
      <sheetName val="일위대가4"/>
      <sheetName val="일위대가5"/>
      <sheetName val="일위대가6"/>
      <sheetName val="일위대가7"/>
      <sheetName val="일위대가8"/>
      <sheetName val="일위대가9"/>
      <sheetName val="일위대가18-1"/>
      <sheetName val="일위대가19-1"/>
      <sheetName val="일위대가20-1"/>
      <sheetName val="일위대가21-1"/>
      <sheetName val="일위대가22-1"/>
      <sheetName val="일위대가23-1"/>
      <sheetName val="일위대가24-1"/>
      <sheetName val="일위대가25-1"/>
      <sheetName val="일위대가26-1"/>
      <sheetName val="일위대가27-1"/>
      <sheetName val="일위대가28-1"/>
      <sheetName val="일위대가29-1"/>
      <sheetName val="일위대가30-1"/>
      <sheetName val="일위대가31-1"/>
      <sheetName val="일위대가32-1"/>
      <sheetName val="일위대가33-1"/>
      <sheetName val="일위대가34-1"/>
      <sheetName val="일위대가35-1"/>
      <sheetName val="일위대가36-1"/>
      <sheetName val="일위대가37-1"/>
      <sheetName val="일위대가38-1"/>
      <sheetName val="일위대가39-1"/>
      <sheetName val="일위대가40-1"/>
      <sheetName val="일위대가41-1"/>
      <sheetName val="일위대가42-1"/>
      <sheetName val="일위대가43-1"/>
      <sheetName val="일위대가44-1"/>
      <sheetName val="일위대가45-1"/>
      <sheetName val="일위대가46-1"/>
      <sheetName val="일위대가47-1"/>
      <sheetName val="일위대가48-1"/>
      <sheetName val="일위대가49-1"/>
      <sheetName val="일위대가50-1"/>
      <sheetName val="일위대가51-1"/>
      <sheetName val="일위대가52-1"/>
      <sheetName val="일위대가53-1"/>
      <sheetName val="일위대가54-1"/>
      <sheetName val="일위대가55-1"/>
      <sheetName val="일위대가56-1 "/>
      <sheetName val="일위대가57-1"/>
      <sheetName val="일위대가58-1"/>
      <sheetName val="일위대가59-1"/>
      <sheetName val="일위대가60-1"/>
      <sheetName val="일위대가61-1"/>
      <sheetName val="일위대가62-1"/>
      <sheetName val="일위대가63-1"/>
      <sheetName val="일위대가64-1"/>
      <sheetName val="일위대가65-1"/>
      <sheetName val="일위대가66-1"/>
      <sheetName val="일위대가67-1"/>
      <sheetName val="일위대가68-1"/>
      <sheetName val="일위대가69-1"/>
      <sheetName val="일위대가70-1"/>
      <sheetName val="일위대가71-1 "/>
      <sheetName val="일위대가72-1"/>
      <sheetName val="일위대가73-1"/>
      <sheetName val="일위대가74-1 "/>
      <sheetName val="일위대가75-1"/>
      <sheetName val="일위대가76-1 "/>
      <sheetName val="일위대가77-1 "/>
      <sheetName val="일위대가78-1 "/>
      <sheetName val="일위대가79-1"/>
      <sheetName val="일위대가80-1"/>
      <sheetName val="일위대가81-1"/>
      <sheetName val="일위대가82-1"/>
      <sheetName val="일위대가92-1"/>
      <sheetName val="봉방동근생"/>
      <sheetName val="유림골조"/>
      <sheetName val="민감도"/>
      <sheetName val="세부내역서(전기)"/>
      <sheetName val="품셈"/>
      <sheetName val="변경내역(전체)"/>
      <sheetName val="참조자료"/>
      <sheetName val="날개벽수량표"/>
      <sheetName val="신우"/>
      <sheetName val="전기내역"/>
      <sheetName val="자재표"/>
      <sheetName val="을"/>
      <sheetName val="20관리비율"/>
      <sheetName val="98지급계획"/>
      <sheetName val="표  지"/>
      <sheetName val="예가표"/>
      <sheetName val="연습"/>
      <sheetName val="내역서중"/>
      <sheetName val="접지수량"/>
      <sheetName val="교각계산"/>
      <sheetName val="직접노무"/>
      <sheetName val="직접재료"/>
      <sheetName val="계측기"/>
      <sheetName val="패널"/>
      <sheetName val="전기2005"/>
      <sheetName val="통신2005"/>
      <sheetName val="총괄집계표"/>
      <sheetName val="자료입력"/>
      <sheetName val="철콘"/>
      <sheetName val="간접비계산"/>
      <sheetName val="PIPING"/>
      <sheetName val="그림"/>
      <sheetName val="그림2"/>
      <sheetName val="분전반"/>
      <sheetName val="내역서적용수량"/>
      <sheetName val="가도공"/>
      <sheetName val="부대"/>
      <sheetName val="일위CODE"/>
      <sheetName val="gyun"/>
      <sheetName val="유림총괄"/>
      <sheetName val="현장관리비참조"/>
      <sheetName val="작성"/>
      <sheetName val="출력은 금물"/>
      <sheetName val="일위대가(건축)"/>
      <sheetName val="간접비"/>
      <sheetName val="청도공장"/>
      <sheetName val="간접(90)"/>
      <sheetName val="입상내역"/>
      <sheetName val="품셈총괄"/>
      <sheetName val="교각1"/>
      <sheetName val="표층포설및다짐"/>
      <sheetName val="전기"/>
      <sheetName val="인적사항"/>
      <sheetName val="단재적표"/>
      <sheetName val="설계"/>
      <sheetName val="투찰가"/>
      <sheetName val="공문"/>
      <sheetName val="수목표준대가"/>
      <sheetName val="Total"/>
      <sheetName val="예산총괄"/>
      <sheetName val="옥외계측"/>
      <sheetName val="CODE"/>
      <sheetName val="전체"/>
      <sheetName val="인공"/>
      <sheetName val="도급자재"/>
      <sheetName val="일위목록"/>
      <sheetName val="설_(3)1"/>
      <sheetName val="설_(2)1"/>
      <sheetName val="3BL공동구_수량1"/>
      <sheetName val="1_설계조건"/>
      <sheetName val="_냉각수펌프"/>
      <sheetName val="2000년_공정표"/>
      <sheetName val="노무비_근거"/>
      <sheetName val="전선_및_전선관"/>
      <sheetName val="효성CB_1P기초"/>
      <sheetName val="내역서_제출"/>
      <sheetName val="중기일위대가"/>
      <sheetName val="0Title"/>
      <sheetName val="추가예산"/>
      <sheetName val="오동"/>
      <sheetName val="대조"/>
      <sheetName val="나한"/>
      <sheetName val="물가시세"/>
      <sheetName val="부하"/>
      <sheetName val="단가 "/>
      <sheetName val="COVER"/>
      <sheetName val="ESCO개보수공사"/>
      <sheetName val="지급자재"/>
      <sheetName val="주요기준"/>
      <sheetName val="DATA테이블1 (2)"/>
      <sheetName val="A 견적"/>
      <sheetName val="s.v"/>
      <sheetName val="건축기계설비표선정수장"/>
      <sheetName val="DB"/>
      <sheetName val="공연,전시"/>
      <sheetName val="국내조달(통합-1)"/>
      <sheetName val="제경비율"/>
      <sheetName val="기본가정"/>
      <sheetName val="자재단가비교표"/>
      <sheetName val="빌딩 안내"/>
      <sheetName val="단가대비표"/>
      <sheetName val="터널조도"/>
      <sheetName val="b_balju"/>
      <sheetName val="공사입찰정보입력"/>
      <sheetName val="수량총괄"/>
      <sheetName val="화재 탐지 설비"/>
      <sheetName val="보증수수료산출"/>
      <sheetName val="도담구내 개소별 명세"/>
      <sheetName val="철근중량"/>
      <sheetName val="ABUT수량-A1"/>
      <sheetName val="工관리비율"/>
      <sheetName val="工완성공사율"/>
      <sheetName val="정거장 설계조건"/>
      <sheetName val="인공산출"/>
      <sheetName val="노무단가산정"/>
      <sheetName val="산출0"/>
      <sheetName val="금융비용"/>
      <sheetName val="콘크리트"/>
      <sheetName val="99년하반기"/>
      <sheetName val="말뚝지지력산정"/>
      <sheetName val="철근집계"/>
      <sheetName val="COPING"/>
      <sheetName val="건설기계사용료목록"/>
      <sheetName val="단가조사서"/>
      <sheetName val="집"/>
      <sheetName val="간선계산"/>
      <sheetName val="계화배수"/>
      <sheetName val="1차 내역서"/>
      <sheetName val="현장경비"/>
      <sheetName val="포승중환경개선공사(변경)"/>
      <sheetName val="2000.05"/>
      <sheetName val="구의33고"/>
      <sheetName val="구성1"/>
      <sheetName val="구성2"/>
      <sheetName val="구성3"/>
      <sheetName val="구성4"/>
      <sheetName val="도급내역서(재노경)"/>
      <sheetName val="16-1"/>
      <sheetName val="와동수량"/>
      <sheetName val="직원현황"/>
      <sheetName val="ELECTRIC"/>
      <sheetName val="품셈TABLE"/>
      <sheetName val="공정코드"/>
      <sheetName val="예비용"/>
      <sheetName val="기초목록"/>
      <sheetName val="단가(자재)"/>
      <sheetName val="공사추진현황"/>
      <sheetName val="입력"/>
      <sheetName val="&lt;--"/>
      <sheetName val="단가 및 재료비"/>
      <sheetName val="특별교실"/>
      <sheetName val="견적(100%)"/>
      <sheetName val="직원자료입력"/>
      <sheetName val="견적업체"/>
      <sheetName val="MOTOR"/>
      <sheetName val="교사기준면적(초등)"/>
      <sheetName val="Y-WORK"/>
      <sheetName val="일위대가 "/>
      <sheetName val="하중계산"/>
      <sheetName val="안정성검토"/>
      <sheetName val="설계기준"/>
      <sheetName val="처리단락"/>
      <sheetName val="건축부하"/>
      <sheetName val="약전닥트"/>
      <sheetName val="일지-H"/>
      <sheetName val="김포IO"/>
      <sheetName val="LD"/>
      <sheetName val="FA설치명세"/>
      <sheetName val="Uint보온"/>
      <sheetName val="가설공사"/>
      <sheetName val="단가비교"/>
      <sheetName val="바닥판"/>
      <sheetName val="입력DATA"/>
      <sheetName val="일위(시설)"/>
      <sheetName val="BSD (2)"/>
      <sheetName val="화의-현금흐름"/>
      <sheetName val="전체제잡비"/>
      <sheetName val="실행대비"/>
      <sheetName val="기초분물량표"/>
      <sheetName val="내역전기"/>
      <sheetName val="일위총괄표"/>
      <sheetName val="직공비"/>
      <sheetName val="퍼스트"/>
      <sheetName val="사전공사"/>
      <sheetName val="물집"/>
      <sheetName val="담장산출"/>
      <sheetName val="상행-교대(A1-A2)"/>
      <sheetName val="전기설계변경"/>
      <sheetName val="노임200103"/>
      <sheetName val="집수정토공"/>
      <sheetName val="설계명세서"/>
      <sheetName val="기계설비표선정수장"/>
      <sheetName val="EJ"/>
      <sheetName val="내역서(삼호)"/>
      <sheetName val="일위대가(출입)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 refreshError="1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 refreshError="1"/>
      <sheetData sheetId="293" refreshError="1"/>
      <sheetData sheetId="294" refreshError="1"/>
      <sheetData sheetId="295" refreshError="1"/>
      <sheetData sheetId="296"/>
      <sheetData sheetId="297" refreshError="1"/>
      <sheetData sheetId="298" refreshError="1"/>
      <sheetData sheetId="299"/>
      <sheetData sheetId="300"/>
      <sheetData sheetId="301"/>
      <sheetData sheetId="302"/>
      <sheetData sheetId="303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F 회의실견적(5_14 일대)"/>
      <sheetName val="20관리비율"/>
      <sheetName val="아산의전"/>
      <sheetName val="설계조건"/>
      <sheetName val="안정계산"/>
      <sheetName val="단면검토"/>
      <sheetName val="교통표지"/>
      <sheetName val="J直材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공정율"/>
      <sheetName val="pldt"/>
      <sheetName val="건집"/>
      <sheetName val="건축"/>
      <sheetName val="기설집"/>
      <sheetName val="설집"/>
      <sheetName val="공조기휀"/>
      <sheetName val="#REF"/>
      <sheetName val="J直材4"/>
      <sheetName val="백암비스타내역"/>
      <sheetName val="Sheet3"/>
      <sheetName val="일위"/>
      <sheetName val="화재 탐지 설비"/>
      <sheetName val="OPT7"/>
      <sheetName val="총괄집계표"/>
      <sheetName val="집계"/>
      <sheetName val="GI-LIST"/>
      <sheetName val="기기리스트"/>
      <sheetName val="I一般比"/>
      <sheetName val="노임"/>
      <sheetName val="C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  <sheetName val="연부97-1"/>
      <sheetName val="갑지1"/>
      <sheetName val="암거"/>
      <sheetName val="관급_File"/>
      <sheetName val="DATE"/>
      <sheetName val="토사(PE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  <sheetName val="단가"/>
      <sheetName val="XXXXXX"/>
      <sheetName val="VXXX"/>
      <sheetName val="진짜내역"/>
      <sheetName val="총괄"/>
      <sheetName val="집계"/>
      <sheetName val="내역"/>
      <sheetName val="공량집"/>
      <sheetName val="배부율"/>
      <sheetName val="완성1"/>
      <sheetName val="완성2"/>
      <sheetName val="산재비율"/>
      <sheetName val="안전비율"/>
      <sheetName val="일반비율"/>
      <sheetName val="노임"/>
      <sheetName val="공량"/>
      <sheetName val="전시원"/>
      <sheetName val="전시내"/>
      <sheetName val="Sheet1"/>
      <sheetName val="Sheet2"/>
      <sheetName val="Sheet3"/>
      <sheetName val="표"/>
      <sheetName val="목"/>
      <sheetName val="설"/>
      <sheetName val="일"/>
      <sheetName val="일집표"/>
      <sheetName val="일위표"/>
      <sheetName val="수표"/>
      <sheetName val="원가"/>
      <sheetName val="집계표"/>
      <sheetName val="내역서(내부)"/>
      <sheetName val="내역서"/>
      <sheetName val="일위대가"/>
      <sheetName val="단가산출서"/>
      <sheetName val="중기사용료"/>
      <sheetName val="재료단가"/>
      <sheetName val="노임단가"/>
      <sheetName val="총경기장별내역서(10-11)"/>
      <sheetName val="경기장별내역서(12-107)"/>
      <sheetName val="사당"/>
      <sheetName val="일위대가목록"/>
      <sheetName val="한강운반비"/>
      <sheetName val="1차 내역서"/>
      <sheetName val="공통(20-91)"/>
      <sheetName val="물가"/>
      <sheetName val="일위대가(4층원격)"/>
      <sheetName val="직재"/>
      <sheetName val="6PILE  (돌출)"/>
      <sheetName val="원가 (2)"/>
      <sheetName val="차액보증"/>
      <sheetName val="을"/>
      <sheetName val="백암비스타내역"/>
      <sheetName val="#REF"/>
      <sheetName val="철거산출근거"/>
      <sheetName val="입찰안"/>
      <sheetName val="견적서"/>
      <sheetName val="J直材4"/>
      <sheetName val="부대공"/>
      <sheetName val="포장공"/>
      <sheetName val="토공"/>
      <sheetName val="토목공사일반"/>
      <sheetName val="기초내역서"/>
      <sheetName val="수량산출"/>
      <sheetName val="대가목록표"/>
      <sheetName val="98지급계획"/>
      <sheetName val="현장"/>
      <sheetName val="2공구산출내역"/>
      <sheetName val="내역서2안"/>
      <sheetName val="품셈TABLE"/>
      <sheetName val="추가대화"/>
      <sheetName val="공통가설"/>
      <sheetName val="JUCK"/>
      <sheetName val="금액내역서"/>
      <sheetName val="DATE"/>
      <sheetName val="단가조사"/>
      <sheetName val="산출근거"/>
      <sheetName val="교통대책내역"/>
      <sheetName val="설계서(표지)"/>
      <sheetName val="원가계산서"/>
      <sheetName val="소방사항"/>
      <sheetName val="자재단가리스트"/>
      <sheetName val="공사현황"/>
      <sheetName val="패널"/>
      <sheetName val="계양가시설"/>
      <sheetName val="실행내역"/>
      <sheetName val="공사개요"/>
      <sheetName val="아파트 내역"/>
      <sheetName val="노무"/>
      <sheetName val="평가데이터"/>
      <sheetName val="N賃率-職"/>
      <sheetName val="도급FORM"/>
      <sheetName val="초기화면"/>
      <sheetName val="관급자재"/>
      <sheetName val="TANK견적대지"/>
      <sheetName val="인건-측정"/>
      <sheetName val="20관리비율"/>
      <sheetName val="대상공사(조달청)"/>
      <sheetName val="자료(통합)"/>
      <sheetName val="일위"/>
      <sheetName val="공사예산하조서(O.K)"/>
      <sheetName val="노무비"/>
      <sheetName val="기계경비(시간당)"/>
      <sheetName val="램머"/>
      <sheetName val="파일의이용"/>
      <sheetName val="설계명세서 (장비)"/>
      <sheetName val="기본일위"/>
      <sheetName val="BID"/>
      <sheetName val="내역서(설비+소방)"/>
      <sheetName val="전체"/>
      <sheetName val="골조시행"/>
      <sheetName val="첨부1"/>
      <sheetName val="부재리스트"/>
      <sheetName val="별표"/>
      <sheetName val="KIM"/>
      <sheetName val="건축원가"/>
      <sheetName val="내역서총집계표"/>
      <sheetName val="NEGO"/>
      <sheetName val="BCK3672"/>
      <sheetName val="설계내역서"/>
      <sheetName val="2공구하도급내역서"/>
      <sheetName val="인테리어내역"/>
      <sheetName val="갑지(추정)"/>
      <sheetName val="토목"/>
      <sheetName val="현장경비"/>
      <sheetName val="중기조종사 단위단가"/>
      <sheetName val="요율"/>
      <sheetName val="2000.11월설계내역"/>
      <sheetName val="자  재"/>
      <sheetName val="건축외주"/>
      <sheetName val="2006년일위대가"/>
      <sheetName val="CT "/>
      <sheetName val="시설장비부하계산서"/>
      <sheetName val="홍보비디오"/>
      <sheetName val="Book4"/>
      <sheetName val=" HIT-&gt;HMC 견적(3900)"/>
      <sheetName val="I一般比"/>
      <sheetName val="설직재-1"/>
      <sheetName val="2F 회의실견적(5_14 일대)"/>
      <sheetName val="工완성공사율"/>
      <sheetName val="감가상각"/>
      <sheetName val="토사(PE)"/>
      <sheetName val="Total"/>
      <sheetName val="LP-S"/>
      <sheetName val="데이타"/>
      <sheetName val="실행"/>
      <sheetName val="104동"/>
      <sheetName val="Sheet4"/>
      <sheetName val="ELECTRIC"/>
      <sheetName val="날개벽"/>
      <sheetName val="사급자재(1단계)"/>
      <sheetName val="단가기준"/>
      <sheetName val="저"/>
      <sheetName val="설계명세서"/>
      <sheetName val="자료입력"/>
      <sheetName val="간접"/>
      <sheetName val="주소"/>
      <sheetName val="직접수량"/>
      <sheetName val="원가계산서 "/>
      <sheetName val="청천내"/>
      <sheetName val="계수시트"/>
      <sheetName val="구천"/>
      <sheetName val="연결관암거"/>
      <sheetName val="단가 (2)"/>
      <sheetName val="설계명세서(a"/>
      <sheetName val="변수값"/>
      <sheetName val="중기상차"/>
      <sheetName val="AS복구"/>
      <sheetName val="중기터파기"/>
      <sheetName val="제품별단가"/>
      <sheetName val="제품별절단길이-0628"/>
      <sheetName val="16-1"/>
      <sheetName val="전체도급"/>
      <sheetName val="사업부배부A"/>
      <sheetName val="1.설계기준"/>
      <sheetName val="기둥(원형)"/>
      <sheetName val="기초공"/>
      <sheetName val="건축내역(진해석동)"/>
      <sheetName val="동수"/>
      <sheetName val="누계12"/>
      <sheetName val="6호기"/>
      <sheetName val="총괄내역서"/>
      <sheetName val="일위대가표"/>
      <sheetName val="도급견적가"/>
      <sheetName val="pier(각형)"/>
      <sheetName val="총괄표"/>
      <sheetName val="자판실행"/>
      <sheetName val="평내중"/>
      <sheetName val="총괄내역"/>
      <sheetName val="말뚝물량"/>
      <sheetName val="실행철강하도"/>
      <sheetName val="COST"/>
      <sheetName val="단가 "/>
      <sheetName val="수목표준대가"/>
      <sheetName val="수목데이타 "/>
      <sheetName val="제직재"/>
      <sheetName val="구조대가"/>
      <sheetName val="포설대가1"/>
      <sheetName val="부대대가"/>
      <sheetName val="중강당 내역"/>
      <sheetName val="급수 (LPM)"/>
      <sheetName val="국별인원"/>
      <sheetName val="현금"/>
      <sheetName val="CP-E2 (품셈표)"/>
      <sheetName val="A-4"/>
      <sheetName val="공통가설공사"/>
      <sheetName val="MIJIBI"/>
      <sheetName val="일위목록-기"/>
      <sheetName val="갑지"/>
      <sheetName val="개요"/>
      <sheetName val="프랜트면허"/>
      <sheetName val="재공품기초자료"/>
      <sheetName val="공통비(전체)"/>
      <sheetName val="공사내역"/>
      <sheetName val="일용직내역"/>
      <sheetName val="2003 일위대가"/>
      <sheetName val="工관리비율"/>
      <sheetName val="A LINE"/>
      <sheetName val="준검 내역서"/>
      <sheetName val="합천내역"/>
      <sheetName val="전차선로 물량표"/>
      <sheetName val="내역서1999.8최종"/>
      <sheetName val="정부노임단가"/>
      <sheetName val="입력"/>
      <sheetName val="재료비"/>
      <sheetName val="원가_(2)"/>
      <sheetName val="1차_내역서"/>
      <sheetName val="6PILE__(돌출)"/>
      <sheetName val="건축공사 분괴표원본데이터(공통+건축)"/>
      <sheetName val="전기혼잡제경비(45)"/>
      <sheetName val="공통(Ȳ_x0000__xd800_䧶_x0000__x0000_"/>
      <sheetName val="FB25JN"/>
      <sheetName val="도급예산내역서봉투"/>
      <sheetName val="공사원가계산서"/>
      <sheetName val="설계산출기초"/>
      <sheetName val="설계산출표지"/>
      <sheetName val="도급예산내역서총괄표"/>
      <sheetName val="을부담운반비"/>
      <sheetName val="운반비산출"/>
      <sheetName val="연부97-1"/>
      <sheetName val="갑지1"/>
      <sheetName val="기존단가 (2)"/>
      <sheetName val="전력"/>
      <sheetName val="Sheet5"/>
      <sheetName val="수목데이타"/>
      <sheetName val="전선 및 전선관"/>
      <sheetName val="6.일위목록"/>
      <sheetName val="시설물기초"/>
      <sheetName val="부대내역"/>
      <sheetName val="자재표"/>
      <sheetName val="단"/>
      <sheetName val="공구"/>
      <sheetName val="연습"/>
      <sheetName val="노임이"/>
      <sheetName val="동원인원"/>
      <sheetName val="99노임기준"/>
      <sheetName val="유림골조"/>
      <sheetName val="비교1"/>
      <sheetName val="TRU"/>
      <sheetName val="토적표"/>
      <sheetName val="원가계산"/>
      <sheetName val="원가계산 (2)"/>
      <sheetName val="내   역"/>
      <sheetName val="PAC"/>
      <sheetName val="기본자료"/>
      <sheetName val="DATA"/>
      <sheetName val="납부서"/>
      <sheetName val="예산명세서"/>
      <sheetName val="외주비"/>
      <sheetName val="소각장스케줄"/>
      <sheetName val="구리토평1전기"/>
      <sheetName val="덕전리"/>
      <sheetName val="fursys"/>
      <sheetName val="유기공정"/>
      <sheetName val="SW개발대상목록(기능점수)"/>
      <sheetName val="지하"/>
      <sheetName val="1000 DB구축 부표"/>
      <sheetName val="설계서"/>
      <sheetName val="증감대비"/>
      <sheetName val="내역서적용수량"/>
      <sheetName val="1차설계변경내역"/>
      <sheetName val="단가및재료비"/>
      <sheetName val="단중표"/>
      <sheetName val="Tool"/>
      <sheetName val="신규DEP"/>
      <sheetName val="가로등내역서"/>
      <sheetName val="전기변내역"/>
      <sheetName val="공통(Ȳ"/>
      <sheetName val="인사자료총집계"/>
      <sheetName val="주식"/>
      <sheetName val="공사기본내용입력"/>
      <sheetName val="실행내역서"/>
      <sheetName val="토공사(흙막이)"/>
      <sheetName val="제-노임"/>
      <sheetName val="70%"/>
      <sheetName val="기초자료입력"/>
      <sheetName val="중기조종사_단위단가"/>
      <sheetName val="아파트_내역"/>
      <sheetName val="경영"/>
      <sheetName val="98년"/>
      <sheetName val="실적"/>
      <sheetName val="명세서"/>
      <sheetName val="직접경비"/>
      <sheetName val="직접인건비"/>
      <sheetName val="1안"/>
      <sheetName val="외삼초"/>
      <sheetName val="서울대규장각(가시설흙막이)"/>
      <sheetName val="CODE(2)"/>
      <sheetName val="기초입력 DATA"/>
      <sheetName val="증감내역서"/>
      <sheetName val="이름정의"/>
      <sheetName val="부하계산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  <sheetName val="실행내역"/>
      <sheetName val="일위대가목록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공정율"/>
      <sheetName val="pldt"/>
      <sheetName val="건집"/>
      <sheetName val="건축"/>
      <sheetName val="기설집"/>
      <sheetName val="설집"/>
      <sheetName val="VXXXXX"/>
      <sheetName val="적용대가"/>
      <sheetName val="지수내역"/>
      <sheetName val="노(97.1,97.9,98.1)"/>
      <sheetName val="노임단가"/>
      <sheetName val="XXXXXX"/>
      <sheetName val="VXXX"/>
      <sheetName val="진짜내역"/>
      <sheetName val="총괄"/>
      <sheetName val="집계"/>
      <sheetName val="내역"/>
      <sheetName val="공량집"/>
      <sheetName val="단가"/>
      <sheetName val="배부율"/>
      <sheetName val="완성1"/>
      <sheetName val="완성2"/>
      <sheetName val="산재비율"/>
      <sheetName val="안전비율"/>
      <sheetName val="일반비율"/>
      <sheetName val="노임"/>
      <sheetName val="공량"/>
      <sheetName val="일위대가목록"/>
      <sheetName val="Baby일위대가"/>
      <sheetName val="철거산출근거"/>
      <sheetName val="경산"/>
      <sheetName val="내역서2안"/>
      <sheetName val="Sheet1"/>
      <sheetName val="일위_파일"/>
      <sheetName val="단가조사"/>
      <sheetName val="일위대가"/>
      <sheetName val="견적서"/>
      <sheetName val="내역서(삼호)"/>
      <sheetName val="KKK"/>
      <sheetName val="저"/>
      <sheetName val="표지"/>
      <sheetName val="간접비"/>
      <sheetName val="출력은 금물"/>
      <sheetName val="일위대가(건축)"/>
      <sheetName val=" 냉각수펌프"/>
      <sheetName val="단가 "/>
      <sheetName val="2공구산출내역"/>
      <sheetName val="소비자가"/>
      <sheetName val="데리네이타현황"/>
      <sheetName val="금액내역서"/>
      <sheetName val="Sheet3"/>
      <sheetName val="도급내역서"/>
      <sheetName val="물가자료"/>
      <sheetName val="COVER"/>
      <sheetName val="직재"/>
      <sheetName val="#REF"/>
      <sheetName val="연결관암거"/>
      <sheetName val="3BL공동구 수량"/>
      <sheetName val="부분별수량산출(조합기초)"/>
      <sheetName val="기자재비"/>
      <sheetName val="전담운영PM"/>
      <sheetName val="단위중량"/>
      <sheetName val="수량산출"/>
      <sheetName val="일위대가(출입)"/>
      <sheetName val="EJ"/>
      <sheetName val="대,유,램"/>
      <sheetName val="국별인원"/>
      <sheetName val="식재일위대가"/>
      <sheetName val="J直材4"/>
      <sheetName val="일위대가(4층원격)"/>
      <sheetName val="기초일위대가"/>
      <sheetName val="단가대비표"/>
      <sheetName val="산출기초"/>
      <sheetName val="적용건축"/>
      <sheetName val="기계내역"/>
      <sheetName val="9GNG운반"/>
      <sheetName val="기계경비(시간당)"/>
      <sheetName val="램머"/>
      <sheetName val="차액보증"/>
      <sheetName val="Sheet1 (2)"/>
      <sheetName val="소방"/>
      <sheetName val="N賃率-職"/>
      <sheetName val="COL"/>
      <sheetName val="손익분석"/>
      <sheetName val="건축부하"/>
      <sheetName val="약전닥트"/>
      <sheetName val="일지-H"/>
      <sheetName val="김포IO"/>
      <sheetName val="LD"/>
      <sheetName val="FA설치명세"/>
      <sheetName val="처리단락"/>
      <sheetName val="조건표"/>
      <sheetName val="단가조사서"/>
      <sheetName val="Sheet38"/>
      <sheetName val="터파기및재료"/>
      <sheetName val="2F 회의실견적(5_14 일대)"/>
      <sheetName val="Sheet5"/>
      <sheetName val="Macro1"/>
      <sheetName val="내역서"/>
      <sheetName val="Sheet2"/>
      <sheetName val="일반전기C"/>
      <sheetName val="부대공"/>
      <sheetName val="포장공"/>
      <sheetName val="토공"/>
      <sheetName val="ilch"/>
      <sheetName val="1안"/>
      <sheetName val="부속동"/>
      <sheetName val="일위목록"/>
      <sheetName val="설직재-1"/>
      <sheetName val="을"/>
      <sheetName val="정부노임단가"/>
      <sheetName val="DATA"/>
      <sheetName val="데이타"/>
      <sheetName val="골조시행"/>
      <sheetName val="샘플표지"/>
      <sheetName val="대보~세기"/>
      <sheetName val="AHU집계"/>
      <sheetName val="대운반(철재)"/>
      <sheetName val="쌍송교"/>
      <sheetName val="수지예산"/>
      <sheetName val="단가산출"/>
      <sheetName val="일위"/>
      <sheetName val="산출-설비"/>
      <sheetName val="I一般比"/>
      <sheetName val="노(97_1,97_9,98_1)"/>
      <sheetName val="출력은_금물"/>
      <sheetName val="_냉각수펌프"/>
      <sheetName val="단가_"/>
      <sheetName val="일위대가내역"/>
      <sheetName val="목록"/>
      <sheetName val="ESCO개보수공사"/>
      <sheetName val="부대내역"/>
      <sheetName val="흥양2교토공집계표"/>
      <sheetName val="Base"/>
      <sheetName val="C3"/>
      <sheetName val="납부서"/>
      <sheetName val="건축원가"/>
      <sheetName val="공량(1월22일)"/>
      <sheetName val="도급내역"/>
      <sheetName val="을지"/>
      <sheetName val="대목"/>
      <sheetName val="1차 내역서"/>
      <sheetName val="사업부배부A"/>
      <sheetName val="일위대가표"/>
      <sheetName val="가로등내역서"/>
      <sheetName val="원내역"/>
      <sheetName val="외주비"/>
      <sheetName val="일반공사"/>
      <sheetName val="현장관리비 산출내역"/>
      <sheetName val="공사미수"/>
      <sheetName val="대공종"/>
      <sheetName val="1구간BOQ"/>
      <sheetName val="말뚝지지력산정"/>
      <sheetName val="BOQ(전체)"/>
      <sheetName val="주소"/>
      <sheetName val="설계예시"/>
      <sheetName val="Mc1"/>
      <sheetName val="공통(20-91)"/>
      <sheetName val="ELECTRIC"/>
      <sheetName val="내역(100%)"/>
      <sheetName val="표지1"/>
      <sheetName val="단"/>
      <sheetName val="WORK"/>
      <sheetName val="산출근거(단청공사)"/>
      <sheetName val="갑지(추정)"/>
      <sheetName val="사업수지"/>
      <sheetName val="WEIGHT LIST"/>
      <sheetName val="POL6차-PIPING"/>
      <sheetName val="물량"/>
      <sheetName val="산#2-1 (2)"/>
      <sheetName val="산#3-1"/>
      <sheetName val="기계설비표선정수장"/>
      <sheetName val="토목내역서 (도급단가)"/>
      <sheetName val="수공기"/>
      <sheetName val="적용단위길이"/>
      <sheetName val="피벗테이블데이터분석"/>
      <sheetName val="특수기호강도거푸집"/>
      <sheetName val="종배수관면벽신"/>
      <sheetName val="종배수관(신)"/>
      <sheetName val="자료입력"/>
      <sheetName val="품셈"/>
      <sheetName val="인건비"/>
      <sheetName val="중기사용료"/>
      <sheetName val="패널"/>
      <sheetName val="TANK견적대지"/>
      <sheetName val="sst,stl창호"/>
      <sheetName val="DAN"/>
      <sheetName val="백호우계수"/>
      <sheetName val="공사비"/>
      <sheetName val="재집"/>
      <sheetName val="Y-WORK"/>
      <sheetName val="60명당사(총괄)"/>
      <sheetName val="1공구내역"/>
      <sheetName val="별표"/>
      <sheetName val="건축공사실행"/>
      <sheetName val="공량산출서"/>
      <sheetName val="중기일위대가"/>
      <sheetName val="일위목록-기"/>
      <sheetName val="BOX전기내역"/>
      <sheetName val="공조기휀"/>
      <sheetName val="원가계산서"/>
      <sheetName val="건축내역"/>
      <sheetName val="원가계산"/>
      <sheetName val="수정내역"/>
      <sheetName val="실행내역"/>
      <sheetName val="전시원"/>
      <sheetName val="전시내"/>
      <sheetName val="표"/>
      <sheetName val="목"/>
      <sheetName val="설 (3)"/>
      <sheetName val="설 (2)"/>
      <sheetName val="설"/>
      <sheetName val="일"/>
      <sheetName val="일집표"/>
      <sheetName val="일위표"/>
      <sheetName val="수표"/>
      <sheetName val="총집"/>
      <sheetName val="원가"/>
      <sheetName val="집계표"/>
      <sheetName val="제작총집계표"/>
      <sheetName val="총경기장별내역서(10-11)"/>
      <sheetName val="경기장별내역서(12-107)"/>
      <sheetName val="단가산출서"/>
      <sheetName val="재료단가"/>
      <sheetName val="현장"/>
      <sheetName val="골재산출"/>
      <sheetName val="MAIN_TABLE"/>
      <sheetName val="백암비스타내역"/>
      <sheetName val="5공철탑검토표"/>
      <sheetName val="4공철탑검토"/>
      <sheetName val="기본일위"/>
      <sheetName val="조명율표"/>
      <sheetName val="CTEMCOST"/>
      <sheetName val="교통대책내역"/>
      <sheetName val="기초자료"/>
      <sheetName val="공사비총괄표"/>
      <sheetName val="예산M11A"/>
      <sheetName val="재료"/>
      <sheetName val="식재수량표"/>
      <sheetName val="길어깨(현황)"/>
      <sheetName val="MOTOR"/>
      <sheetName val="아파트건축"/>
      <sheetName val="실행철강하도"/>
      <sheetName val="산출내역서"/>
      <sheetName val="기둥(원형)"/>
      <sheetName val="기초공"/>
      <sheetName val="101동"/>
      <sheetName val="2000년1차"/>
      <sheetName val="2000전체분"/>
      <sheetName val="출자한도"/>
      <sheetName val="일대-1"/>
      <sheetName val="공사개요(서광주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공정율"/>
      <sheetName val="pldt"/>
      <sheetName val="건집"/>
      <sheetName val="건축"/>
      <sheetName val="기설집"/>
      <sheetName val="설집"/>
      <sheetName val="인건비"/>
      <sheetName val="을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zoomScale="70" zoomScaleNormal="70" workbookViewId="0">
      <selection activeCell="U15" sqref="U15"/>
    </sheetView>
  </sheetViews>
  <sheetFormatPr defaultRowHeight="23.1" customHeight="1"/>
  <cols>
    <col min="1" max="2" width="5.5703125" style="942" customWidth="1"/>
    <col min="3" max="3" width="15.42578125" style="942" customWidth="1"/>
    <col min="4" max="4" width="16.28515625" style="942" hidden="1" customWidth="1"/>
    <col min="5" max="5" width="15.85546875" style="942" hidden="1" customWidth="1"/>
    <col min="6" max="6" width="16" style="942" hidden="1" customWidth="1"/>
    <col min="7" max="7" width="15.42578125" style="942" hidden="1" customWidth="1"/>
    <col min="8" max="8" width="16.5703125" style="942" hidden="1" customWidth="1"/>
    <col min="9" max="9" width="17.7109375" style="942" hidden="1" customWidth="1"/>
    <col min="10" max="10" width="17.5703125" style="942" customWidth="1"/>
    <col min="11" max="11" width="15.7109375" style="942" customWidth="1"/>
    <col min="12" max="12" width="15.85546875" style="942" customWidth="1"/>
    <col min="13" max="13" width="16.42578125" style="942" customWidth="1"/>
    <col min="14" max="14" width="17.5703125" style="942" hidden="1" customWidth="1"/>
    <col min="15" max="15" width="16.7109375" style="942" customWidth="1"/>
    <col min="16" max="16" width="13.7109375" style="898" hidden="1" customWidth="1"/>
    <col min="17" max="17" width="13.42578125" style="898" hidden="1" customWidth="1"/>
    <col min="18" max="18" width="45.140625" style="898" customWidth="1"/>
    <col min="19" max="19" width="22.42578125" style="898" customWidth="1"/>
    <col min="20" max="20" width="20.5703125" style="898" customWidth="1"/>
    <col min="21" max="29" width="11.42578125" style="898" customWidth="1"/>
    <col min="30" max="30" width="11.5703125" style="898" bestFit="1" customWidth="1"/>
    <col min="31" max="32" width="9.140625" style="898"/>
    <col min="33" max="33" width="11.5703125" style="898" bestFit="1" customWidth="1"/>
    <col min="34" max="34" width="12.7109375" style="898" bestFit="1" customWidth="1"/>
    <col min="35" max="262" width="9.140625" style="898"/>
    <col min="263" max="263" width="5.5703125" style="898" customWidth="1"/>
    <col min="264" max="264" width="7.7109375" style="898" customWidth="1"/>
    <col min="265" max="265" width="15.42578125" style="898" customWidth="1"/>
    <col min="266" max="266" width="19.42578125" style="898" customWidth="1"/>
    <col min="267" max="267" width="21.42578125" style="898" customWidth="1"/>
    <col min="268" max="268" width="20" style="898" customWidth="1"/>
    <col min="269" max="269" width="19.28515625" style="898" customWidth="1"/>
    <col min="270" max="270" width="21.7109375" style="898" customWidth="1"/>
    <col min="271" max="271" width="20.7109375" style="898" customWidth="1"/>
    <col min="272" max="272" width="14.140625" style="898" customWidth="1"/>
    <col min="273" max="273" width="13.42578125" style="898" customWidth="1"/>
    <col min="274" max="274" width="45.140625" style="898" customWidth="1"/>
    <col min="275" max="275" width="22.42578125" style="898" customWidth="1"/>
    <col min="276" max="276" width="20.5703125" style="898" customWidth="1"/>
    <col min="277" max="285" width="11.42578125" style="898" customWidth="1"/>
    <col min="286" max="286" width="11.5703125" style="898" bestFit="1" customWidth="1"/>
    <col min="287" max="288" width="9.140625" style="898"/>
    <col min="289" max="289" width="11.5703125" style="898" bestFit="1" customWidth="1"/>
    <col min="290" max="290" width="12.7109375" style="898" bestFit="1" customWidth="1"/>
    <col min="291" max="518" width="9.140625" style="898"/>
    <col min="519" max="519" width="5.5703125" style="898" customWidth="1"/>
    <col min="520" max="520" width="7.7109375" style="898" customWidth="1"/>
    <col min="521" max="521" width="15.42578125" style="898" customWidth="1"/>
    <col min="522" max="522" width="19.42578125" style="898" customWidth="1"/>
    <col min="523" max="523" width="21.42578125" style="898" customWidth="1"/>
    <col min="524" max="524" width="20" style="898" customWidth="1"/>
    <col min="525" max="525" width="19.28515625" style="898" customWidth="1"/>
    <col min="526" max="526" width="21.7109375" style="898" customWidth="1"/>
    <col min="527" max="527" width="20.7109375" style="898" customWidth="1"/>
    <col min="528" max="528" width="14.140625" style="898" customWidth="1"/>
    <col min="529" max="529" width="13.42578125" style="898" customWidth="1"/>
    <col min="530" max="530" width="45.140625" style="898" customWidth="1"/>
    <col min="531" max="531" width="22.42578125" style="898" customWidth="1"/>
    <col min="532" max="532" width="20.5703125" style="898" customWidth="1"/>
    <col min="533" max="541" width="11.42578125" style="898" customWidth="1"/>
    <col min="542" max="542" width="11.5703125" style="898" bestFit="1" customWidth="1"/>
    <col min="543" max="544" width="9.140625" style="898"/>
    <col min="545" max="545" width="11.5703125" style="898" bestFit="1" customWidth="1"/>
    <col min="546" max="546" width="12.7109375" style="898" bestFit="1" customWidth="1"/>
    <col min="547" max="774" width="9.140625" style="898"/>
    <col min="775" max="775" width="5.5703125" style="898" customWidth="1"/>
    <col min="776" max="776" width="7.7109375" style="898" customWidth="1"/>
    <col min="777" max="777" width="15.42578125" style="898" customWidth="1"/>
    <col min="778" max="778" width="19.42578125" style="898" customWidth="1"/>
    <col min="779" max="779" width="21.42578125" style="898" customWidth="1"/>
    <col min="780" max="780" width="20" style="898" customWidth="1"/>
    <col min="781" max="781" width="19.28515625" style="898" customWidth="1"/>
    <col min="782" max="782" width="21.7109375" style="898" customWidth="1"/>
    <col min="783" max="783" width="20.7109375" style="898" customWidth="1"/>
    <col min="784" max="784" width="14.140625" style="898" customWidth="1"/>
    <col min="785" max="785" width="13.42578125" style="898" customWidth="1"/>
    <col min="786" max="786" width="45.140625" style="898" customWidth="1"/>
    <col min="787" max="787" width="22.42578125" style="898" customWidth="1"/>
    <col min="788" max="788" width="20.5703125" style="898" customWidth="1"/>
    <col min="789" max="797" width="11.42578125" style="898" customWidth="1"/>
    <col min="798" max="798" width="11.5703125" style="898" bestFit="1" customWidth="1"/>
    <col min="799" max="800" width="9.140625" style="898"/>
    <col min="801" max="801" width="11.5703125" style="898" bestFit="1" customWidth="1"/>
    <col min="802" max="802" width="12.7109375" style="898" bestFit="1" customWidth="1"/>
    <col min="803" max="1030" width="9.140625" style="898"/>
    <col min="1031" max="1031" width="5.5703125" style="898" customWidth="1"/>
    <col min="1032" max="1032" width="7.7109375" style="898" customWidth="1"/>
    <col min="1033" max="1033" width="15.42578125" style="898" customWidth="1"/>
    <col min="1034" max="1034" width="19.42578125" style="898" customWidth="1"/>
    <col min="1035" max="1035" width="21.42578125" style="898" customWidth="1"/>
    <col min="1036" max="1036" width="20" style="898" customWidth="1"/>
    <col min="1037" max="1037" width="19.28515625" style="898" customWidth="1"/>
    <col min="1038" max="1038" width="21.7109375" style="898" customWidth="1"/>
    <col min="1039" max="1039" width="20.7109375" style="898" customWidth="1"/>
    <col min="1040" max="1040" width="14.140625" style="898" customWidth="1"/>
    <col min="1041" max="1041" width="13.42578125" style="898" customWidth="1"/>
    <col min="1042" max="1042" width="45.140625" style="898" customWidth="1"/>
    <col min="1043" max="1043" width="22.42578125" style="898" customWidth="1"/>
    <col min="1044" max="1044" width="20.5703125" style="898" customWidth="1"/>
    <col min="1045" max="1053" width="11.42578125" style="898" customWidth="1"/>
    <col min="1054" max="1054" width="11.5703125" style="898" bestFit="1" customWidth="1"/>
    <col min="1055" max="1056" width="9.140625" style="898"/>
    <col min="1057" max="1057" width="11.5703125" style="898" bestFit="1" customWidth="1"/>
    <col min="1058" max="1058" width="12.7109375" style="898" bestFit="1" customWidth="1"/>
    <col min="1059" max="1286" width="9.140625" style="898"/>
    <col min="1287" max="1287" width="5.5703125" style="898" customWidth="1"/>
    <col min="1288" max="1288" width="7.7109375" style="898" customWidth="1"/>
    <col min="1289" max="1289" width="15.42578125" style="898" customWidth="1"/>
    <col min="1290" max="1290" width="19.42578125" style="898" customWidth="1"/>
    <col min="1291" max="1291" width="21.42578125" style="898" customWidth="1"/>
    <col min="1292" max="1292" width="20" style="898" customWidth="1"/>
    <col min="1293" max="1293" width="19.28515625" style="898" customWidth="1"/>
    <col min="1294" max="1294" width="21.7109375" style="898" customWidth="1"/>
    <col min="1295" max="1295" width="20.7109375" style="898" customWidth="1"/>
    <col min="1296" max="1296" width="14.140625" style="898" customWidth="1"/>
    <col min="1297" max="1297" width="13.42578125" style="898" customWidth="1"/>
    <col min="1298" max="1298" width="45.140625" style="898" customWidth="1"/>
    <col min="1299" max="1299" width="22.42578125" style="898" customWidth="1"/>
    <col min="1300" max="1300" width="20.5703125" style="898" customWidth="1"/>
    <col min="1301" max="1309" width="11.42578125" style="898" customWidth="1"/>
    <col min="1310" max="1310" width="11.5703125" style="898" bestFit="1" customWidth="1"/>
    <col min="1311" max="1312" width="9.140625" style="898"/>
    <col min="1313" max="1313" width="11.5703125" style="898" bestFit="1" customWidth="1"/>
    <col min="1314" max="1314" width="12.7109375" style="898" bestFit="1" customWidth="1"/>
    <col min="1315" max="1542" width="9.140625" style="898"/>
    <col min="1543" max="1543" width="5.5703125" style="898" customWidth="1"/>
    <col min="1544" max="1544" width="7.7109375" style="898" customWidth="1"/>
    <col min="1545" max="1545" width="15.42578125" style="898" customWidth="1"/>
    <col min="1546" max="1546" width="19.42578125" style="898" customWidth="1"/>
    <col min="1547" max="1547" width="21.42578125" style="898" customWidth="1"/>
    <col min="1548" max="1548" width="20" style="898" customWidth="1"/>
    <col min="1549" max="1549" width="19.28515625" style="898" customWidth="1"/>
    <col min="1550" max="1550" width="21.7109375" style="898" customWidth="1"/>
    <col min="1551" max="1551" width="20.7109375" style="898" customWidth="1"/>
    <col min="1552" max="1552" width="14.140625" style="898" customWidth="1"/>
    <col min="1553" max="1553" width="13.42578125" style="898" customWidth="1"/>
    <col min="1554" max="1554" width="45.140625" style="898" customWidth="1"/>
    <col min="1555" max="1555" width="22.42578125" style="898" customWidth="1"/>
    <col min="1556" max="1556" width="20.5703125" style="898" customWidth="1"/>
    <col min="1557" max="1565" width="11.42578125" style="898" customWidth="1"/>
    <col min="1566" max="1566" width="11.5703125" style="898" bestFit="1" customWidth="1"/>
    <col min="1567" max="1568" width="9.140625" style="898"/>
    <col min="1569" max="1569" width="11.5703125" style="898" bestFit="1" customWidth="1"/>
    <col min="1570" max="1570" width="12.7109375" style="898" bestFit="1" customWidth="1"/>
    <col min="1571" max="1798" width="9.140625" style="898"/>
    <col min="1799" max="1799" width="5.5703125" style="898" customWidth="1"/>
    <col min="1800" max="1800" width="7.7109375" style="898" customWidth="1"/>
    <col min="1801" max="1801" width="15.42578125" style="898" customWidth="1"/>
    <col min="1802" max="1802" width="19.42578125" style="898" customWidth="1"/>
    <col min="1803" max="1803" width="21.42578125" style="898" customWidth="1"/>
    <col min="1804" max="1804" width="20" style="898" customWidth="1"/>
    <col min="1805" max="1805" width="19.28515625" style="898" customWidth="1"/>
    <col min="1806" max="1806" width="21.7109375" style="898" customWidth="1"/>
    <col min="1807" max="1807" width="20.7109375" style="898" customWidth="1"/>
    <col min="1808" max="1808" width="14.140625" style="898" customWidth="1"/>
    <col min="1809" max="1809" width="13.42578125" style="898" customWidth="1"/>
    <col min="1810" max="1810" width="45.140625" style="898" customWidth="1"/>
    <col min="1811" max="1811" width="22.42578125" style="898" customWidth="1"/>
    <col min="1812" max="1812" width="20.5703125" style="898" customWidth="1"/>
    <col min="1813" max="1821" width="11.42578125" style="898" customWidth="1"/>
    <col min="1822" max="1822" width="11.5703125" style="898" bestFit="1" customWidth="1"/>
    <col min="1823" max="1824" width="9.140625" style="898"/>
    <col min="1825" max="1825" width="11.5703125" style="898" bestFit="1" customWidth="1"/>
    <col min="1826" max="1826" width="12.7109375" style="898" bestFit="1" customWidth="1"/>
    <col min="1827" max="2054" width="9.140625" style="898"/>
    <col min="2055" max="2055" width="5.5703125" style="898" customWidth="1"/>
    <col min="2056" max="2056" width="7.7109375" style="898" customWidth="1"/>
    <col min="2057" max="2057" width="15.42578125" style="898" customWidth="1"/>
    <col min="2058" max="2058" width="19.42578125" style="898" customWidth="1"/>
    <col min="2059" max="2059" width="21.42578125" style="898" customWidth="1"/>
    <col min="2060" max="2060" width="20" style="898" customWidth="1"/>
    <col min="2061" max="2061" width="19.28515625" style="898" customWidth="1"/>
    <col min="2062" max="2062" width="21.7109375" style="898" customWidth="1"/>
    <col min="2063" max="2063" width="20.7109375" style="898" customWidth="1"/>
    <col min="2064" max="2064" width="14.140625" style="898" customWidth="1"/>
    <col min="2065" max="2065" width="13.42578125" style="898" customWidth="1"/>
    <col min="2066" max="2066" width="45.140625" style="898" customWidth="1"/>
    <col min="2067" max="2067" width="22.42578125" style="898" customWidth="1"/>
    <col min="2068" max="2068" width="20.5703125" style="898" customWidth="1"/>
    <col min="2069" max="2077" width="11.42578125" style="898" customWidth="1"/>
    <col min="2078" max="2078" width="11.5703125" style="898" bestFit="1" customWidth="1"/>
    <col min="2079" max="2080" width="9.140625" style="898"/>
    <col min="2081" max="2081" width="11.5703125" style="898" bestFit="1" customWidth="1"/>
    <col min="2082" max="2082" width="12.7109375" style="898" bestFit="1" customWidth="1"/>
    <col min="2083" max="2310" width="9.140625" style="898"/>
    <col min="2311" max="2311" width="5.5703125" style="898" customWidth="1"/>
    <col min="2312" max="2312" width="7.7109375" style="898" customWidth="1"/>
    <col min="2313" max="2313" width="15.42578125" style="898" customWidth="1"/>
    <col min="2314" max="2314" width="19.42578125" style="898" customWidth="1"/>
    <col min="2315" max="2315" width="21.42578125" style="898" customWidth="1"/>
    <col min="2316" max="2316" width="20" style="898" customWidth="1"/>
    <col min="2317" max="2317" width="19.28515625" style="898" customWidth="1"/>
    <col min="2318" max="2318" width="21.7109375" style="898" customWidth="1"/>
    <col min="2319" max="2319" width="20.7109375" style="898" customWidth="1"/>
    <col min="2320" max="2320" width="14.140625" style="898" customWidth="1"/>
    <col min="2321" max="2321" width="13.42578125" style="898" customWidth="1"/>
    <col min="2322" max="2322" width="45.140625" style="898" customWidth="1"/>
    <col min="2323" max="2323" width="22.42578125" style="898" customWidth="1"/>
    <col min="2324" max="2324" width="20.5703125" style="898" customWidth="1"/>
    <col min="2325" max="2333" width="11.42578125" style="898" customWidth="1"/>
    <col min="2334" max="2334" width="11.5703125" style="898" bestFit="1" customWidth="1"/>
    <col min="2335" max="2336" width="9.140625" style="898"/>
    <col min="2337" max="2337" width="11.5703125" style="898" bestFit="1" customWidth="1"/>
    <col min="2338" max="2338" width="12.7109375" style="898" bestFit="1" customWidth="1"/>
    <col min="2339" max="2566" width="9.140625" style="898"/>
    <col min="2567" max="2567" width="5.5703125" style="898" customWidth="1"/>
    <col min="2568" max="2568" width="7.7109375" style="898" customWidth="1"/>
    <col min="2569" max="2569" width="15.42578125" style="898" customWidth="1"/>
    <col min="2570" max="2570" width="19.42578125" style="898" customWidth="1"/>
    <col min="2571" max="2571" width="21.42578125" style="898" customWidth="1"/>
    <col min="2572" max="2572" width="20" style="898" customWidth="1"/>
    <col min="2573" max="2573" width="19.28515625" style="898" customWidth="1"/>
    <col min="2574" max="2574" width="21.7109375" style="898" customWidth="1"/>
    <col min="2575" max="2575" width="20.7109375" style="898" customWidth="1"/>
    <col min="2576" max="2576" width="14.140625" style="898" customWidth="1"/>
    <col min="2577" max="2577" width="13.42578125" style="898" customWidth="1"/>
    <col min="2578" max="2578" width="45.140625" style="898" customWidth="1"/>
    <col min="2579" max="2579" width="22.42578125" style="898" customWidth="1"/>
    <col min="2580" max="2580" width="20.5703125" style="898" customWidth="1"/>
    <col min="2581" max="2589" width="11.42578125" style="898" customWidth="1"/>
    <col min="2590" max="2590" width="11.5703125" style="898" bestFit="1" customWidth="1"/>
    <col min="2591" max="2592" width="9.140625" style="898"/>
    <col min="2593" max="2593" width="11.5703125" style="898" bestFit="1" customWidth="1"/>
    <col min="2594" max="2594" width="12.7109375" style="898" bestFit="1" customWidth="1"/>
    <col min="2595" max="2822" width="9.140625" style="898"/>
    <col min="2823" max="2823" width="5.5703125" style="898" customWidth="1"/>
    <col min="2824" max="2824" width="7.7109375" style="898" customWidth="1"/>
    <col min="2825" max="2825" width="15.42578125" style="898" customWidth="1"/>
    <col min="2826" max="2826" width="19.42578125" style="898" customWidth="1"/>
    <col min="2827" max="2827" width="21.42578125" style="898" customWidth="1"/>
    <col min="2828" max="2828" width="20" style="898" customWidth="1"/>
    <col min="2829" max="2829" width="19.28515625" style="898" customWidth="1"/>
    <col min="2830" max="2830" width="21.7109375" style="898" customWidth="1"/>
    <col min="2831" max="2831" width="20.7109375" style="898" customWidth="1"/>
    <col min="2832" max="2832" width="14.140625" style="898" customWidth="1"/>
    <col min="2833" max="2833" width="13.42578125" style="898" customWidth="1"/>
    <col min="2834" max="2834" width="45.140625" style="898" customWidth="1"/>
    <col min="2835" max="2835" width="22.42578125" style="898" customWidth="1"/>
    <col min="2836" max="2836" width="20.5703125" style="898" customWidth="1"/>
    <col min="2837" max="2845" width="11.42578125" style="898" customWidth="1"/>
    <col min="2846" max="2846" width="11.5703125" style="898" bestFit="1" customWidth="1"/>
    <col min="2847" max="2848" width="9.140625" style="898"/>
    <col min="2849" max="2849" width="11.5703125" style="898" bestFit="1" customWidth="1"/>
    <col min="2850" max="2850" width="12.7109375" style="898" bestFit="1" customWidth="1"/>
    <col min="2851" max="3078" width="9.140625" style="898"/>
    <col min="3079" max="3079" width="5.5703125" style="898" customWidth="1"/>
    <col min="3080" max="3080" width="7.7109375" style="898" customWidth="1"/>
    <col min="3081" max="3081" width="15.42578125" style="898" customWidth="1"/>
    <col min="3082" max="3082" width="19.42578125" style="898" customWidth="1"/>
    <col min="3083" max="3083" width="21.42578125" style="898" customWidth="1"/>
    <col min="3084" max="3084" width="20" style="898" customWidth="1"/>
    <col min="3085" max="3085" width="19.28515625" style="898" customWidth="1"/>
    <col min="3086" max="3086" width="21.7109375" style="898" customWidth="1"/>
    <col min="3087" max="3087" width="20.7109375" style="898" customWidth="1"/>
    <col min="3088" max="3088" width="14.140625" style="898" customWidth="1"/>
    <col min="3089" max="3089" width="13.42578125" style="898" customWidth="1"/>
    <col min="3090" max="3090" width="45.140625" style="898" customWidth="1"/>
    <col min="3091" max="3091" width="22.42578125" style="898" customWidth="1"/>
    <col min="3092" max="3092" width="20.5703125" style="898" customWidth="1"/>
    <col min="3093" max="3101" width="11.42578125" style="898" customWidth="1"/>
    <col min="3102" max="3102" width="11.5703125" style="898" bestFit="1" customWidth="1"/>
    <col min="3103" max="3104" width="9.140625" style="898"/>
    <col min="3105" max="3105" width="11.5703125" style="898" bestFit="1" customWidth="1"/>
    <col min="3106" max="3106" width="12.7109375" style="898" bestFit="1" customWidth="1"/>
    <col min="3107" max="3334" width="9.140625" style="898"/>
    <col min="3335" max="3335" width="5.5703125" style="898" customWidth="1"/>
    <col min="3336" max="3336" width="7.7109375" style="898" customWidth="1"/>
    <col min="3337" max="3337" width="15.42578125" style="898" customWidth="1"/>
    <col min="3338" max="3338" width="19.42578125" style="898" customWidth="1"/>
    <col min="3339" max="3339" width="21.42578125" style="898" customWidth="1"/>
    <col min="3340" max="3340" width="20" style="898" customWidth="1"/>
    <col min="3341" max="3341" width="19.28515625" style="898" customWidth="1"/>
    <col min="3342" max="3342" width="21.7109375" style="898" customWidth="1"/>
    <col min="3343" max="3343" width="20.7109375" style="898" customWidth="1"/>
    <col min="3344" max="3344" width="14.140625" style="898" customWidth="1"/>
    <col min="3345" max="3345" width="13.42578125" style="898" customWidth="1"/>
    <col min="3346" max="3346" width="45.140625" style="898" customWidth="1"/>
    <col min="3347" max="3347" width="22.42578125" style="898" customWidth="1"/>
    <col min="3348" max="3348" width="20.5703125" style="898" customWidth="1"/>
    <col min="3349" max="3357" width="11.42578125" style="898" customWidth="1"/>
    <col min="3358" max="3358" width="11.5703125" style="898" bestFit="1" customWidth="1"/>
    <col min="3359" max="3360" width="9.140625" style="898"/>
    <col min="3361" max="3361" width="11.5703125" style="898" bestFit="1" customWidth="1"/>
    <col min="3362" max="3362" width="12.7109375" style="898" bestFit="1" customWidth="1"/>
    <col min="3363" max="3590" width="9.140625" style="898"/>
    <col min="3591" max="3591" width="5.5703125" style="898" customWidth="1"/>
    <col min="3592" max="3592" width="7.7109375" style="898" customWidth="1"/>
    <col min="3593" max="3593" width="15.42578125" style="898" customWidth="1"/>
    <col min="3594" max="3594" width="19.42578125" style="898" customWidth="1"/>
    <col min="3595" max="3595" width="21.42578125" style="898" customWidth="1"/>
    <col min="3596" max="3596" width="20" style="898" customWidth="1"/>
    <col min="3597" max="3597" width="19.28515625" style="898" customWidth="1"/>
    <col min="3598" max="3598" width="21.7109375" style="898" customWidth="1"/>
    <col min="3599" max="3599" width="20.7109375" style="898" customWidth="1"/>
    <col min="3600" max="3600" width="14.140625" style="898" customWidth="1"/>
    <col min="3601" max="3601" width="13.42578125" style="898" customWidth="1"/>
    <col min="3602" max="3602" width="45.140625" style="898" customWidth="1"/>
    <col min="3603" max="3603" width="22.42578125" style="898" customWidth="1"/>
    <col min="3604" max="3604" width="20.5703125" style="898" customWidth="1"/>
    <col min="3605" max="3613" width="11.42578125" style="898" customWidth="1"/>
    <col min="3614" max="3614" width="11.5703125" style="898" bestFit="1" customWidth="1"/>
    <col min="3615" max="3616" width="9.140625" style="898"/>
    <col min="3617" max="3617" width="11.5703125" style="898" bestFit="1" customWidth="1"/>
    <col min="3618" max="3618" width="12.7109375" style="898" bestFit="1" customWidth="1"/>
    <col min="3619" max="3846" width="9.140625" style="898"/>
    <col min="3847" max="3847" width="5.5703125" style="898" customWidth="1"/>
    <col min="3848" max="3848" width="7.7109375" style="898" customWidth="1"/>
    <col min="3849" max="3849" width="15.42578125" style="898" customWidth="1"/>
    <col min="3850" max="3850" width="19.42578125" style="898" customWidth="1"/>
    <col min="3851" max="3851" width="21.42578125" style="898" customWidth="1"/>
    <col min="3852" max="3852" width="20" style="898" customWidth="1"/>
    <col min="3853" max="3853" width="19.28515625" style="898" customWidth="1"/>
    <col min="3854" max="3854" width="21.7109375" style="898" customWidth="1"/>
    <col min="3855" max="3855" width="20.7109375" style="898" customWidth="1"/>
    <col min="3856" max="3856" width="14.140625" style="898" customWidth="1"/>
    <col min="3857" max="3857" width="13.42578125" style="898" customWidth="1"/>
    <col min="3858" max="3858" width="45.140625" style="898" customWidth="1"/>
    <col min="3859" max="3859" width="22.42578125" style="898" customWidth="1"/>
    <col min="3860" max="3860" width="20.5703125" style="898" customWidth="1"/>
    <col min="3861" max="3869" width="11.42578125" style="898" customWidth="1"/>
    <col min="3870" max="3870" width="11.5703125" style="898" bestFit="1" customWidth="1"/>
    <col min="3871" max="3872" width="9.140625" style="898"/>
    <col min="3873" max="3873" width="11.5703125" style="898" bestFit="1" customWidth="1"/>
    <col min="3874" max="3874" width="12.7109375" style="898" bestFit="1" customWidth="1"/>
    <col min="3875" max="4102" width="9.140625" style="898"/>
    <col min="4103" max="4103" width="5.5703125" style="898" customWidth="1"/>
    <col min="4104" max="4104" width="7.7109375" style="898" customWidth="1"/>
    <col min="4105" max="4105" width="15.42578125" style="898" customWidth="1"/>
    <col min="4106" max="4106" width="19.42578125" style="898" customWidth="1"/>
    <col min="4107" max="4107" width="21.42578125" style="898" customWidth="1"/>
    <col min="4108" max="4108" width="20" style="898" customWidth="1"/>
    <col min="4109" max="4109" width="19.28515625" style="898" customWidth="1"/>
    <col min="4110" max="4110" width="21.7109375" style="898" customWidth="1"/>
    <col min="4111" max="4111" width="20.7109375" style="898" customWidth="1"/>
    <col min="4112" max="4112" width="14.140625" style="898" customWidth="1"/>
    <col min="4113" max="4113" width="13.42578125" style="898" customWidth="1"/>
    <col min="4114" max="4114" width="45.140625" style="898" customWidth="1"/>
    <col min="4115" max="4115" width="22.42578125" style="898" customWidth="1"/>
    <col min="4116" max="4116" width="20.5703125" style="898" customWidth="1"/>
    <col min="4117" max="4125" width="11.42578125" style="898" customWidth="1"/>
    <col min="4126" max="4126" width="11.5703125" style="898" bestFit="1" customWidth="1"/>
    <col min="4127" max="4128" width="9.140625" style="898"/>
    <col min="4129" max="4129" width="11.5703125" style="898" bestFit="1" customWidth="1"/>
    <col min="4130" max="4130" width="12.7109375" style="898" bestFit="1" customWidth="1"/>
    <col min="4131" max="4358" width="9.140625" style="898"/>
    <col min="4359" max="4359" width="5.5703125" style="898" customWidth="1"/>
    <col min="4360" max="4360" width="7.7109375" style="898" customWidth="1"/>
    <col min="4361" max="4361" width="15.42578125" style="898" customWidth="1"/>
    <col min="4362" max="4362" width="19.42578125" style="898" customWidth="1"/>
    <col min="4363" max="4363" width="21.42578125" style="898" customWidth="1"/>
    <col min="4364" max="4364" width="20" style="898" customWidth="1"/>
    <col min="4365" max="4365" width="19.28515625" style="898" customWidth="1"/>
    <col min="4366" max="4366" width="21.7109375" style="898" customWidth="1"/>
    <col min="4367" max="4367" width="20.7109375" style="898" customWidth="1"/>
    <col min="4368" max="4368" width="14.140625" style="898" customWidth="1"/>
    <col min="4369" max="4369" width="13.42578125" style="898" customWidth="1"/>
    <col min="4370" max="4370" width="45.140625" style="898" customWidth="1"/>
    <col min="4371" max="4371" width="22.42578125" style="898" customWidth="1"/>
    <col min="4372" max="4372" width="20.5703125" style="898" customWidth="1"/>
    <col min="4373" max="4381" width="11.42578125" style="898" customWidth="1"/>
    <col min="4382" max="4382" width="11.5703125" style="898" bestFit="1" customWidth="1"/>
    <col min="4383" max="4384" width="9.140625" style="898"/>
    <col min="4385" max="4385" width="11.5703125" style="898" bestFit="1" customWidth="1"/>
    <col min="4386" max="4386" width="12.7109375" style="898" bestFit="1" customWidth="1"/>
    <col min="4387" max="4614" width="9.140625" style="898"/>
    <col min="4615" max="4615" width="5.5703125" style="898" customWidth="1"/>
    <col min="4616" max="4616" width="7.7109375" style="898" customWidth="1"/>
    <col min="4617" max="4617" width="15.42578125" style="898" customWidth="1"/>
    <col min="4618" max="4618" width="19.42578125" style="898" customWidth="1"/>
    <col min="4619" max="4619" width="21.42578125" style="898" customWidth="1"/>
    <col min="4620" max="4620" width="20" style="898" customWidth="1"/>
    <col min="4621" max="4621" width="19.28515625" style="898" customWidth="1"/>
    <col min="4622" max="4622" width="21.7109375" style="898" customWidth="1"/>
    <col min="4623" max="4623" width="20.7109375" style="898" customWidth="1"/>
    <col min="4624" max="4624" width="14.140625" style="898" customWidth="1"/>
    <col min="4625" max="4625" width="13.42578125" style="898" customWidth="1"/>
    <col min="4626" max="4626" width="45.140625" style="898" customWidth="1"/>
    <col min="4627" max="4627" width="22.42578125" style="898" customWidth="1"/>
    <col min="4628" max="4628" width="20.5703125" style="898" customWidth="1"/>
    <col min="4629" max="4637" width="11.42578125" style="898" customWidth="1"/>
    <col min="4638" max="4638" width="11.5703125" style="898" bestFit="1" customWidth="1"/>
    <col min="4639" max="4640" width="9.140625" style="898"/>
    <col min="4641" max="4641" width="11.5703125" style="898" bestFit="1" customWidth="1"/>
    <col min="4642" max="4642" width="12.7109375" style="898" bestFit="1" customWidth="1"/>
    <col min="4643" max="4870" width="9.140625" style="898"/>
    <col min="4871" max="4871" width="5.5703125" style="898" customWidth="1"/>
    <col min="4872" max="4872" width="7.7109375" style="898" customWidth="1"/>
    <col min="4873" max="4873" width="15.42578125" style="898" customWidth="1"/>
    <col min="4874" max="4874" width="19.42578125" style="898" customWidth="1"/>
    <col min="4875" max="4875" width="21.42578125" style="898" customWidth="1"/>
    <col min="4876" max="4876" width="20" style="898" customWidth="1"/>
    <col min="4877" max="4877" width="19.28515625" style="898" customWidth="1"/>
    <col min="4878" max="4878" width="21.7109375" style="898" customWidth="1"/>
    <col min="4879" max="4879" width="20.7109375" style="898" customWidth="1"/>
    <col min="4880" max="4880" width="14.140625" style="898" customWidth="1"/>
    <col min="4881" max="4881" width="13.42578125" style="898" customWidth="1"/>
    <col min="4882" max="4882" width="45.140625" style="898" customWidth="1"/>
    <col min="4883" max="4883" width="22.42578125" style="898" customWidth="1"/>
    <col min="4884" max="4884" width="20.5703125" style="898" customWidth="1"/>
    <col min="4885" max="4893" width="11.42578125" style="898" customWidth="1"/>
    <col min="4894" max="4894" width="11.5703125" style="898" bestFit="1" customWidth="1"/>
    <col min="4895" max="4896" width="9.140625" style="898"/>
    <col min="4897" max="4897" width="11.5703125" style="898" bestFit="1" customWidth="1"/>
    <col min="4898" max="4898" width="12.7109375" style="898" bestFit="1" customWidth="1"/>
    <col min="4899" max="5126" width="9.140625" style="898"/>
    <col min="5127" max="5127" width="5.5703125" style="898" customWidth="1"/>
    <col min="5128" max="5128" width="7.7109375" style="898" customWidth="1"/>
    <col min="5129" max="5129" width="15.42578125" style="898" customWidth="1"/>
    <col min="5130" max="5130" width="19.42578125" style="898" customWidth="1"/>
    <col min="5131" max="5131" width="21.42578125" style="898" customWidth="1"/>
    <col min="5132" max="5132" width="20" style="898" customWidth="1"/>
    <col min="5133" max="5133" width="19.28515625" style="898" customWidth="1"/>
    <col min="5134" max="5134" width="21.7109375" style="898" customWidth="1"/>
    <col min="5135" max="5135" width="20.7109375" style="898" customWidth="1"/>
    <col min="5136" max="5136" width="14.140625" style="898" customWidth="1"/>
    <col min="5137" max="5137" width="13.42578125" style="898" customWidth="1"/>
    <col min="5138" max="5138" width="45.140625" style="898" customWidth="1"/>
    <col min="5139" max="5139" width="22.42578125" style="898" customWidth="1"/>
    <col min="5140" max="5140" width="20.5703125" style="898" customWidth="1"/>
    <col min="5141" max="5149" width="11.42578125" style="898" customWidth="1"/>
    <col min="5150" max="5150" width="11.5703125" style="898" bestFit="1" customWidth="1"/>
    <col min="5151" max="5152" width="9.140625" style="898"/>
    <col min="5153" max="5153" width="11.5703125" style="898" bestFit="1" customWidth="1"/>
    <col min="5154" max="5154" width="12.7109375" style="898" bestFit="1" customWidth="1"/>
    <col min="5155" max="5382" width="9.140625" style="898"/>
    <col min="5383" max="5383" width="5.5703125" style="898" customWidth="1"/>
    <col min="5384" max="5384" width="7.7109375" style="898" customWidth="1"/>
    <col min="5385" max="5385" width="15.42578125" style="898" customWidth="1"/>
    <col min="5386" max="5386" width="19.42578125" style="898" customWidth="1"/>
    <col min="5387" max="5387" width="21.42578125" style="898" customWidth="1"/>
    <col min="5388" max="5388" width="20" style="898" customWidth="1"/>
    <col min="5389" max="5389" width="19.28515625" style="898" customWidth="1"/>
    <col min="5390" max="5390" width="21.7109375" style="898" customWidth="1"/>
    <col min="5391" max="5391" width="20.7109375" style="898" customWidth="1"/>
    <col min="5392" max="5392" width="14.140625" style="898" customWidth="1"/>
    <col min="5393" max="5393" width="13.42578125" style="898" customWidth="1"/>
    <col min="5394" max="5394" width="45.140625" style="898" customWidth="1"/>
    <col min="5395" max="5395" width="22.42578125" style="898" customWidth="1"/>
    <col min="5396" max="5396" width="20.5703125" style="898" customWidth="1"/>
    <col min="5397" max="5405" width="11.42578125" style="898" customWidth="1"/>
    <col min="5406" max="5406" width="11.5703125" style="898" bestFit="1" customWidth="1"/>
    <col min="5407" max="5408" width="9.140625" style="898"/>
    <col min="5409" max="5409" width="11.5703125" style="898" bestFit="1" customWidth="1"/>
    <col min="5410" max="5410" width="12.7109375" style="898" bestFit="1" customWidth="1"/>
    <col min="5411" max="5638" width="9.140625" style="898"/>
    <col min="5639" max="5639" width="5.5703125" style="898" customWidth="1"/>
    <col min="5640" max="5640" width="7.7109375" style="898" customWidth="1"/>
    <col min="5641" max="5641" width="15.42578125" style="898" customWidth="1"/>
    <col min="5642" max="5642" width="19.42578125" style="898" customWidth="1"/>
    <col min="5643" max="5643" width="21.42578125" style="898" customWidth="1"/>
    <col min="5644" max="5644" width="20" style="898" customWidth="1"/>
    <col min="5645" max="5645" width="19.28515625" style="898" customWidth="1"/>
    <col min="5646" max="5646" width="21.7109375" style="898" customWidth="1"/>
    <col min="5647" max="5647" width="20.7109375" style="898" customWidth="1"/>
    <col min="5648" max="5648" width="14.140625" style="898" customWidth="1"/>
    <col min="5649" max="5649" width="13.42578125" style="898" customWidth="1"/>
    <col min="5650" max="5650" width="45.140625" style="898" customWidth="1"/>
    <col min="5651" max="5651" width="22.42578125" style="898" customWidth="1"/>
    <col min="5652" max="5652" width="20.5703125" style="898" customWidth="1"/>
    <col min="5653" max="5661" width="11.42578125" style="898" customWidth="1"/>
    <col min="5662" max="5662" width="11.5703125" style="898" bestFit="1" customWidth="1"/>
    <col min="5663" max="5664" width="9.140625" style="898"/>
    <col min="5665" max="5665" width="11.5703125" style="898" bestFit="1" customWidth="1"/>
    <col min="5666" max="5666" width="12.7109375" style="898" bestFit="1" customWidth="1"/>
    <col min="5667" max="5894" width="9.140625" style="898"/>
    <col min="5895" max="5895" width="5.5703125" style="898" customWidth="1"/>
    <col min="5896" max="5896" width="7.7109375" style="898" customWidth="1"/>
    <col min="5897" max="5897" width="15.42578125" style="898" customWidth="1"/>
    <col min="5898" max="5898" width="19.42578125" style="898" customWidth="1"/>
    <col min="5899" max="5899" width="21.42578125" style="898" customWidth="1"/>
    <col min="5900" max="5900" width="20" style="898" customWidth="1"/>
    <col min="5901" max="5901" width="19.28515625" style="898" customWidth="1"/>
    <col min="5902" max="5902" width="21.7109375" style="898" customWidth="1"/>
    <col min="5903" max="5903" width="20.7109375" style="898" customWidth="1"/>
    <col min="5904" max="5904" width="14.140625" style="898" customWidth="1"/>
    <col min="5905" max="5905" width="13.42578125" style="898" customWidth="1"/>
    <col min="5906" max="5906" width="45.140625" style="898" customWidth="1"/>
    <col min="5907" max="5907" width="22.42578125" style="898" customWidth="1"/>
    <col min="5908" max="5908" width="20.5703125" style="898" customWidth="1"/>
    <col min="5909" max="5917" width="11.42578125" style="898" customWidth="1"/>
    <col min="5918" max="5918" width="11.5703125" style="898" bestFit="1" customWidth="1"/>
    <col min="5919" max="5920" width="9.140625" style="898"/>
    <col min="5921" max="5921" width="11.5703125" style="898" bestFit="1" customWidth="1"/>
    <col min="5922" max="5922" width="12.7109375" style="898" bestFit="1" customWidth="1"/>
    <col min="5923" max="6150" width="9.140625" style="898"/>
    <col min="6151" max="6151" width="5.5703125" style="898" customWidth="1"/>
    <col min="6152" max="6152" width="7.7109375" style="898" customWidth="1"/>
    <col min="6153" max="6153" width="15.42578125" style="898" customWidth="1"/>
    <col min="6154" max="6154" width="19.42578125" style="898" customWidth="1"/>
    <col min="6155" max="6155" width="21.42578125" style="898" customWidth="1"/>
    <col min="6156" max="6156" width="20" style="898" customWidth="1"/>
    <col min="6157" max="6157" width="19.28515625" style="898" customWidth="1"/>
    <col min="6158" max="6158" width="21.7109375" style="898" customWidth="1"/>
    <col min="6159" max="6159" width="20.7109375" style="898" customWidth="1"/>
    <col min="6160" max="6160" width="14.140625" style="898" customWidth="1"/>
    <col min="6161" max="6161" width="13.42578125" style="898" customWidth="1"/>
    <col min="6162" max="6162" width="45.140625" style="898" customWidth="1"/>
    <col min="6163" max="6163" width="22.42578125" style="898" customWidth="1"/>
    <col min="6164" max="6164" width="20.5703125" style="898" customWidth="1"/>
    <col min="6165" max="6173" width="11.42578125" style="898" customWidth="1"/>
    <col min="6174" max="6174" width="11.5703125" style="898" bestFit="1" customWidth="1"/>
    <col min="6175" max="6176" width="9.140625" style="898"/>
    <col min="6177" max="6177" width="11.5703125" style="898" bestFit="1" customWidth="1"/>
    <col min="6178" max="6178" width="12.7109375" style="898" bestFit="1" customWidth="1"/>
    <col min="6179" max="6406" width="9.140625" style="898"/>
    <col min="6407" max="6407" width="5.5703125" style="898" customWidth="1"/>
    <col min="6408" max="6408" width="7.7109375" style="898" customWidth="1"/>
    <col min="6409" max="6409" width="15.42578125" style="898" customWidth="1"/>
    <col min="6410" max="6410" width="19.42578125" style="898" customWidth="1"/>
    <col min="6411" max="6411" width="21.42578125" style="898" customWidth="1"/>
    <col min="6412" max="6412" width="20" style="898" customWidth="1"/>
    <col min="6413" max="6413" width="19.28515625" style="898" customWidth="1"/>
    <col min="6414" max="6414" width="21.7109375" style="898" customWidth="1"/>
    <col min="6415" max="6415" width="20.7109375" style="898" customWidth="1"/>
    <col min="6416" max="6416" width="14.140625" style="898" customWidth="1"/>
    <col min="6417" max="6417" width="13.42578125" style="898" customWidth="1"/>
    <col min="6418" max="6418" width="45.140625" style="898" customWidth="1"/>
    <col min="6419" max="6419" width="22.42578125" style="898" customWidth="1"/>
    <col min="6420" max="6420" width="20.5703125" style="898" customWidth="1"/>
    <col min="6421" max="6429" width="11.42578125" style="898" customWidth="1"/>
    <col min="6430" max="6430" width="11.5703125" style="898" bestFit="1" customWidth="1"/>
    <col min="6431" max="6432" width="9.140625" style="898"/>
    <col min="6433" max="6433" width="11.5703125" style="898" bestFit="1" customWidth="1"/>
    <col min="6434" max="6434" width="12.7109375" style="898" bestFit="1" customWidth="1"/>
    <col min="6435" max="6662" width="9.140625" style="898"/>
    <col min="6663" max="6663" width="5.5703125" style="898" customWidth="1"/>
    <col min="6664" max="6664" width="7.7109375" style="898" customWidth="1"/>
    <col min="6665" max="6665" width="15.42578125" style="898" customWidth="1"/>
    <col min="6666" max="6666" width="19.42578125" style="898" customWidth="1"/>
    <col min="6667" max="6667" width="21.42578125" style="898" customWidth="1"/>
    <col min="6668" max="6668" width="20" style="898" customWidth="1"/>
    <col min="6669" max="6669" width="19.28515625" style="898" customWidth="1"/>
    <col min="6670" max="6670" width="21.7109375" style="898" customWidth="1"/>
    <col min="6671" max="6671" width="20.7109375" style="898" customWidth="1"/>
    <col min="6672" max="6672" width="14.140625" style="898" customWidth="1"/>
    <col min="6673" max="6673" width="13.42578125" style="898" customWidth="1"/>
    <col min="6674" max="6674" width="45.140625" style="898" customWidth="1"/>
    <col min="6675" max="6675" width="22.42578125" style="898" customWidth="1"/>
    <col min="6676" max="6676" width="20.5703125" style="898" customWidth="1"/>
    <col min="6677" max="6685" width="11.42578125" style="898" customWidth="1"/>
    <col min="6686" max="6686" width="11.5703125" style="898" bestFit="1" customWidth="1"/>
    <col min="6687" max="6688" width="9.140625" style="898"/>
    <col min="6689" max="6689" width="11.5703125" style="898" bestFit="1" customWidth="1"/>
    <col min="6690" max="6690" width="12.7109375" style="898" bestFit="1" customWidth="1"/>
    <col min="6691" max="6918" width="9.140625" style="898"/>
    <col min="6919" max="6919" width="5.5703125" style="898" customWidth="1"/>
    <col min="6920" max="6920" width="7.7109375" style="898" customWidth="1"/>
    <col min="6921" max="6921" width="15.42578125" style="898" customWidth="1"/>
    <col min="6922" max="6922" width="19.42578125" style="898" customWidth="1"/>
    <col min="6923" max="6923" width="21.42578125" style="898" customWidth="1"/>
    <col min="6924" max="6924" width="20" style="898" customWidth="1"/>
    <col min="6925" max="6925" width="19.28515625" style="898" customWidth="1"/>
    <col min="6926" max="6926" width="21.7109375" style="898" customWidth="1"/>
    <col min="6927" max="6927" width="20.7109375" style="898" customWidth="1"/>
    <col min="6928" max="6928" width="14.140625" style="898" customWidth="1"/>
    <col min="6929" max="6929" width="13.42578125" style="898" customWidth="1"/>
    <col min="6930" max="6930" width="45.140625" style="898" customWidth="1"/>
    <col min="6931" max="6931" width="22.42578125" style="898" customWidth="1"/>
    <col min="6932" max="6932" width="20.5703125" style="898" customWidth="1"/>
    <col min="6933" max="6941" width="11.42578125" style="898" customWidth="1"/>
    <col min="6942" max="6942" width="11.5703125" style="898" bestFit="1" customWidth="1"/>
    <col min="6943" max="6944" width="9.140625" style="898"/>
    <col min="6945" max="6945" width="11.5703125" style="898" bestFit="1" customWidth="1"/>
    <col min="6946" max="6946" width="12.7109375" style="898" bestFit="1" customWidth="1"/>
    <col min="6947" max="7174" width="9.140625" style="898"/>
    <col min="7175" max="7175" width="5.5703125" style="898" customWidth="1"/>
    <col min="7176" max="7176" width="7.7109375" style="898" customWidth="1"/>
    <col min="7177" max="7177" width="15.42578125" style="898" customWidth="1"/>
    <col min="7178" max="7178" width="19.42578125" style="898" customWidth="1"/>
    <col min="7179" max="7179" width="21.42578125" style="898" customWidth="1"/>
    <col min="7180" max="7180" width="20" style="898" customWidth="1"/>
    <col min="7181" max="7181" width="19.28515625" style="898" customWidth="1"/>
    <col min="7182" max="7182" width="21.7109375" style="898" customWidth="1"/>
    <col min="7183" max="7183" width="20.7109375" style="898" customWidth="1"/>
    <col min="7184" max="7184" width="14.140625" style="898" customWidth="1"/>
    <col min="7185" max="7185" width="13.42578125" style="898" customWidth="1"/>
    <col min="7186" max="7186" width="45.140625" style="898" customWidth="1"/>
    <col min="7187" max="7187" width="22.42578125" style="898" customWidth="1"/>
    <col min="7188" max="7188" width="20.5703125" style="898" customWidth="1"/>
    <col min="7189" max="7197" width="11.42578125" style="898" customWidth="1"/>
    <col min="7198" max="7198" width="11.5703125" style="898" bestFit="1" customWidth="1"/>
    <col min="7199" max="7200" width="9.140625" style="898"/>
    <col min="7201" max="7201" width="11.5703125" style="898" bestFit="1" customWidth="1"/>
    <col min="7202" max="7202" width="12.7109375" style="898" bestFit="1" customWidth="1"/>
    <col min="7203" max="7430" width="9.140625" style="898"/>
    <col min="7431" max="7431" width="5.5703125" style="898" customWidth="1"/>
    <col min="7432" max="7432" width="7.7109375" style="898" customWidth="1"/>
    <col min="7433" max="7433" width="15.42578125" style="898" customWidth="1"/>
    <col min="7434" max="7434" width="19.42578125" style="898" customWidth="1"/>
    <col min="7435" max="7435" width="21.42578125" style="898" customWidth="1"/>
    <col min="7436" max="7436" width="20" style="898" customWidth="1"/>
    <col min="7437" max="7437" width="19.28515625" style="898" customWidth="1"/>
    <col min="7438" max="7438" width="21.7109375" style="898" customWidth="1"/>
    <col min="7439" max="7439" width="20.7109375" style="898" customWidth="1"/>
    <col min="7440" max="7440" width="14.140625" style="898" customWidth="1"/>
    <col min="7441" max="7441" width="13.42578125" style="898" customWidth="1"/>
    <col min="7442" max="7442" width="45.140625" style="898" customWidth="1"/>
    <col min="7443" max="7443" width="22.42578125" style="898" customWidth="1"/>
    <col min="7444" max="7444" width="20.5703125" style="898" customWidth="1"/>
    <col min="7445" max="7453" width="11.42578125" style="898" customWidth="1"/>
    <col min="7454" max="7454" width="11.5703125" style="898" bestFit="1" customWidth="1"/>
    <col min="7455" max="7456" width="9.140625" style="898"/>
    <col min="7457" max="7457" width="11.5703125" style="898" bestFit="1" customWidth="1"/>
    <col min="7458" max="7458" width="12.7109375" style="898" bestFit="1" customWidth="1"/>
    <col min="7459" max="7686" width="9.140625" style="898"/>
    <col min="7687" max="7687" width="5.5703125" style="898" customWidth="1"/>
    <col min="7688" max="7688" width="7.7109375" style="898" customWidth="1"/>
    <col min="7689" max="7689" width="15.42578125" style="898" customWidth="1"/>
    <col min="7690" max="7690" width="19.42578125" style="898" customWidth="1"/>
    <col min="7691" max="7691" width="21.42578125" style="898" customWidth="1"/>
    <col min="7692" max="7692" width="20" style="898" customWidth="1"/>
    <col min="7693" max="7693" width="19.28515625" style="898" customWidth="1"/>
    <col min="7694" max="7694" width="21.7109375" style="898" customWidth="1"/>
    <col min="7695" max="7695" width="20.7109375" style="898" customWidth="1"/>
    <col min="7696" max="7696" width="14.140625" style="898" customWidth="1"/>
    <col min="7697" max="7697" width="13.42578125" style="898" customWidth="1"/>
    <col min="7698" max="7698" width="45.140625" style="898" customWidth="1"/>
    <col min="7699" max="7699" width="22.42578125" style="898" customWidth="1"/>
    <col min="7700" max="7700" width="20.5703125" style="898" customWidth="1"/>
    <col min="7701" max="7709" width="11.42578125" style="898" customWidth="1"/>
    <col min="7710" max="7710" width="11.5703125" style="898" bestFit="1" customWidth="1"/>
    <col min="7711" max="7712" width="9.140625" style="898"/>
    <col min="7713" max="7713" width="11.5703125" style="898" bestFit="1" customWidth="1"/>
    <col min="7714" max="7714" width="12.7109375" style="898" bestFit="1" customWidth="1"/>
    <col min="7715" max="7942" width="9.140625" style="898"/>
    <col min="7943" max="7943" width="5.5703125" style="898" customWidth="1"/>
    <col min="7944" max="7944" width="7.7109375" style="898" customWidth="1"/>
    <col min="7945" max="7945" width="15.42578125" style="898" customWidth="1"/>
    <col min="7946" max="7946" width="19.42578125" style="898" customWidth="1"/>
    <col min="7947" max="7947" width="21.42578125" style="898" customWidth="1"/>
    <col min="7948" max="7948" width="20" style="898" customWidth="1"/>
    <col min="7949" max="7949" width="19.28515625" style="898" customWidth="1"/>
    <col min="7950" max="7950" width="21.7109375" style="898" customWidth="1"/>
    <col min="7951" max="7951" width="20.7109375" style="898" customWidth="1"/>
    <col min="7952" max="7952" width="14.140625" style="898" customWidth="1"/>
    <col min="7953" max="7953" width="13.42578125" style="898" customWidth="1"/>
    <col min="7954" max="7954" width="45.140625" style="898" customWidth="1"/>
    <col min="7955" max="7955" width="22.42578125" style="898" customWidth="1"/>
    <col min="7956" max="7956" width="20.5703125" style="898" customWidth="1"/>
    <col min="7957" max="7965" width="11.42578125" style="898" customWidth="1"/>
    <col min="7966" max="7966" width="11.5703125" style="898" bestFit="1" customWidth="1"/>
    <col min="7967" max="7968" width="9.140625" style="898"/>
    <col min="7969" max="7969" width="11.5703125" style="898" bestFit="1" customWidth="1"/>
    <col min="7970" max="7970" width="12.7109375" style="898" bestFit="1" customWidth="1"/>
    <col min="7971" max="8198" width="9.140625" style="898"/>
    <col min="8199" max="8199" width="5.5703125" style="898" customWidth="1"/>
    <col min="8200" max="8200" width="7.7109375" style="898" customWidth="1"/>
    <col min="8201" max="8201" width="15.42578125" style="898" customWidth="1"/>
    <col min="8202" max="8202" width="19.42578125" style="898" customWidth="1"/>
    <col min="8203" max="8203" width="21.42578125" style="898" customWidth="1"/>
    <col min="8204" max="8204" width="20" style="898" customWidth="1"/>
    <col min="8205" max="8205" width="19.28515625" style="898" customWidth="1"/>
    <col min="8206" max="8206" width="21.7109375" style="898" customWidth="1"/>
    <col min="8207" max="8207" width="20.7109375" style="898" customWidth="1"/>
    <col min="8208" max="8208" width="14.140625" style="898" customWidth="1"/>
    <col min="8209" max="8209" width="13.42578125" style="898" customWidth="1"/>
    <col min="8210" max="8210" width="45.140625" style="898" customWidth="1"/>
    <col min="8211" max="8211" width="22.42578125" style="898" customWidth="1"/>
    <col min="8212" max="8212" width="20.5703125" style="898" customWidth="1"/>
    <col min="8213" max="8221" width="11.42578125" style="898" customWidth="1"/>
    <col min="8222" max="8222" width="11.5703125" style="898" bestFit="1" customWidth="1"/>
    <col min="8223" max="8224" width="9.140625" style="898"/>
    <col min="8225" max="8225" width="11.5703125" style="898" bestFit="1" customWidth="1"/>
    <col min="8226" max="8226" width="12.7109375" style="898" bestFit="1" customWidth="1"/>
    <col min="8227" max="8454" width="9.140625" style="898"/>
    <col min="8455" max="8455" width="5.5703125" style="898" customWidth="1"/>
    <col min="8456" max="8456" width="7.7109375" style="898" customWidth="1"/>
    <col min="8457" max="8457" width="15.42578125" style="898" customWidth="1"/>
    <col min="8458" max="8458" width="19.42578125" style="898" customWidth="1"/>
    <col min="8459" max="8459" width="21.42578125" style="898" customWidth="1"/>
    <col min="8460" max="8460" width="20" style="898" customWidth="1"/>
    <col min="8461" max="8461" width="19.28515625" style="898" customWidth="1"/>
    <col min="8462" max="8462" width="21.7109375" style="898" customWidth="1"/>
    <col min="8463" max="8463" width="20.7109375" style="898" customWidth="1"/>
    <col min="8464" max="8464" width="14.140625" style="898" customWidth="1"/>
    <col min="8465" max="8465" width="13.42578125" style="898" customWidth="1"/>
    <col min="8466" max="8466" width="45.140625" style="898" customWidth="1"/>
    <col min="8467" max="8467" width="22.42578125" style="898" customWidth="1"/>
    <col min="8468" max="8468" width="20.5703125" style="898" customWidth="1"/>
    <col min="8469" max="8477" width="11.42578125" style="898" customWidth="1"/>
    <col min="8478" max="8478" width="11.5703125" style="898" bestFit="1" customWidth="1"/>
    <col min="8479" max="8480" width="9.140625" style="898"/>
    <col min="8481" max="8481" width="11.5703125" style="898" bestFit="1" customWidth="1"/>
    <col min="8482" max="8482" width="12.7109375" style="898" bestFit="1" customWidth="1"/>
    <col min="8483" max="8710" width="9.140625" style="898"/>
    <col min="8711" max="8711" width="5.5703125" style="898" customWidth="1"/>
    <col min="8712" max="8712" width="7.7109375" style="898" customWidth="1"/>
    <col min="8713" max="8713" width="15.42578125" style="898" customWidth="1"/>
    <col min="8714" max="8714" width="19.42578125" style="898" customWidth="1"/>
    <col min="8715" max="8715" width="21.42578125" style="898" customWidth="1"/>
    <col min="8716" max="8716" width="20" style="898" customWidth="1"/>
    <col min="8717" max="8717" width="19.28515625" style="898" customWidth="1"/>
    <col min="8718" max="8718" width="21.7109375" style="898" customWidth="1"/>
    <col min="8719" max="8719" width="20.7109375" style="898" customWidth="1"/>
    <col min="8720" max="8720" width="14.140625" style="898" customWidth="1"/>
    <col min="8721" max="8721" width="13.42578125" style="898" customWidth="1"/>
    <col min="8722" max="8722" width="45.140625" style="898" customWidth="1"/>
    <col min="8723" max="8723" width="22.42578125" style="898" customWidth="1"/>
    <col min="8724" max="8724" width="20.5703125" style="898" customWidth="1"/>
    <col min="8725" max="8733" width="11.42578125" style="898" customWidth="1"/>
    <col min="8734" max="8734" width="11.5703125" style="898" bestFit="1" customWidth="1"/>
    <col min="8735" max="8736" width="9.140625" style="898"/>
    <col min="8737" max="8737" width="11.5703125" style="898" bestFit="1" customWidth="1"/>
    <col min="8738" max="8738" width="12.7109375" style="898" bestFit="1" customWidth="1"/>
    <col min="8739" max="8966" width="9.140625" style="898"/>
    <col min="8967" max="8967" width="5.5703125" style="898" customWidth="1"/>
    <col min="8968" max="8968" width="7.7109375" style="898" customWidth="1"/>
    <col min="8969" max="8969" width="15.42578125" style="898" customWidth="1"/>
    <col min="8970" max="8970" width="19.42578125" style="898" customWidth="1"/>
    <col min="8971" max="8971" width="21.42578125" style="898" customWidth="1"/>
    <col min="8972" max="8972" width="20" style="898" customWidth="1"/>
    <col min="8973" max="8973" width="19.28515625" style="898" customWidth="1"/>
    <col min="8974" max="8974" width="21.7109375" style="898" customWidth="1"/>
    <col min="8975" max="8975" width="20.7109375" style="898" customWidth="1"/>
    <col min="8976" max="8976" width="14.140625" style="898" customWidth="1"/>
    <col min="8977" max="8977" width="13.42578125" style="898" customWidth="1"/>
    <col min="8978" max="8978" width="45.140625" style="898" customWidth="1"/>
    <col min="8979" max="8979" width="22.42578125" style="898" customWidth="1"/>
    <col min="8980" max="8980" width="20.5703125" style="898" customWidth="1"/>
    <col min="8981" max="8989" width="11.42578125" style="898" customWidth="1"/>
    <col min="8990" max="8990" width="11.5703125" style="898" bestFit="1" customWidth="1"/>
    <col min="8991" max="8992" width="9.140625" style="898"/>
    <col min="8993" max="8993" width="11.5703125" style="898" bestFit="1" customWidth="1"/>
    <col min="8994" max="8994" width="12.7109375" style="898" bestFit="1" customWidth="1"/>
    <col min="8995" max="9222" width="9.140625" style="898"/>
    <col min="9223" max="9223" width="5.5703125" style="898" customWidth="1"/>
    <col min="9224" max="9224" width="7.7109375" style="898" customWidth="1"/>
    <col min="9225" max="9225" width="15.42578125" style="898" customWidth="1"/>
    <col min="9226" max="9226" width="19.42578125" style="898" customWidth="1"/>
    <col min="9227" max="9227" width="21.42578125" style="898" customWidth="1"/>
    <col min="9228" max="9228" width="20" style="898" customWidth="1"/>
    <col min="9229" max="9229" width="19.28515625" style="898" customWidth="1"/>
    <col min="9230" max="9230" width="21.7109375" style="898" customWidth="1"/>
    <col min="9231" max="9231" width="20.7109375" style="898" customWidth="1"/>
    <col min="9232" max="9232" width="14.140625" style="898" customWidth="1"/>
    <col min="9233" max="9233" width="13.42578125" style="898" customWidth="1"/>
    <col min="9234" max="9234" width="45.140625" style="898" customWidth="1"/>
    <col min="9235" max="9235" width="22.42578125" style="898" customWidth="1"/>
    <col min="9236" max="9236" width="20.5703125" style="898" customWidth="1"/>
    <col min="9237" max="9245" width="11.42578125" style="898" customWidth="1"/>
    <col min="9246" max="9246" width="11.5703125" style="898" bestFit="1" customWidth="1"/>
    <col min="9247" max="9248" width="9.140625" style="898"/>
    <col min="9249" max="9249" width="11.5703125" style="898" bestFit="1" customWidth="1"/>
    <col min="9250" max="9250" width="12.7109375" style="898" bestFit="1" customWidth="1"/>
    <col min="9251" max="9478" width="9.140625" style="898"/>
    <col min="9479" max="9479" width="5.5703125" style="898" customWidth="1"/>
    <col min="9480" max="9480" width="7.7109375" style="898" customWidth="1"/>
    <col min="9481" max="9481" width="15.42578125" style="898" customWidth="1"/>
    <col min="9482" max="9482" width="19.42578125" style="898" customWidth="1"/>
    <col min="9483" max="9483" width="21.42578125" style="898" customWidth="1"/>
    <col min="9484" max="9484" width="20" style="898" customWidth="1"/>
    <col min="9485" max="9485" width="19.28515625" style="898" customWidth="1"/>
    <col min="9486" max="9486" width="21.7109375" style="898" customWidth="1"/>
    <col min="9487" max="9487" width="20.7109375" style="898" customWidth="1"/>
    <col min="9488" max="9488" width="14.140625" style="898" customWidth="1"/>
    <col min="9489" max="9489" width="13.42578125" style="898" customWidth="1"/>
    <col min="9490" max="9490" width="45.140625" style="898" customWidth="1"/>
    <col min="9491" max="9491" width="22.42578125" style="898" customWidth="1"/>
    <col min="9492" max="9492" width="20.5703125" style="898" customWidth="1"/>
    <col min="9493" max="9501" width="11.42578125" style="898" customWidth="1"/>
    <col min="9502" max="9502" width="11.5703125" style="898" bestFit="1" customWidth="1"/>
    <col min="9503" max="9504" width="9.140625" style="898"/>
    <col min="9505" max="9505" width="11.5703125" style="898" bestFit="1" customWidth="1"/>
    <col min="9506" max="9506" width="12.7109375" style="898" bestFit="1" customWidth="1"/>
    <col min="9507" max="9734" width="9.140625" style="898"/>
    <col min="9735" max="9735" width="5.5703125" style="898" customWidth="1"/>
    <col min="9736" max="9736" width="7.7109375" style="898" customWidth="1"/>
    <col min="9737" max="9737" width="15.42578125" style="898" customWidth="1"/>
    <col min="9738" max="9738" width="19.42578125" style="898" customWidth="1"/>
    <col min="9739" max="9739" width="21.42578125" style="898" customWidth="1"/>
    <col min="9740" max="9740" width="20" style="898" customWidth="1"/>
    <col min="9741" max="9741" width="19.28515625" style="898" customWidth="1"/>
    <col min="9742" max="9742" width="21.7109375" style="898" customWidth="1"/>
    <col min="9743" max="9743" width="20.7109375" style="898" customWidth="1"/>
    <col min="9744" max="9744" width="14.140625" style="898" customWidth="1"/>
    <col min="9745" max="9745" width="13.42578125" style="898" customWidth="1"/>
    <col min="9746" max="9746" width="45.140625" style="898" customWidth="1"/>
    <col min="9747" max="9747" width="22.42578125" style="898" customWidth="1"/>
    <col min="9748" max="9748" width="20.5703125" style="898" customWidth="1"/>
    <col min="9749" max="9757" width="11.42578125" style="898" customWidth="1"/>
    <col min="9758" max="9758" width="11.5703125" style="898" bestFit="1" customWidth="1"/>
    <col min="9759" max="9760" width="9.140625" style="898"/>
    <col min="9761" max="9761" width="11.5703125" style="898" bestFit="1" customWidth="1"/>
    <col min="9762" max="9762" width="12.7109375" style="898" bestFit="1" customWidth="1"/>
    <col min="9763" max="9990" width="9.140625" style="898"/>
    <col min="9991" max="9991" width="5.5703125" style="898" customWidth="1"/>
    <col min="9992" max="9992" width="7.7109375" style="898" customWidth="1"/>
    <col min="9993" max="9993" width="15.42578125" style="898" customWidth="1"/>
    <col min="9994" max="9994" width="19.42578125" style="898" customWidth="1"/>
    <col min="9995" max="9995" width="21.42578125" style="898" customWidth="1"/>
    <col min="9996" max="9996" width="20" style="898" customWidth="1"/>
    <col min="9997" max="9997" width="19.28515625" style="898" customWidth="1"/>
    <col min="9998" max="9998" width="21.7109375" style="898" customWidth="1"/>
    <col min="9999" max="9999" width="20.7109375" style="898" customWidth="1"/>
    <col min="10000" max="10000" width="14.140625" style="898" customWidth="1"/>
    <col min="10001" max="10001" width="13.42578125" style="898" customWidth="1"/>
    <col min="10002" max="10002" width="45.140625" style="898" customWidth="1"/>
    <col min="10003" max="10003" width="22.42578125" style="898" customWidth="1"/>
    <col min="10004" max="10004" width="20.5703125" style="898" customWidth="1"/>
    <col min="10005" max="10013" width="11.42578125" style="898" customWidth="1"/>
    <col min="10014" max="10014" width="11.5703125" style="898" bestFit="1" customWidth="1"/>
    <col min="10015" max="10016" width="9.140625" style="898"/>
    <col min="10017" max="10017" width="11.5703125" style="898" bestFit="1" customWidth="1"/>
    <col min="10018" max="10018" width="12.7109375" style="898" bestFit="1" customWidth="1"/>
    <col min="10019" max="10246" width="9.140625" style="898"/>
    <col min="10247" max="10247" width="5.5703125" style="898" customWidth="1"/>
    <col min="10248" max="10248" width="7.7109375" style="898" customWidth="1"/>
    <col min="10249" max="10249" width="15.42578125" style="898" customWidth="1"/>
    <col min="10250" max="10250" width="19.42578125" style="898" customWidth="1"/>
    <col min="10251" max="10251" width="21.42578125" style="898" customWidth="1"/>
    <col min="10252" max="10252" width="20" style="898" customWidth="1"/>
    <col min="10253" max="10253" width="19.28515625" style="898" customWidth="1"/>
    <col min="10254" max="10254" width="21.7109375" style="898" customWidth="1"/>
    <col min="10255" max="10255" width="20.7109375" style="898" customWidth="1"/>
    <col min="10256" max="10256" width="14.140625" style="898" customWidth="1"/>
    <col min="10257" max="10257" width="13.42578125" style="898" customWidth="1"/>
    <col min="10258" max="10258" width="45.140625" style="898" customWidth="1"/>
    <col min="10259" max="10259" width="22.42578125" style="898" customWidth="1"/>
    <col min="10260" max="10260" width="20.5703125" style="898" customWidth="1"/>
    <col min="10261" max="10269" width="11.42578125" style="898" customWidth="1"/>
    <col min="10270" max="10270" width="11.5703125" style="898" bestFit="1" customWidth="1"/>
    <col min="10271" max="10272" width="9.140625" style="898"/>
    <col min="10273" max="10273" width="11.5703125" style="898" bestFit="1" customWidth="1"/>
    <col min="10274" max="10274" width="12.7109375" style="898" bestFit="1" customWidth="1"/>
    <col min="10275" max="10502" width="9.140625" style="898"/>
    <col min="10503" max="10503" width="5.5703125" style="898" customWidth="1"/>
    <col min="10504" max="10504" width="7.7109375" style="898" customWidth="1"/>
    <col min="10505" max="10505" width="15.42578125" style="898" customWidth="1"/>
    <col min="10506" max="10506" width="19.42578125" style="898" customWidth="1"/>
    <col min="10507" max="10507" width="21.42578125" style="898" customWidth="1"/>
    <col min="10508" max="10508" width="20" style="898" customWidth="1"/>
    <col min="10509" max="10509" width="19.28515625" style="898" customWidth="1"/>
    <col min="10510" max="10510" width="21.7109375" style="898" customWidth="1"/>
    <col min="10511" max="10511" width="20.7109375" style="898" customWidth="1"/>
    <col min="10512" max="10512" width="14.140625" style="898" customWidth="1"/>
    <col min="10513" max="10513" width="13.42578125" style="898" customWidth="1"/>
    <col min="10514" max="10514" width="45.140625" style="898" customWidth="1"/>
    <col min="10515" max="10515" width="22.42578125" style="898" customWidth="1"/>
    <col min="10516" max="10516" width="20.5703125" style="898" customWidth="1"/>
    <col min="10517" max="10525" width="11.42578125" style="898" customWidth="1"/>
    <col min="10526" max="10526" width="11.5703125" style="898" bestFit="1" customWidth="1"/>
    <col min="10527" max="10528" width="9.140625" style="898"/>
    <col min="10529" max="10529" width="11.5703125" style="898" bestFit="1" customWidth="1"/>
    <col min="10530" max="10530" width="12.7109375" style="898" bestFit="1" customWidth="1"/>
    <col min="10531" max="10758" width="9.140625" style="898"/>
    <col min="10759" max="10759" width="5.5703125" style="898" customWidth="1"/>
    <col min="10760" max="10760" width="7.7109375" style="898" customWidth="1"/>
    <col min="10761" max="10761" width="15.42578125" style="898" customWidth="1"/>
    <col min="10762" max="10762" width="19.42578125" style="898" customWidth="1"/>
    <col min="10763" max="10763" width="21.42578125" style="898" customWidth="1"/>
    <col min="10764" max="10764" width="20" style="898" customWidth="1"/>
    <col min="10765" max="10765" width="19.28515625" style="898" customWidth="1"/>
    <col min="10766" max="10766" width="21.7109375" style="898" customWidth="1"/>
    <col min="10767" max="10767" width="20.7109375" style="898" customWidth="1"/>
    <col min="10768" max="10768" width="14.140625" style="898" customWidth="1"/>
    <col min="10769" max="10769" width="13.42578125" style="898" customWidth="1"/>
    <col min="10770" max="10770" width="45.140625" style="898" customWidth="1"/>
    <col min="10771" max="10771" width="22.42578125" style="898" customWidth="1"/>
    <col min="10772" max="10772" width="20.5703125" style="898" customWidth="1"/>
    <col min="10773" max="10781" width="11.42578125" style="898" customWidth="1"/>
    <col min="10782" max="10782" width="11.5703125" style="898" bestFit="1" customWidth="1"/>
    <col min="10783" max="10784" width="9.140625" style="898"/>
    <col min="10785" max="10785" width="11.5703125" style="898" bestFit="1" customWidth="1"/>
    <col min="10786" max="10786" width="12.7109375" style="898" bestFit="1" customWidth="1"/>
    <col min="10787" max="11014" width="9.140625" style="898"/>
    <col min="11015" max="11015" width="5.5703125" style="898" customWidth="1"/>
    <col min="11016" max="11016" width="7.7109375" style="898" customWidth="1"/>
    <col min="11017" max="11017" width="15.42578125" style="898" customWidth="1"/>
    <col min="11018" max="11018" width="19.42578125" style="898" customWidth="1"/>
    <col min="11019" max="11019" width="21.42578125" style="898" customWidth="1"/>
    <col min="11020" max="11020" width="20" style="898" customWidth="1"/>
    <col min="11021" max="11021" width="19.28515625" style="898" customWidth="1"/>
    <col min="11022" max="11022" width="21.7109375" style="898" customWidth="1"/>
    <col min="11023" max="11023" width="20.7109375" style="898" customWidth="1"/>
    <col min="11024" max="11024" width="14.140625" style="898" customWidth="1"/>
    <col min="11025" max="11025" width="13.42578125" style="898" customWidth="1"/>
    <col min="11026" max="11026" width="45.140625" style="898" customWidth="1"/>
    <col min="11027" max="11027" width="22.42578125" style="898" customWidth="1"/>
    <col min="11028" max="11028" width="20.5703125" style="898" customWidth="1"/>
    <col min="11029" max="11037" width="11.42578125" style="898" customWidth="1"/>
    <col min="11038" max="11038" width="11.5703125" style="898" bestFit="1" customWidth="1"/>
    <col min="11039" max="11040" width="9.140625" style="898"/>
    <col min="11041" max="11041" width="11.5703125" style="898" bestFit="1" customWidth="1"/>
    <col min="11042" max="11042" width="12.7109375" style="898" bestFit="1" customWidth="1"/>
    <col min="11043" max="11270" width="9.140625" style="898"/>
    <col min="11271" max="11271" width="5.5703125" style="898" customWidth="1"/>
    <col min="11272" max="11272" width="7.7109375" style="898" customWidth="1"/>
    <col min="11273" max="11273" width="15.42578125" style="898" customWidth="1"/>
    <col min="11274" max="11274" width="19.42578125" style="898" customWidth="1"/>
    <col min="11275" max="11275" width="21.42578125" style="898" customWidth="1"/>
    <col min="11276" max="11276" width="20" style="898" customWidth="1"/>
    <col min="11277" max="11277" width="19.28515625" style="898" customWidth="1"/>
    <col min="11278" max="11278" width="21.7109375" style="898" customWidth="1"/>
    <col min="11279" max="11279" width="20.7109375" style="898" customWidth="1"/>
    <col min="11280" max="11280" width="14.140625" style="898" customWidth="1"/>
    <col min="11281" max="11281" width="13.42578125" style="898" customWidth="1"/>
    <col min="11282" max="11282" width="45.140625" style="898" customWidth="1"/>
    <col min="11283" max="11283" width="22.42578125" style="898" customWidth="1"/>
    <col min="11284" max="11284" width="20.5703125" style="898" customWidth="1"/>
    <col min="11285" max="11293" width="11.42578125" style="898" customWidth="1"/>
    <col min="11294" max="11294" width="11.5703125" style="898" bestFit="1" customWidth="1"/>
    <col min="11295" max="11296" width="9.140625" style="898"/>
    <col min="11297" max="11297" width="11.5703125" style="898" bestFit="1" customWidth="1"/>
    <col min="11298" max="11298" width="12.7109375" style="898" bestFit="1" customWidth="1"/>
    <col min="11299" max="11526" width="9.140625" style="898"/>
    <col min="11527" max="11527" width="5.5703125" style="898" customWidth="1"/>
    <col min="11528" max="11528" width="7.7109375" style="898" customWidth="1"/>
    <col min="11529" max="11529" width="15.42578125" style="898" customWidth="1"/>
    <col min="11530" max="11530" width="19.42578125" style="898" customWidth="1"/>
    <col min="11531" max="11531" width="21.42578125" style="898" customWidth="1"/>
    <col min="11532" max="11532" width="20" style="898" customWidth="1"/>
    <col min="11533" max="11533" width="19.28515625" style="898" customWidth="1"/>
    <col min="11534" max="11534" width="21.7109375" style="898" customWidth="1"/>
    <col min="11535" max="11535" width="20.7109375" style="898" customWidth="1"/>
    <col min="11536" max="11536" width="14.140625" style="898" customWidth="1"/>
    <col min="11537" max="11537" width="13.42578125" style="898" customWidth="1"/>
    <col min="11538" max="11538" width="45.140625" style="898" customWidth="1"/>
    <col min="11539" max="11539" width="22.42578125" style="898" customWidth="1"/>
    <col min="11540" max="11540" width="20.5703125" style="898" customWidth="1"/>
    <col min="11541" max="11549" width="11.42578125" style="898" customWidth="1"/>
    <col min="11550" max="11550" width="11.5703125" style="898" bestFit="1" customWidth="1"/>
    <col min="11551" max="11552" width="9.140625" style="898"/>
    <col min="11553" max="11553" width="11.5703125" style="898" bestFit="1" customWidth="1"/>
    <col min="11554" max="11554" width="12.7109375" style="898" bestFit="1" customWidth="1"/>
    <col min="11555" max="11782" width="9.140625" style="898"/>
    <col min="11783" max="11783" width="5.5703125" style="898" customWidth="1"/>
    <col min="11784" max="11784" width="7.7109375" style="898" customWidth="1"/>
    <col min="11785" max="11785" width="15.42578125" style="898" customWidth="1"/>
    <col min="11786" max="11786" width="19.42578125" style="898" customWidth="1"/>
    <col min="11787" max="11787" width="21.42578125" style="898" customWidth="1"/>
    <col min="11788" max="11788" width="20" style="898" customWidth="1"/>
    <col min="11789" max="11789" width="19.28515625" style="898" customWidth="1"/>
    <col min="11790" max="11790" width="21.7109375" style="898" customWidth="1"/>
    <col min="11791" max="11791" width="20.7109375" style="898" customWidth="1"/>
    <col min="11792" max="11792" width="14.140625" style="898" customWidth="1"/>
    <col min="11793" max="11793" width="13.42578125" style="898" customWidth="1"/>
    <col min="11794" max="11794" width="45.140625" style="898" customWidth="1"/>
    <col min="11795" max="11795" width="22.42578125" style="898" customWidth="1"/>
    <col min="11796" max="11796" width="20.5703125" style="898" customWidth="1"/>
    <col min="11797" max="11805" width="11.42578125" style="898" customWidth="1"/>
    <col min="11806" max="11806" width="11.5703125" style="898" bestFit="1" customWidth="1"/>
    <col min="11807" max="11808" width="9.140625" style="898"/>
    <col min="11809" max="11809" width="11.5703125" style="898" bestFit="1" customWidth="1"/>
    <col min="11810" max="11810" width="12.7109375" style="898" bestFit="1" customWidth="1"/>
    <col min="11811" max="12038" width="9.140625" style="898"/>
    <col min="12039" max="12039" width="5.5703125" style="898" customWidth="1"/>
    <col min="12040" max="12040" width="7.7109375" style="898" customWidth="1"/>
    <col min="12041" max="12041" width="15.42578125" style="898" customWidth="1"/>
    <col min="12042" max="12042" width="19.42578125" style="898" customWidth="1"/>
    <col min="12043" max="12043" width="21.42578125" style="898" customWidth="1"/>
    <col min="12044" max="12044" width="20" style="898" customWidth="1"/>
    <col min="12045" max="12045" width="19.28515625" style="898" customWidth="1"/>
    <col min="12046" max="12046" width="21.7109375" style="898" customWidth="1"/>
    <col min="12047" max="12047" width="20.7109375" style="898" customWidth="1"/>
    <col min="12048" max="12048" width="14.140625" style="898" customWidth="1"/>
    <col min="12049" max="12049" width="13.42578125" style="898" customWidth="1"/>
    <col min="12050" max="12050" width="45.140625" style="898" customWidth="1"/>
    <col min="12051" max="12051" width="22.42578125" style="898" customWidth="1"/>
    <col min="12052" max="12052" width="20.5703125" style="898" customWidth="1"/>
    <col min="12053" max="12061" width="11.42578125" style="898" customWidth="1"/>
    <col min="12062" max="12062" width="11.5703125" style="898" bestFit="1" customWidth="1"/>
    <col min="12063" max="12064" width="9.140625" style="898"/>
    <col min="12065" max="12065" width="11.5703125" style="898" bestFit="1" customWidth="1"/>
    <col min="12066" max="12066" width="12.7109375" style="898" bestFit="1" customWidth="1"/>
    <col min="12067" max="12294" width="9.140625" style="898"/>
    <col min="12295" max="12295" width="5.5703125" style="898" customWidth="1"/>
    <col min="12296" max="12296" width="7.7109375" style="898" customWidth="1"/>
    <col min="12297" max="12297" width="15.42578125" style="898" customWidth="1"/>
    <col min="12298" max="12298" width="19.42578125" style="898" customWidth="1"/>
    <col min="12299" max="12299" width="21.42578125" style="898" customWidth="1"/>
    <col min="12300" max="12300" width="20" style="898" customWidth="1"/>
    <col min="12301" max="12301" width="19.28515625" style="898" customWidth="1"/>
    <col min="12302" max="12302" width="21.7109375" style="898" customWidth="1"/>
    <col min="12303" max="12303" width="20.7109375" style="898" customWidth="1"/>
    <col min="12304" max="12304" width="14.140625" style="898" customWidth="1"/>
    <col min="12305" max="12305" width="13.42578125" style="898" customWidth="1"/>
    <col min="12306" max="12306" width="45.140625" style="898" customWidth="1"/>
    <col min="12307" max="12307" width="22.42578125" style="898" customWidth="1"/>
    <col min="12308" max="12308" width="20.5703125" style="898" customWidth="1"/>
    <col min="12309" max="12317" width="11.42578125" style="898" customWidth="1"/>
    <col min="12318" max="12318" width="11.5703125" style="898" bestFit="1" customWidth="1"/>
    <col min="12319" max="12320" width="9.140625" style="898"/>
    <col min="12321" max="12321" width="11.5703125" style="898" bestFit="1" customWidth="1"/>
    <col min="12322" max="12322" width="12.7109375" style="898" bestFit="1" customWidth="1"/>
    <col min="12323" max="12550" width="9.140625" style="898"/>
    <col min="12551" max="12551" width="5.5703125" style="898" customWidth="1"/>
    <col min="12552" max="12552" width="7.7109375" style="898" customWidth="1"/>
    <col min="12553" max="12553" width="15.42578125" style="898" customWidth="1"/>
    <col min="12554" max="12554" width="19.42578125" style="898" customWidth="1"/>
    <col min="12555" max="12555" width="21.42578125" style="898" customWidth="1"/>
    <col min="12556" max="12556" width="20" style="898" customWidth="1"/>
    <col min="12557" max="12557" width="19.28515625" style="898" customWidth="1"/>
    <col min="12558" max="12558" width="21.7109375" style="898" customWidth="1"/>
    <col min="12559" max="12559" width="20.7109375" style="898" customWidth="1"/>
    <col min="12560" max="12560" width="14.140625" style="898" customWidth="1"/>
    <col min="12561" max="12561" width="13.42578125" style="898" customWidth="1"/>
    <col min="12562" max="12562" width="45.140625" style="898" customWidth="1"/>
    <col min="12563" max="12563" width="22.42578125" style="898" customWidth="1"/>
    <col min="12564" max="12564" width="20.5703125" style="898" customWidth="1"/>
    <col min="12565" max="12573" width="11.42578125" style="898" customWidth="1"/>
    <col min="12574" max="12574" width="11.5703125" style="898" bestFit="1" customWidth="1"/>
    <col min="12575" max="12576" width="9.140625" style="898"/>
    <col min="12577" max="12577" width="11.5703125" style="898" bestFit="1" customWidth="1"/>
    <col min="12578" max="12578" width="12.7109375" style="898" bestFit="1" customWidth="1"/>
    <col min="12579" max="12806" width="9.140625" style="898"/>
    <col min="12807" max="12807" width="5.5703125" style="898" customWidth="1"/>
    <col min="12808" max="12808" width="7.7109375" style="898" customWidth="1"/>
    <col min="12809" max="12809" width="15.42578125" style="898" customWidth="1"/>
    <col min="12810" max="12810" width="19.42578125" style="898" customWidth="1"/>
    <col min="12811" max="12811" width="21.42578125" style="898" customWidth="1"/>
    <col min="12812" max="12812" width="20" style="898" customWidth="1"/>
    <col min="12813" max="12813" width="19.28515625" style="898" customWidth="1"/>
    <col min="12814" max="12814" width="21.7109375" style="898" customWidth="1"/>
    <col min="12815" max="12815" width="20.7109375" style="898" customWidth="1"/>
    <col min="12816" max="12816" width="14.140625" style="898" customWidth="1"/>
    <col min="12817" max="12817" width="13.42578125" style="898" customWidth="1"/>
    <col min="12818" max="12818" width="45.140625" style="898" customWidth="1"/>
    <col min="12819" max="12819" width="22.42578125" style="898" customWidth="1"/>
    <col min="12820" max="12820" width="20.5703125" style="898" customWidth="1"/>
    <col min="12821" max="12829" width="11.42578125" style="898" customWidth="1"/>
    <col min="12830" max="12830" width="11.5703125" style="898" bestFit="1" customWidth="1"/>
    <col min="12831" max="12832" width="9.140625" style="898"/>
    <col min="12833" max="12833" width="11.5703125" style="898" bestFit="1" customWidth="1"/>
    <col min="12834" max="12834" width="12.7109375" style="898" bestFit="1" customWidth="1"/>
    <col min="12835" max="13062" width="9.140625" style="898"/>
    <col min="13063" max="13063" width="5.5703125" style="898" customWidth="1"/>
    <col min="13064" max="13064" width="7.7109375" style="898" customWidth="1"/>
    <col min="13065" max="13065" width="15.42578125" style="898" customWidth="1"/>
    <col min="13066" max="13066" width="19.42578125" style="898" customWidth="1"/>
    <col min="13067" max="13067" width="21.42578125" style="898" customWidth="1"/>
    <col min="13068" max="13068" width="20" style="898" customWidth="1"/>
    <col min="13069" max="13069" width="19.28515625" style="898" customWidth="1"/>
    <col min="13070" max="13070" width="21.7109375" style="898" customWidth="1"/>
    <col min="13071" max="13071" width="20.7109375" style="898" customWidth="1"/>
    <col min="13072" max="13072" width="14.140625" style="898" customWidth="1"/>
    <col min="13073" max="13073" width="13.42578125" style="898" customWidth="1"/>
    <col min="13074" max="13074" width="45.140625" style="898" customWidth="1"/>
    <col min="13075" max="13075" width="22.42578125" style="898" customWidth="1"/>
    <col min="13076" max="13076" width="20.5703125" style="898" customWidth="1"/>
    <col min="13077" max="13085" width="11.42578125" style="898" customWidth="1"/>
    <col min="13086" max="13086" width="11.5703125" style="898" bestFit="1" customWidth="1"/>
    <col min="13087" max="13088" width="9.140625" style="898"/>
    <col min="13089" max="13089" width="11.5703125" style="898" bestFit="1" customWidth="1"/>
    <col min="13090" max="13090" width="12.7109375" style="898" bestFit="1" customWidth="1"/>
    <col min="13091" max="13318" width="9.140625" style="898"/>
    <col min="13319" max="13319" width="5.5703125" style="898" customWidth="1"/>
    <col min="13320" max="13320" width="7.7109375" style="898" customWidth="1"/>
    <col min="13321" max="13321" width="15.42578125" style="898" customWidth="1"/>
    <col min="13322" max="13322" width="19.42578125" style="898" customWidth="1"/>
    <col min="13323" max="13323" width="21.42578125" style="898" customWidth="1"/>
    <col min="13324" max="13324" width="20" style="898" customWidth="1"/>
    <col min="13325" max="13325" width="19.28515625" style="898" customWidth="1"/>
    <col min="13326" max="13326" width="21.7109375" style="898" customWidth="1"/>
    <col min="13327" max="13327" width="20.7109375" style="898" customWidth="1"/>
    <col min="13328" max="13328" width="14.140625" style="898" customWidth="1"/>
    <col min="13329" max="13329" width="13.42578125" style="898" customWidth="1"/>
    <col min="13330" max="13330" width="45.140625" style="898" customWidth="1"/>
    <col min="13331" max="13331" width="22.42578125" style="898" customWidth="1"/>
    <col min="13332" max="13332" width="20.5703125" style="898" customWidth="1"/>
    <col min="13333" max="13341" width="11.42578125" style="898" customWidth="1"/>
    <col min="13342" max="13342" width="11.5703125" style="898" bestFit="1" customWidth="1"/>
    <col min="13343" max="13344" width="9.140625" style="898"/>
    <col min="13345" max="13345" width="11.5703125" style="898" bestFit="1" customWidth="1"/>
    <col min="13346" max="13346" width="12.7109375" style="898" bestFit="1" customWidth="1"/>
    <col min="13347" max="13574" width="9.140625" style="898"/>
    <col min="13575" max="13575" width="5.5703125" style="898" customWidth="1"/>
    <col min="13576" max="13576" width="7.7109375" style="898" customWidth="1"/>
    <col min="13577" max="13577" width="15.42578125" style="898" customWidth="1"/>
    <col min="13578" max="13578" width="19.42578125" style="898" customWidth="1"/>
    <col min="13579" max="13579" width="21.42578125" style="898" customWidth="1"/>
    <col min="13580" max="13580" width="20" style="898" customWidth="1"/>
    <col min="13581" max="13581" width="19.28515625" style="898" customWidth="1"/>
    <col min="13582" max="13582" width="21.7109375" style="898" customWidth="1"/>
    <col min="13583" max="13583" width="20.7109375" style="898" customWidth="1"/>
    <col min="13584" max="13584" width="14.140625" style="898" customWidth="1"/>
    <col min="13585" max="13585" width="13.42578125" style="898" customWidth="1"/>
    <col min="13586" max="13586" width="45.140625" style="898" customWidth="1"/>
    <col min="13587" max="13587" width="22.42578125" style="898" customWidth="1"/>
    <col min="13588" max="13588" width="20.5703125" style="898" customWidth="1"/>
    <col min="13589" max="13597" width="11.42578125" style="898" customWidth="1"/>
    <col min="13598" max="13598" width="11.5703125" style="898" bestFit="1" customWidth="1"/>
    <col min="13599" max="13600" width="9.140625" style="898"/>
    <col min="13601" max="13601" width="11.5703125" style="898" bestFit="1" customWidth="1"/>
    <col min="13602" max="13602" width="12.7109375" style="898" bestFit="1" customWidth="1"/>
    <col min="13603" max="13830" width="9.140625" style="898"/>
    <col min="13831" max="13831" width="5.5703125" style="898" customWidth="1"/>
    <col min="13832" max="13832" width="7.7109375" style="898" customWidth="1"/>
    <col min="13833" max="13833" width="15.42578125" style="898" customWidth="1"/>
    <col min="13834" max="13834" width="19.42578125" style="898" customWidth="1"/>
    <col min="13835" max="13835" width="21.42578125" style="898" customWidth="1"/>
    <col min="13836" max="13836" width="20" style="898" customWidth="1"/>
    <col min="13837" max="13837" width="19.28515625" style="898" customWidth="1"/>
    <col min="13838" max="13838" width="21.7109375" style="898" customWidth="1"/>
    <col min="13839" max="13839" width="20.7109375" style="898" customWidth="1"/>
    <col min="13840" max="13840" width="14.140625" style="898" customWidth="1"/>
    <col min="13841" max="13841" width="13.42578125" style="898" customWidth="1"/>
    <col min="13842" max="13842" width="45.140625" style="898" customWidth="1"/>
    <col min="13843" max="13843" width="22.42578125" style="898" customWidth="1"/>
    <col min="13844" max="13844" width="20.5703125" style="898" customWidth="1"/>
    <col min="13845" max="13853" width="11.42578125" style="898" customWidth="1"/>
    <col min="13854" max="13854" width="11.5703125" style="898" bestFit="1" customWidth="1"/>
    <col min="13855" max="13856" width="9.140625" style="898"/>
    <col min="13857" max="13857" width="11.5703125" style="898" bestFit="1" customWidth="1"/>
    <col min="13858" max="13858" width="12.7109375" style="898" bestFit="1" customWidth="1"/>
    <col min="13859" max="14086" width="9.140625" style="898"/>
    <col min="14087" max="14087" width="5.5703125" style="898" customWidth="1"/>
    <col min="14088" max="14088" width="7.7109375" style="898" customWidth="1"/>
    <col min="14089" max="14089" width="15.42578125" style="898" customWidth="1"/>
    <col min="14090" max="14090" width="19.42578125" style="898" customWidth="1"/>
    <col min="14091" max="14091" width="21.42578125" style="898" customWidth="1"/>
    <col min="14092" max="14092" width="20" style="898" customWidth="1"/>
    <col min="14093" max="14093" width="19.28515625" style="898" customWidth="1"/>
    <col min="14094" max="14094" width="21.7109375" style="898" customWidth="1"/>
    <col min="14095" max="14095" width="20.7109375" style="898" customWidth="1"/>
    <col min="14096" max="14096" width="14.140625" style="898" customWidth="1"/>
    <col min="14097" max="14097" width="13.42578125" style="898" customWidth="1"/>
    <col min="14098" max="14098" width="45.140625" style="898" customWidth="1"/>
    <col min="14099" max="14099" width="22.42578125" style="898" customWidth="1"/>
    <col min="14100" max="14100" width="20.5703125" style="898" customWidth="1"/>
    <col min="14101" max="14109" width="11.42578125" style="898" customWidth="1"/>
    <col min="14110" max="14110" width="11.5703125" style="898" bestFit="1" customWidth="1"/>
    <col min="14111" max="14112" width="9.140625" style="898"/>
    <col min="14113" max="14113" width="11.5703125" style="898" bestFit="1" customWidth="1"/>
    <col min="14114" max="14114" width="12.7109375" style="898" bestFit="1" customWidth="1"/>
    <col min="14115" max="14342" width="9.140625" style="898"/>
    <col min="14343" max="14343" width="5.5703125" style="898" customWidth="1"/>
    <col min="14344" max="14344" width="7.7109375" style="898" customWidth="1"/>
    <col min="14345" max="14345" width="15.42578125" style="898" customWidth="1"/>
    <col min="14346" max="14346" width="19.42578125" style="898" customWidth="1"/>
    <col min="14347" max="14347" width="21.42578125" style="898" customWidth="1"/>
    <col min="14348" max="14348" width="20" style="898" customWidth="1"/>
    <col min="14349" max="14349" width="19.28515625" style="898" customWidth="1"/>
    <col min="14350" max="14350" width="21.7109375" style="898" customWidth="1"/>
    <col min="14351" max="14351" width="20.7109375" style="898" customWidth="1"/>
    <col min="14352" max="14352" width="14.140625" style="898" customWidth="1"/>
    <col min="14353" max="14353" width="13.42578125" style="898" customWidth="1"/>
    <col min="14354" max="14354" width="45.140625" style="898" customWidth="1"/>
    <col min="14355" max="14355" width="22.42578125" style="898" customWidth="1"/>
    <col min="14356" max="14356" width="20.5703125" style="898" customWidth="1"/>
    <col min="14357" max="14365" width="11.42578125" style="898" customWidth="1"/>
    <col min="14366" max="14366" width="11.5703125" style="898" bestFit="1" customWidth="1"/>
    <col min="14367" max="14368" width="9.140625" style="898"/>
    <col min="14369" max="14369" width="11.5703125" style="898" bestFit="1" customWidth="1"/>
    <col min="14370" max="14370" width="12.7109375" style="898" bestFit="1" customWidth="1"/>
    <col min="14371" max="14598" width="9.140625" style="898"/>
    <col min="14599" max="14599" width="5.5703125" style="898" customWidth="1"/>
    <col min="14600" max="14600" width="7.7109375" style="898" customWidth="1"/>
    <col min="14601" max="14601" width="15.42578125" style="898" customWidth="1"/>
    <col min="14602" max="14602" width="19.42578125" style="898" customWidth="1"/>
    <col min="14603" max="14603" width="21.42578125" style="898" customWidth="1"/>
    <col min="14604" max="14604" width="20" style="898" customWidth="1"/>
    <col min="14605" max="14605" width="19.28515625" style="898" customWidth="1"/>
    <col min="14606" max="14606" width="21.7109375" style="898" customWidth="1"/>
    <col min="14607" max="14607" width="20.7109375" style="898" customWidth="1"/>
    <col min="14608" max="14608" width="14.140625" style="898" customWidth="1"/>
    <col min="14609" max="14609" width="13.42578125" style="898" customWidth="1"/>
    <col min="14610" max="14610" width="45.140625" style="898" customWidth="1"/>
    <col min="14611" max="14611" width="22.42578125" style="898" customWidth="1"/>
    <col min="14612" max="14612" width="20.5703125" style="898" customWidth="1"/>
    <col min="14613" max="14621" width="11.42578125" style="898" customWidth="1"/>
    <col min="14622" max="14622" width="11.5703125" style="898" bestFit="1" customWidth="1"/>
    <col min="14623" max="14624" width="9.140625" style="898"/>
    <col min="14625" max="14625" width="11.5703125" style="898" bestFit="1" customWidth="1"/>
    <col min="14626" max="14626" width="12.7109375" style="898" bestFit="1" customWidth="1"/>
    <col min="14627" max="14854" width="9.140625" style="898"/>
    <col min="14855" max="14855" width="5.5703125" style="898" customWidth="1"/>
    <col min="14856" max="14856" width="7.7109375" style="898" customWidth="1"/>
    <col min="14857" max="14857" width="15.42578125" style="898" customWidth="1"/>
    <col min="14858" max="14858" width="19.42578125" style="898" customWidth="1"/>
    <col min="14859" max="14859" width="21.42578125" style="898" customWidth="1"/>
    <col min="14860" max="14860" width="20" style="898" customWidth="1"/>
    <col min="14861" max="14861" width="19.28515625" style="898" customWidth="1"/>
    <col min="14862" max="14862" width="21.7109375" style="898" customWidth="1"/>
    <col min="14863" max="14863" width="20.7109375" style="898" customWidth="1"/>
    <col min="14864" max="14864" width="14.140625" style="898" customWidth="1"/>
    <col min="14865" max="14865" width="13.42578125" style="898" customWidth="1"/>
    <col min="14866" max="14866" width="45.140625" style="898" customWidth="1"/>
    <col min="14867" max="14867" width="22.42578125" style="898" customWidth="1"/>
    <col min="14868" max="14868" width="20.5703125" style="898" customWidth="1"/>
    <col min="14869" max="14877" width="11.42578125" style="898" customWidth="1"/>
    <col min="14878" max="14878" width="11.5703125" style="898" bestFit="1" customWidth="1"/>
    <col min="14879" max="14880" width="9.140625" style="898"/>
    <col min="14881" max="14881" width="11.5703125" style="898" bestFit="1" customWidth="1"/>
    <col min="14882" max="14882" width="12.7109375" style="898" bestFit="1" customWidth="1"/>
    <col min="14883" max="15110" width="9.140625" style="898"/>
    <col min="15111" max="15111" width="5.5703125" style="898" customWidth="1"/>
    <col min="15112" max="15112" width="7.7109375" style="898" customWidth="1"/>
    <col min="15113" max="15113" width="15.42578125" style="898" customWidth="1"/>
    <col min="15114" max="15114" width="19.42578125" style="898" customWidth="1"/>
    <col min="15115" max="15115" width="21.42578125" style="898" customWidth="1"/>
    <col min="15116" max="15116" width="20" style="898" customWidth="1"/>
    <col min="15117" max="15117" width="19.28515625" style="898" customWidth="1"/>
    <col min="15118" max="15118" width="21.7109375" style="898" customWidth="1"/>
    <col min="15119" max="15119" width="20.7109375" style="898" customWidth="1"/>
    <col min="15120" max="15120" width="14.140625" style="898" customWidth="1"/>
    <col min="15121" max="15121" width="13.42578125" style="898" customWidth="1"/>
    <col min="15122" max="15122" width="45.140625" style="898" customWidth="1"/>
    <col min="15123" max="15123" width="22.42578125" style="898" customWidth="1"/>
    <col min="15124" max="15124" width="20.5703125" style="898" customWidth="1"/>
    <col min="15125" max="15133" width="11.42578125" style="898" customWidth="1"/>
    <col min="15134" max="15134" width="11.5703125" style="898" bestFit="1" customWidth="1"/>
    <col min="15135" max="15136" width="9.140625" style="898"/>
    <col min="15137" max="15137" width="11.5703125" style="898" bestFit="1" customWidth="1"/>
    <col min="15138" max="15138" width="12.7109375" style="898" bestFit="1" customWidth="1"/>
    <col min="15139" max="15366" width="9.140625" style="898"/>
    <col min="15367" max="15367" width="5.5703125" style="898" customWidth="1"/>
    <col min="15368" max="15368" width="7.7109375" style="898" customWidth="1"/>
    <col min="15369" max="15369" width="15.42578125" style="898" customWidth="1"/>
    <col min="15370" max="15370" width="19.42578125" style="898" customWidth="1"/>
    <col min="15371" max="15371" width="21.42578125" style="898" customWidth="1"/>
    <col min="15372" max="15372" width="20" style="898" customWidth="1"/>
    <col min="15373" max="15373" width="19.28515625" style="898" customWidth="1"/>
    <col min="15374" max="15374" width="21.7109375" style="898" customWidth="1"/>
    <col min="15375" max="15375" width="20.7109375" style="898" customWidth="1"/>
    <col min="15376" max="15376" width="14.140625" style="898" customWidth="1"/>
    <col min="15377" max="15377" width="13.42578125" style="898" customWidth="1"/>
    <col min="15378" max="15378" width="45.140625" style="898" customWidth="1"/>
    <col min="15379" max="15379" width="22.42578125" style="898" customWidth="1"/>
    <col min="15380" max="15380" width="20.5703125" style="898" customWidth="1"/>
    <col min="15381" max="15389" width="11.42578125" style="898" customWidth="1"/>
    <col min="15390" max="15390" width="11.5703125" style="898" bestFit="1" customWidth="1"/>
    <col min="15391" max="15392" width="9.140625" style="898"/>
    <col min="15393" max="15393" width="11.5703125" style="898" bestFit="1" customWidth="1"/>
    <col min="15394" max="15394" width="12.7109375" style="898" bestFit="1" customWidth="1"/>
    <col min="15395" max="15622" width="9.140625" style="898"/>
    <col min="15623" max="15623" width="5.5703125" style="898" customWidth="1"/>
    <col min="15624" max="15624" width="7.7109375" style="898" customWidth="1"/>
    <col min="15625" max="15625" width="15.42578125" style="898" customWidth="1"/>
    <col min="15626" max="15626" width="19.42578125" style="898" customWidth="1"/>
    <col min="15627" max="15627" width="21.42578125" style="898" customWidth="1"/>
    <col min="15628" max="15628" width="20" style="898" customWidth="1"/>
    <col min="15629" max="15629" width="19.28515625" style="898" customWidth="1"/>
    <col min="15630" max="15630" width="21.7109375" style="898" customWidth="1"/>
    <col min="15631" max="15631" width="20.7109375" style="898" customWidth="1"/>
    <col min="15632" max="15632" width="14.140625" style="898" customWidth="1"/>
    <col min="15633" max="15633" width="13.42578125" style="898" customWidth="1"/>
    <col min="15634" max="15634" width="45.140625" style="898" customWidth="1"/>
    <col min="15635" max="15635" width="22.42578125" style="898" customWidth="1"/>
    <col min="15636" max="15636" width="20.5703125" style="898" customWidth="1"/>
    <col min="15637" max="15645" width="11.42578125" style="898" customWidth="1"/>
    <col min="15646" max="15646" width="11.5703125" style="898" bestFit="1" customWidth="1"/>
    <col min="15647" max="15648" width="9.140625" style="898"/>
    <col min="15649" max="15649" width="11.5703125" style="898" bestFit="1" customWidth="1"/>
    <col min="15650" max="15650" width="12.7109375" style="898" bestFit="1" customWidth="1"/>
    <col min="15651" max="15878" width="9.140625" style="898"/>
    <col min="15879" max="15879" width="5.5703125" style="898" customWidth="1"/>
    <col min="15880" max="15880" width="7.7109375" style="898" customWidth="1"/>
    <col min="15881" max="15881" width="15.42578125" style="898" customWidth="1"/>
    <col min="15882" max="15882" width="19.42578125" style="898" customWidth="1"/>
    <col min="15883" max="15883" width="21.42578125" style="898" customWidth="1"/>
    <col min="15884" max="15884" width="20" style="898" customWidth="1"/>
    <col min="15885" max="15885" width="19.28515625" style="898" customWidth="1"/>
    <col min="15886" max="15886" width="21.7109375" style="898" customWidth="1"/>
    <col min="15887" max="15887" width="20.7109375" style="898" customWidth="1"/>
    <col min="15888" max="15888" width="14.140625" style="898" customWidth="1"/>
    <col min="15889" max="15889" width="13.42578125" style="898" customWidth="1"/>
    <col min="15890" max="15890" width="45.140625" style="898" customWidth="1"/>
    <col min="15891" max="15891" width="22.42578125" style="898" customWidth="1"/>
    <col min="15892" max="15892" width="20.5703125" style="898" customWidth="1"/>
    <col min="15893" max="15901" width="11.42578125" style="898" customWidth="1"/>
    <col min="15902" max="15902" width="11.5703125" style="898" bestFit="1" customWidth="1"/>
    <col min="15903" max="15904" width="9.140625" style="898"/>
    <col min="15905" max="15905" width="11.5703125" style="898" bestFit="1" customWidth="1"/>
    <col min="15906" max="15906" width="12.7109375" style="898" bestFit="1" customWidth="1"/>
    <col min="15907" max="16134" width="9.140625" style="898"/>
    <col min="16135" max="16135" width="5.5703125" style="898" customWidth="1"/>
    <col min="16136" max="16136" width="7.7109375" style="898" customWidth="1"/>
    <col min="16137" max="16137" width="15.42578125" style="898" customWidth="1"/>
    <col min="16138" max="16138" width="19.42578125" style="898" customWidth="1"/>
    <col min="16139" max="16139" width="21.42578125" style="898" customWidth="1"/>
    <col min="16140" max="16140" width="20" style="898" customWidth="1"/>
    <col min="16141" max="16141" width="19.28515625" style="898" customWidth="1"/>
    <col min="16142" max="16142" width="21.7109375" style="898" customWidth="1"/>
    <col min="16143" max="16143" width="20.7109375" style="898" customWidth="1"/>
    <col min="16144" max="16144" width="14.140625" style="898" customWidth="1"/>
    <col min="16145" max="16145" width="13.42578125" style="898" customWidth="1"/>
    <col min="16146" max="16146" width="45.140625" style="898" customWidth="1"/>
    <col min="16147" max="16147" width="22.42578125" style="898" customWidth="1"/>
    <col min="16148" max="16148" width="20.5703125" style="898" customWidth="1"/>
    <col min="16149" max="16157" width="11.42578125" style="898" customWidth="1"/>
    <col min="16158" max="16158" width="11.5703125" style="898" bestFit="1" customWidth="1"/>
    <col min="16159" max="16160" width="9.140625" style="898"/>
    <col min="16161" max="16161" width="11.5703125" style="898" bestFit="1" customWidth="1"/>
    <col min="16162" max="16162" width="12.7109375" style="898" bestFit="1" customWidth="1"/>
    <col min="16163" max="16384" width="9.140625" style="898"/>
  </cols>
  <sheetData>
    <row r="1" spans="1:18" ht="54" customHeight="1">
      <c r="A1" s="986" t="s">
        <v>710</v>
      </c>
      <c r="B1" s="986"/>
      <c r="C1" s="986"/>
      <c r="D1" s="987"/>
      <c r="E1" s="987"/>
      <c r="F1" s="987"/>
      <c r="G1" s="987"/>
      <c r="H1" s="987"/>
      <c r="I1" s="987"/>
      <c r="J1" s="987"/>
      <c r="K1" s="987"/>
      <c r="L1" s="987"/>
      <c r="M1" s="987"/>
      <c r="N1" s="987"/>
      <c r="O1" s="987"/>
      <c r="P1" s="987"/>
      <c r="Q1" s="987"/>
      <c r="R1" s="987"/>
    </row>
    <row r="2" spans="1:18" ht="18" customHeight="1" thickBot="1">
      <c r="A2" s="988" t="s">
        <v>711</v>
      </c>
      <c r="B2" s="988"/>
      <c r="C2" s="988"/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  <c r="O2" s="989"/>
      <c r="P2" s="989"/>
      <c r="Q2" s="989"/>
      <c r="R2" s="989"/>
    </row>
    <row r="3" spans="1:18" ht="21" customHeight="1">
      <c r="A3" s="990" t="s">
        <v>650</v>
      </c>
      <c r="B3" s="991"/>
      <c r="C3" s="992"/>
      <c r="D3" s="996" t="s">
        <v>651</v>
      </c>
      <c r="E3" s="997"/>
      <c r="F3" s="997"/>
      <c r="G3" s="997"/>
      <c r="H3" s="997"/>
      <c r="I3" s="997"/>
      <c r="J3" s="996" t="s">
        <v>652</v>
      </c>
      <c r="K3" s="997"/>
      <c r="L3" s="997"/>
      <c r="M3" s="997"/>
      <c r="N3" s="997"/>
      <c r="O3" s="998"/>
      <c r="P3" s="999" t="s">
        <v>653</v>
      </c>
      <c r="Q3" s="999" t="s">
        <v>654</v>
      </c>
      <c r="R3" s="1001" t="s">
        <v>655</v>
      </c>
    </row>
    <row r="4" spans="1:18" ht="21" customHeight="1" thickBot="1">
      <c r="A4" s="993"/>
      <c r="B4" s="994"/>
      <c r="C4" s="995"/>
      <c r="D4" s="899" t="s">
        <v>691</v>
      </c>
      <c r="E4" s="899" t="s">
        <v>690</v>
      </c>
      <c r="F4" s="951" t="s">
        <v>697</v>
      </c>
      <c r="G4" s="899" t="s">
        <v>694</v>
      </c>
      <c r="H4" s="950" t="s">
        <v>679</v>
      </c>
      <c r="I4" s="952" t="s">
        <v>698</v>
      </c>
      <c r="J4" s="899" t="s">
        <v>692</v>
      </c>
      <c r="K4" s="899" t="s">
        <v>693</v>
      </c>
      <c r="L4" s="951" t="s">
        <v>697</v>
      </c>
      <c r="M4" s="899" t="s">
        <v>695</v>
      </c>
      <c r="N4" s="950" t="s">
        <v>679</v>
      </c>
      <c r="O4" s="953" t="s">
        <v>698</v>
      </c>
      <c r="P4" s="1000"/>
      <c r="Q4" s="1000"/>
      <c r="R4" s="1002"/>
    </row>
    <row r="5" spans="1:18" ht="21" customHeight="1" thickTop="1">
      <c r="A5" s="981" t="s">
        <v>696</v>
      </c>
      <c r="B5" s="982" t="s">
        <v>656</v>
      </c>
      <c r="C5" s="980"/>
      <c r="D5" s="900">
        <f>E5*12</f>
        <v>89320608</v>
      </c>
      <c r="E5" s="943">
        <f>F5+G5+I5</f>
        <v>7443384</v>
      </c>
      <c r="F5" s="900">
        <f>원가집계!G7</f>
        <v>1732380</v>
      </c>
      <c r="G5" s="943">
        <f>H5*2</f>
        <v>3464760</v>
      </c>
      <c r="H5" s="901">
        <f>원가집계!H7</f>
        <v>1732380</v>
      </c>
      <c r="I5" s="902">
        <f>원가집계!J7</f>
        <v>2246244</v>
      </c>
      <c r="J5" s="900">
        <f>K5*12</f>
        <v>89320608</v>
      </c>
      <c r="K5" s="900">
        <f>L5+M5+O5</f>
        <v>7443384</v>
      </c>
      <c r="L5" s="900">
        <f>원가집계!G7</f>
        <v>1732380</v>
      </c>
      <c r="M5" s="900">
        <f>N5*2</f>
        <v>3464760</v>
      </c>
      <c r="N5" s="900">
        <f>원가집계!H7</f>
        <v>1732380</v>
      </c>
      <c r="O5" s="903">
        <f>원가집계!J7</f>
        <v>2246244</v>
      </c>
      <c r="P5" s="904">
        <f>D5-J5</f>
        <v>0</v>
      </c>
      <c r="Q5" s="905">
        <f>P5/D5</f>
        <v>0</v>
      </c>
      <c r="R5" s="906" t="s">
        <v>699</v>
      </c>
    </row>
    <row r="6" spans="1:18" ht="21" customHeight="1">
      <c r="A6" s="978"/>
      <c r="B6" s="983" t="s">
        <v>657</v>
      </c>
      <c r="C6" s="949" t="s">
        <v>681</v>
      </c>
      <c r="D6" s="900">
        <f t="shared" ref="D6:D26" si="0">E6*12</f>
        <v>22257456</v>
      </c>
      <c r="E6" s="943">
        <f t="shared" ref="E6:E27" si="1">F6+G6+I6</f>
        <v>1854788</v>
      </c>
      <c r="F6" s="900">
        <f>원가집계!G8</f>
        <v>431685</v>
      </c>
      <c r="G6" s="943">
        <f t="shared" ref="G6:G27" si="2">H6*2</f>
        <v>863370</v>
      </c>
      <c r="H6" s="901">
        <f>원가집계!H8</f>
        <v>431685</v>
      </c>
      <c r="I6" s="902">
        <f>원가집계!J8</f>
        <v>559733</v>
      </c>
      <c r="J6" s="900">
        <f t="shared" ref="J6:J26" si="3">K6*12</f>
        <v>22257456</v>
      </c>
      <c r="K6" s="900">
        <f t="shared" ref="K6:K27" si="4">L6+M6+O6</f>
        <v>1854788</v>
      </c>
      <c r="L6" s="900">
        <f>원가집계!G8</f>
        <v>431685</v>
      </c>
      <c r="M6" s="900">
        <f t="shared" ref="M6:M27" si="5">N6*2</f>
        <v>863370</v>
      </c>
      <c r="N6" s="900">
        <f>원가집계!H8</f>
        <v>431685</v>
      </c>
      <c r="O6" s="903">
        <f>원가집계!J8</f>
        <v>559733</v>
      </c>
      <c r="P6" s="904">
        <f t="shared" ref="P6:P27" si="6">D6-J6</f>
        <v>0</v>
      </c>
      <c r="Q6" s="905">
        <f t="shared" ref="Q6:Q27" si="7">P6/D6</f>
        <v>0</v>
      </c>
      <c r="R6" s="907" t="s">
        <v>700</v>
      </c>
    </row>
    <row r="7" spans="1:18" ht="21" customHeight="1">
      <c r="A7" s="978"/>
      <c r="B7" s="984"/>
      <c r="C7" s="949" t="s">
        <v>680</v>
      </c>
      <c r="D7" s="900">
        <f t="shared" si="0"/>
        <v>1193592</v>
      </c>
      <c r="E7" s="943">
        <f t="shared" si="1"/>
        <v>99466</v>
      </c>
      <c r="F7" s="900">
        <f>원가집계!G9</f>
        <v>99466</v>
      </c>
      <c r="G7" s="943">
        <f t="shared" si="2"/>
        <v>0</v>
      </c>
      <c r="H7" s="901">
        <f>원가집계!H9</f>
        <v>0</v>
      </c>
      <c r="I7" s="902">
        <f>원가집계!J9</f>
        <v>0</v>
      </c>
      <c r="J7" s="900">
        <f t="shared" si="3"/>
        <v>1193592</v>
      </c>
      <c r="K7" s="900">
        <f t="shared" si="4"/>
        <v>99466</v>
      </c>
      <c r="L7" s="900">
        <f>원가집계!G9</f>
        <v>99466</v>
      </c>
      <c r="M7" s="900">
        <f t="shared" si="5"/>
        <v>0</v>
      </c>
      <c r="N7" s="900">
        <f>원가집계!H9</f>
        <v>0</v>
      </c>
      <c r="O7" s="903">
        <f>원가집계!J9</f>
        <v>0</v>
      </c>
      <c r="P7" s="904">
        <f t="shared" si="6"/>
        <v>0</v>
      </c>
      <c r="Q7" s="905">
        <f t="shared" si="7"/>
        <v>0</v>
      </c>
      <c r="R7" s="907" t="s">
        <v>701</v>
      </c>
    </row>
    <row r="8" spans="1:18" ht="21" customHeight="1">
      <c r="A8" s="978"/>
      <c r="B8" s="984"/>
      <c r="C8" s="949" t="s">
        <v>682</v>
      </c>
      <c r="D8" s="900">
        <f t="shared" si="0"/>
        <v>4273668</v>
      </c>
      <c r="E8" s="943">
        <f t="shared" si="1"/>
        <v>356139</v>
      </c>
      <c r="F8" s="900">
        <f>원가집계!G10</f>
        <v>82888</v>
      </c>
      <c r="G8" s="943">
        <f t="shared" si="2"/>
        <v>165776</v>
      </c>
      <c r="H8" s="901">
        <f>원가집계!H10</f>
        <v>82888</v>
      </c>
      <c r="I8" s="902">
        <f>원가집계!J10</f>
        <v>107475</v>
      </c>
      <c r="J8" s="900">
        <f t="shared" si="3"/>
        <v>4273668</v>
      </c>
      <c r="K8" s="900">
        <f t="shared" si="4"/>
        <v>356139</v>
      </c>
      <c r="L8" s="900">
        <f>원가집계!G10</f>
        <v>82888</v>
      </c>
      <c r="M8" s="900">
        <f t="shared" si="5"/>
        <v>165776</v>
      </c>
      <c r="N8" s="900">
        <f>원가집계!H10</f>
        <v>82888</v>
      </c>
      <c r="O8" s="903">
        <f>원가집계!J10</f>
        <v>107475</v>
      </c>
      <c r="P8" s="904">
        <f t="shared" si="6"/>
        <v>0</v>
      </c>
      <c r="Q8" s="905">
        <f t="shared" si="7"/>
        <v>0</v>
      </c>
      <c r="R8" s="907" t="s">
        <v>702</v>
      </c>
    </row>
    <row r="9" spans="1:18" ht="21" customHeight="1">
      <c r="A9" s="978"/>
      <c r="B9" s="985"/>
      <c r="C9" s="949" t="s">
        <v>658</v>
      </c>
      <c r="D9" s="900">
        <f t="shared" si="0"/>
        <v>27724716</v>
      </c>
      <c r="E9" s="943">
        <f t="shared" si="1"/>
        <v>2310393</v>
      </c>
      <c r="F9" s="900">
        <f>원가집계!G12</f>
        <v>614039</v>
      </c>
      <c r="G9" s="943">
        <f t="shared" si="2"/>
        <v>1029146</v>
      </c>
      <c r="H9" s="901">
        <f>원가집계!H12</f>
        <v>514573</v>
      </c>
      <c r="I9" s="902">
        <f>원가집계!J12</f>
        <v>667208</v>
      </c>
      <c r="J9" s="900">
        <f t="shared" si="3"/>
        <v>27724716</v>
      </c>
      <c r="K9" s="900">
        <f t="shared" si="4"/>
        <v>2310393</v>
      </c>
      <c r="L9" s="900">
        <f>원가집계!G12</f>
        <v>614039</v>
      </c>
      <c r="M9" s="900">
        <f t="shared" si="5"/>
        <v>1029146</v>
      </c>
      <c r="N9" s="900">
        <f>원가집계!H12</f>
        <v>514573</v>
      </c>
      <c r="O9" s="903">
        <f>원가집계!J12</f>
        <v>667208</v>
      </c>
      <c r="P9" s="904">
        <f t="shared" si="6"/>
        <v>0</v>
      </c>
      <c r="Q9" s="905">
        <f t="shared" si="7"/>
        <v>0</v>
      </c>
      <c r="R9" s="908"/>
    </row>
    <row r="10" spans="1:18" ht="21" customHeight="1">
      <c r="A10" s="978"/>
      <c r="B10" s="979" t="s">
        <v>659</v>
      </c>
      <c r="C10" s="980"/>
      <c r="D10" s="900">
        <f t="shared" si="0"/>
        <v>21911676</v>
      </c>
      <c r="E10" s="943">
        <f t="shared" si="1"/>
        <v>1825973</v>
      </c>
      <c r="F10" s="900">
        <f>원가집계!G13</f>
        <v>577460</v>
      </c>
      <c r="G10" s="943">
        <f t="shared" si="2"/>
        <v>1154920</v>
      </c>
      <c r="H10" s="901">
        <f>원가집계!H13</f>
        <v>577460</v>
      </c>
      <c r="I10" s="902">
        <f>원가집계!J13</f>
        <v>93593</v>
      </c>
      <c r="J10" s="900">
        <f t="shared" si="3"/>
        <v>21911676</v>
      </c>
      <c r="K10" s="900">
        <f t="shared" si="4"/>
        <v>1825973</v>
      </c>
      <c r="L10" s="900">
        <f>원가집계!G13</f>
        <v>577460</v>
      </c>
      <c r="M10" s="900">
        <f t="shared" si="5"/>
        <v>1154920</v>
      </c>
      <c r="N10" s="900">
        <f>원가집계!H13</f>
        <v>577460</v>
      </c>
      <c r="O10" s="903">
        <f>원가집계!J13</f>
        <v>93593</v>
      </c>
      <c r="P10" s="904">
        <f t="shared" si="6"/>
        <v>0</v>
      </c>
      <c r="Q10" s="905">
        <f t="shared" si="7"/>
        <v>0</v>
      </c>
      <c r="R10" s="908" t="s">
        <v>703</v>
      </c>
    </row>
    <row r="11" spans="1:18" ht="21" customHeight="1">
      <c r="A11" s="978"/>
      <c r="B11" s="979" t="s">
        <v>660</v>
      </c>
      <c r="C11" s="980"/>
      <c r="D11" s="900">
        <f t="shared" si="0"/>
        <v>11579724</v>
      </c>
      <c r="E11" s="943">
        <f t="shared" si="1"/>
        <v>964977</v>
      </c>
      <c r="F11" s="900">
        <f>원가집계!G14</f>
        <v>243656</v>
      </c>
      <c r="G11" s="943">
        <f t="shared" si="2"/>
        <v>470734</v>
      </c>
      <c r="H11" s="901">
        <f>원가집계!H14</f>
        <v>235367</v>
      </c>
      <c r="I11" s="902">
        <f>원가집계!J14</f>
        <v>250587</v>
      </c>
      <c r="J11" s="900">
        <f t="shared" si="3"/>
        <v>11579724</v>
      </c>
      <c r="K11" s="900">
        <f t="shared" si="4"/>
        <v>964977</v>
      </c>
      <c r="L11" s="900">
        <f>원가집계!G14</f>
        <v>243656</v>
      </c>
      <c r="M11" s="900">
        <f t="shared" si="5"/>
        <v>470734</v>
      </c>
      <c r="N11" s="900">
        <f>원가집계!H14</f>
        <v>235367</v>
      </c>
      <c r="O11" s="903">
        <f>원가집계!J14</f>
        <v>250587</v>
      </c>
      <c r="P11" s="904">
        <f t="shared" si="6"/>
        <v>0</v>
      </c>
      <c r="Q11" s="905">
        <f t="shared" si="7"/>
        <v>0</v>
      </c>
      <c r="R11" s="908" t="s">
        <v>661</v>
      </c>
    </row>
    <row r="12" spans="1:18" ht="21" customHeight="1">
      <c r="A12" s="974"/>
      <c r="B12" s="975" t="s">
        <v>662</v>
      </c>
      <c r="C12" s="976"/>
      <c r="D12" s="909">
        <f t="shared" si="0"/>
        <v>150536724</v>
      </c>
      <c r="E12" s="944">
        <f t="shared" si="1"/>
        <v>12544727</v>
      </c>
      <c r="F12" s="909">
        <f>원가집계!G15</f>
        <v>3167535</v>
      </c>
      <c r="G12" s="944">
        <f t="shared" si="2"/>
        <v>6119560</v>
      </c>
      <c r="H12" s="910">
        <f>원가집계!H15</f>
        <v>3059780</v>
      </c>
      <c r="I12" s="911">
        <f>원가집계!J15</f>
        <v>3257632</v>
      </c>
      <c r="J12" s="909">
        <f t="shared" si="3"/>
        <v>150536724</v>
      </c>
      <c r="K12" s="909">
        <f t="shared" si="4"/>
        <v>12544727</v>
      </c>
      <c r="L12" s="909">
        <f>원가집계!G15</f>
        <v>3167535</v>
      </c>
      <c r="M12" s="909">
        <f t="shared" si="5"/>
        <v>6119560</v>
      </c>
      <c r="N12" s="909">
        <f>원가집계!H15</f>
        <v>3059780</v>
      </c>
      <c r="O12" s="954">
        <f>원가집계!J15</f>
        <v>3257632</v>
      </c>
      <c r="P12" s="912">
        <f t="shared" si="6"/>
        <v>0</v>
      </c>
      <c r="Q12" s="913">
        <f t="shared" si="7"/>
        <v>0</v>
      </c>
      <c r="R12" s="914"/>
    </row>
    <row r="13" spans="1:18" ht="21" customHeight="1">
      <c r="A13" s="973" t="s">
        <v>663</v>
      </c>
      <c r="B13" s="979" t="s">
        <v>684</v>
      </c>
      <c r="C13" s="980"/>
      <c r="D13" s="900">
        <f t="shared" si="0"/>
        <v>2362269.0000000005</v>
      </c>
      <c r="E13" s="943">
        <f>F13+G13+I13</f>
        <v>196855.75000000003</v>
      </c>
      <c r="F13" s="900">
        <f>(F12-F11)*1.7%</f>
        <v>49705.943000000007</v>
      </c>
      <c r="G13" s="960">
        <f>H13*2</f>
        <v>96030.042000000001</v>
      </c>
      <c r="H13" s="901">
        <f>(H12-H11)*1.7%</f>
        <v>48015.021000000001</v>
      </c>
      <c r="I13" s="902">
        <f>(I12-I11)*1.7%</f>
        <v>51119.765000000007</v>
      </c>
      <c r="J13" s="900">
        <f t="shared" si="3"/>
        <v>2640144</v>
      </c>
      <c r="K13" s="900">
        <f t="shared" si="4"/>
        <v>220012</v>
      </c>
      <c r="L13" s="900">
        <f>원가집계!G16</f>
        <v>55553</v>
      </c>
      <c r="M13" s="900">
        <f t="shared" si="5"/>
        <v>107326</v>
      </c>
      <c r="N13" s="900">
        <f>원가집계!H16</f>
        <v>53663</v>
      </c>
      <c r="O13" s="903">
        <f>원가집계!J16</f>
        <v>57133</v>
      </c>
      <c r="P13" s="904">
        <f t="shared" si="6"/>
        <v>-277874.99999999953</v>
      </c>
      <c r="Q13" s="905">
        <f t="shared" si="7"/>
        <v>-0.11763054927275407</v>
      </c>
      <c r="R13" s="915" t="s">
        <v>704</v>
      </c>
    </row>
    <row r="14" spans="1:18" ht="21" customHeight="1">
      <c r="A14" s="978"/>
      <c r="B14" s="979" t="s">
        <v>683</v>
      </c>
      <c r="C14" s="980"/>
      <c r="D14" s="900">
        <f t="shared" si="0"/>
        <v>6253044</v>
      </c>
      <c r="E14" s="943">
        <f t="shared" si="1"/>
        <v>521087</v>
      </c>
      <c r="F14" s="900">
        <f>원가집계!G17</f>
        <v>131574</v>
      </c>
      <c r="G14" s="943">
        <f t="shared" si="2"/>
        <v>254196</v>
      </c>
      <c r="H14" s="901">
        <f>원가집계!H17</f>
        <v>127098</v>
      </c>
      <c r="I14" s="902">
        <f>원가집계!J17</f>
        <v>135317</v>
      </c>
      <c r="J14" s="900">
        <f t="shared" si="3"/>
        <v>6253044</v>
      </c>
      <c r="K14" s="900">
        <f t="shared" si="4"/>
        <v>521087</v>
      </c>
      <c r="L14" s="900">
        <f>원가집계!G17</f>
        <v>131574</v>
      </c>
      <c r="M14" s="900">
        <f t="shared" si="5"/>
        <v>254196</v>
      </c>
      <c r="N14" s="900">
        <f>원가집계!H17</f>
        <v>127098</v>
      </c>
      <c r="O14" s="903">
        <f>원가집계!J17</f>
        <v>135317</v>
      </c>
      <c r="P14" s="904">
        <f t="shared" si="6"/>
        <v>0</v>
      </c>
      <c r="Q14" s="905">
        <f t="shared" si="7"/>
        <v>0</v>
      </c>
      <c r="R14" s="915" t="s">
        <v>705</v>
      </c>
    </row>
    <row r="15" spans="1:18" ht="21" customHeight="1">
      <c r="A15" s="978"/>
      <c r="B15" s="979" t="s">
        <v>685</v>
      </c>
      <c r="C15" s="980"/>
      <c r="D15" s="900">
        <f t="shared" si="0"/>
        <v>1250580</v>
      </c>
      <c r="E15" s="943">
        <f t="shared" si="1"/>
        <v>104215</v>
      </c>
      <c r="F15" s="900">
        <f>원가집계!G18</f>
        <v>26314</v>
      </c>
      <c r="G15" s="943">
        <f t="shared" si="2"/>
        <v>50838</v>
      </c>
      <c r="H15" s="901">
        <f>원가집계!H18</f>
        <v>25419</v>
      </c>
      <c r="I15" s="902">
        <f>원가집계!J18</f>
        <v>27063</v>
      </c>
      <c r="J15" s="900">
        <f t="shared" si="3"/>
        <v>1250580</v>
      </c>
      <c r="K15" s="900">
        <f t="shared" si="4"/>
        <v>104215</v>
      </c>
      <c r="L15" s="900">
        <f>원가집계!G18</f>
        <v>26314</v>
      </c>
      <c r="M15" s="900">
        <f t="shared" si="5"/>
        <v>50838</v>
      </c>
      <c r="N15" s="900">
        <f>원가집계!H18</f>
        <v>25419</v>
      </c>
      <c r="O15" s="903">
        <f>원가집계!J18</f>
        <v>27063</v>
      </c>
      <c r="P15" s="904">
        <f t="shared" si="6"/>
        <v>0</v>
      </c>
      <c r="Q15" s="905">
        <f t="shared" si="7"/>
        <v>0</v>
      </c>
      <c r="R15" s="915" t="s">
        <v>706</v>
      </c>
    </row>
    <row r="16" spans="1:18" ht="21" customHeight="1">
      <c r="A16" s="978"/>
      <c r="B16" s="979" t="s">
        <v>686</v>
      </c>
      <c r="C16" s="980"/>
      <c r="D16" s="900">
        <f t="shared" si="0"/>
        <v>4217304</v>
      </c>
      <c r="E16" s="943">
        <f t="shared" si="1"/>
        <v>351442</v>
      </c>
      <c r="F16" s="900">
        <v>88739</v>
      </c>
      <c r="G16" s="943">
        <f t="shared" si="2"/>
        <v>171440</v>
      </c>
      <c r="H16" s="901">
        <v>85720</v>
      </c>
      <c r="I16" s="902">
        <v>91263</v>
      </c>
      <c r="J16" s="900">
        <f t="shared" si="3"/>
        <v>4252068</v>
      </c>
      <c r="K16" s="900">
        <f t="shared" si="4"/>
        <v>354339</v>
      </c>
      <c r="L16" s="900">
        <f>원가집계!G19</f>
        <v>89470</v>
      </c>
      <c r="M16" s="900">
        <f t="shared" si="5"/>
        <v>172854</v>
      </c>
      <c r="N16" s="900">
        <f>원가집계!H19</f>
        <v>86427</v>
      </c>
      <c r="O16" s="903">
        <f>원가집계!J19</f>
        <v>92015</v>
      </c>
      <c r="P16" s="904">
        <f t="shared" si="6"/>
        <v>-34764</v>
      </c>
      <c r="Q16" s="905">
        <f t="shared" si="7"/>
        <v>-8.2431809516221744E-3</v>
      </c>
      <c r="R16" s="915" t="s">
        <v>707</v>
      </c>
    </row>
    <row r="17" spans="1:18" ht="21" customHeight="1">
      <c r="A17" s="978"/>
      <c r="B17" s="979" t="s">
        <v>687</v>
      </c>
      <c r="C17" s="980"/>
      <c r="D17" s="900">
        <f t="shared" si="0"/>
        <v>276204</v>
      </c>
      <c r="E17" s="943">
        <f t="shared" si="1"/>
        <v>23017</v>
      </c>
      <c r="F17" s="900">
        <v>5812</v>
      </c>
      <c r="G17" s="943">
        <f t="shared" si="2"/>
        <v>11228</v>
      </c>
      <c r="H17" s="901">
        <v>5614</v>
      </c>
      <c r="I17" s="902">
        <v>5977</v>
      </c>
      <c r="J17" s="900">
        <f t="shared" si="3"/>
        <v>278472</v>
      </c>
      <c r="K17" s="900">
        <f t="shared" si="4"/>
        <v>23206</v>
      </c>
      <c r="L17" s="900">
        <f>원가집계!G20</f>
        <v>5860</v>
      </c>
      <c r="M17" s="900">
        <f t="shared" si="5"/>
        <v>11320</v>
      </c>
      <c r="N17" s="900">
        <f>원가집계!H20</f>
        <v>5660</v>
      </c>
      <c r="O17" s="903">
        <f>원가집계!J20</f>
        <v>6026</v>
      </c>
      <c r="P17" s="904">
        <f t="shared" si="6"/>
        <v>-2268</v>
      </c>
      <c r="Q17" s="905">
        <f t="shared" si="7"/>
        <v>-8.2113220662988224E-3</v>
      </c>
      <c r="R17" s="915" t="s">
        <v>664</v>
      </c>
    </row>
    <row r="18" spans="1:18" ht="21" customHeight="1">
      <c r="A18" s="978"/>
      <c r="B18" s="979" t="s">
        <v>688</v>
      </c>
      <c r="C18" s="980"/>
      <c r="D18" s="900">
        <f t="shared" si="0"/>
        <v>111144</v>
      </c>
      <c r="E18" s="943">
        <f t="shared" si="1"/>
        <v>9262</v>
      </c>
      <c r="F18" s="900">
        <v>2339</v>
      </c>
      <c r="G18" s="943">
        <f t="shared" si="2"/>
        <v>4518</v>
      </c>
      <c r="H18" s="901">
        <v>2259</v>
      </c>
      <c r="I18" s="902">
        <v>2405</v>
      </c>
      <c r="J18" s="900">
        <f t="shared" si="3"/>
        <v>83352</v>
      </c>
      <c r="K18" s="900">
        <f t="shared" si="4"/>
        <v>6946</v>
      </c>
      <c r="L18" s="900">
        <f>원가집계!G21</f>
        <v>1754</v>
      </c>
      <c r="M18" s="900">
        <f t="shared" si="5"/>
        <v>3388</v>
      </c>
      <c r="N18" s="900">
        <f>원가집계!H21</f>
        <v>1694</v>
      </c>
      <c r="O18" s="903">
        <f>원가집계!J21</f>
        <v>1804</v>
      </c>
      <c r="P18" s="904">
        <f t="shared" si="6"/>
        <v>27792</v>
      </c>
      <c r="Q18" s="905">
        <f t="shared" si="7"/>
        <v>0.25005398402072987</v>
      </c>
      <c r="R18" s="915" t="s">
        <v>665</v>
      </c>
    </row>
    <row r="19" spans="1:18" ht="21" customHeight="1">
      <c r="A19" s="974"/>
      <c r="B19" s="975" t="s">
        <v>666</v>
      </c>
      <c r="C19" s="976"/>
      <c r="D19" s="909">
        <f t="shared" si="0"/>
        <v>14470545</v>
      </c>
      <c r="E19" s="944">
        <f t="shared" si="1"/>
        <v>1205878.75</v>
      </c>
      <c r="F19" s="909">
        <f>F13+F14+F15+F16+F17+F18</f>
        <v>304483.94299999997</v>
      </c>
      <c r="G19" s="944">
        <f t="shared" si="2"/>
        <v>588250.04200000002</v>
      </c>
      <c r="H19" s="910">
        <f>H13+H14+H15+H16+H17+H18</f>
        <v>294125.02100000001</v>
      </c>
      <c r="I19" s="911">
        <f>SUM(I13+I14+I15+I16+I17+I18)</f>
        <v>313144.76500000001</v>
      </c>
      <c r="J19" s="909">
        <f t="shared" si="3"/>
        <v>14757660</v>
      </c>
      <c r="K19" s="909">
        <f t="shared" si="4"/>
        <v>1229805</v>
      </c>
      <c r="L19" s="909">
        <f>원가집계!G22</f>
        <v>310525</v>
      </c>
      <c r="M19" s="909">
        <f t="shared" si="5"/>
        <v>599922</v>
      </c>
      <c r="N19" s="909">
        <f>원가집계!H22</f>
        <v>299961</v>
      </c>
      <c r="O19" s="954">
        <f>원가집계!J22</f>
        <v>319358</v>
      </c>
      <c r="P19" s="912">
        <f t="shared" si="6"/>
        <v>-287115</v>
      </c>
      <c r="Q19" s="913">
        <f t="shared" si="7"/>
        <v>-1.9841339769856629E-2</v>
      </c>
      <c r="R19" s="916"/>
    </row>
    <row r="20" spans="1:18" ht="21" customHeight="1">
      <c r="A20" s="973" t="s">
        <v>689</v>
      </c>
      <c r="B20" s="975" t="s">
        <v>667</v>
      </c>
      <c r="C20" s="976"/>
      <c r="D20" s="909">
        <f t="shared" si="0"/>
        <v>694776</v>
      </c>
      <c r="E20" s="944">
        <f>57898</f>
        <v>57898</v>
      </c>
      <c r="F20" s="909">
        <f>(F12-F11)*0.5%</f>
        <v>14619.395</v>
      </c>
      <c r="G20" s="944">
        <f t="shared" si="2"/>
        <v>28244.13</v>
      </c>
      <c r="H20" s="910">
        <f>(H12-H11)*0.5%</f>
        <v>14122.065000000001</v>
      </c>
      <c r="I20" s="911">
        <f>(I12-I11)*0.5%</f>
        <v>15035.225</v>
      </c>
      <c r="J20" s="909">
        <f t="shared" si="3"/>
        <v>694776</v>
      </c>
      <c r="K20" s="909">
        <f t="shared" si="4"/>
        <v>57898</v>
      </c>
      <c r="L20" s="909">
        <f>원가집계!G27</f>
        <v>14619</v>
      </c>
      <c r="M20" s="909">
        <f t="shared" si="5"/>
        <v>28244</v>
      </c>
      <c r="N20" s="909">
        <f>원가집계!H27</f>
        <v>14122</v>
      </c>
      <c r="O20" s="954">
        <f>원가집계!J27</f>
        <v>15035</v>
      </c>
      <c r="P20" s="912">
        <f t="shared" si="6"/>
        <v>0</v>
      </c>
      <c r="Q20" s="913">
        <f t="shared" si="7"/>
        <v>0</v>
      </c>
      <c r="R20" s="955" t="s">
        <v>668</v>
      </c>
    </row>
    <row r="21" spans="1:18" ht="21" customHeight="1">
      <c r="A21" s="974"/>
      <c r="B21" s="975" t="s">
        <v>669</v>
      </c>
      <c r="C21" s="976"/>
      <c r="D21" s="909">
        <f>E21*12</f>
        <v>694776</v>
      </c>
      <c r="E21" s="944">
        <f>E20</f>
        <v>57898</v>
      </c>
      <c r="F21" s="909">
        <f>F20</f>
        <v>14619.395</v>
      </c>
      <c r="G21" s="944">
        <f t="shared" si="2"/>
        <v>28244.13</v>
      </c>
      <c r="H21" s="910">
        <f>H20</f>
        <v>14122.065000000001</v>
      </c>
      <c r="I21" s="911">
        <f>I20</f>
        <v>15035.225</v>
      </c>
      <c r="J21" s="909">
        <f>J20</f>
        <v>694776</v>
      </c>
      <c r="K21" s="909">
        <f t="shared" si="4"/>
        <v>57898</v>
      </c>
      <c r="L21" s="909">
        <f>L20</f>
        <v>14619</v>
      </c>
      <c r="M21" s="909">
        <f>M20</f>
        <v>28244</v>
      </c>
      <c r="N21" s="909">
        <f>원가집계!H29</f>
        <v>314083</v>
      </c>
      <c r="O21" s="954">
        <f>O20</f>
        <v>15035</v>
      </c>
      <c r="P21" s="912">
        <f>D21-J21</f>
        <v>0</v>
      </c>
      <c r="Q21" s="913">
        <f t="shared" si="7"/>
        <v>0</v>
      </c>
      <c r="R21" s="917"/>
    </row>
    <row r="22" spans="1:18" ht="21" customHeight="1">
      <c r="A22" s="977" t="s">
        <v>670</v>
      </c>
      <c r="B22" s="975"/>
      <c r="C22" s="976"/>
      <c r="D22" s="909">
        <f t="shared" si="0"/>
        <v>165702054</v>
      </c>
      <c r="E22" s="944">
        <f t="shared" si="1"/>
        <v>13808504.5</v>
      </c>
      <c r="F22" s="909">
        <f>F12+F19+F21</f>
        <v>3486638.338</v>
      </c>
      <c r="G22" s="944">
        <f t="shared" si="2"/>
        <v>6736054.1720000003</v>
      </c>
      <c r="H22" s="910">
        <f>H12+H19+H21</f>
        <v>3368027.0860000001</v>
      </c>
      <c r="I22" s="911">
        <f>SUM(I12+I19+I21)</f>
        <v>3585811.99</v>
      </c>
      <c r="J22" s="909">
        <f t="shared" si="3"/>
        <v>165989160</v>
      </c>
      <c r="K22" s="909">
        <f t="shared" si="4"/>
        <v>13832430</v>
      </c>
      <c r="L22" s="909">
        <f>원가집계!G30</f>
        <v>3492679</v>
      </c>
      <c r="M22" s="909">
        <f t="shared" si="5"/>
        <v>6747726</v>
      </c>
      <c r="N22" s="909">
        <f>원가집계!H30</f>
        <v>3373863</v>
      </c>
      <c r="O22" s="954">
        <f>원가집계!J30</f>
        <v>3592025</v>
      </c>
      <c r="P22" s="912">
        <f t="shared" si="6"/>
        <v>-287106</v>
      </c>
      <c r="Q22" s="913">
        <f t="shared" si="7"/>
        <v>-1.7326640984184783E-3</v>
      </c>
      <c r="R22" s="918" t="s">
        <v>671</v>
      </c>
    </row>
    <row r="23" spans="1:18" ht="21" customHeight="1">
      <c r="A23" s="964" t="s">
        <v>672</v>
      </c>
      <c r="B23" s="965"/>
      <c r="C23" s="966"/>
      <c r="D23" s="919">
        <f t="shared" si="0"/>
        <v>6628081.9152000016</v>
      </c>
      <c r="E23" s="945">
        <f t="shared" si="1"/>
        <v>552340.15960000013</v>
      </c>
      <c r="F23" s="956">
        <f>TRUNC(F22)*4%</f>
        <v>139465.51999999999</v>
      </c>
      <c r="G23" s="945">
        <f t="shared" si="2"/>
        <v>269442.16000000003</v>
      </c>
      <c r="H23" s="921">
        <f>TRUNC(H22)*4%</f>
        <v>134721.08000000002</v>
      </c>
      <c r="I23" s="921">
        <f>I22*4%</f>
        <v>143432.47960000002</v>
      </c>
      <c r="J23" s="919">
        <f t="shared" si="3"/>
        <v>6639552</v>
      </c>
      <c r="K23" s="919">
        <f t="shared" si="4"/>
        <v>553296</v>
      </c>
      <c r="L23" s="919">
        <f>원가집계!G31</f>
        <v>139707</v>
      </c>
      <c r="M23" s="919">
        <f t="shared" si="5"/>
        <v>269908</v>
      </c>
      <c r="N23" s="919">
        <f>원가집계!H31</f>
        <v>134954</v>
      </c>
      <c r="O23" s="956">
        <f>원가집계!J31</f>
        <v>143681</v>
      </c>
      <c r="P23" s="922">
        <f t="shared" si="6"/>
        <v>-11470.08479999844</v>
      </c>
      <c r="Q23" s="923">
        <f t="shared" si="7"/>
        <v>-1.730528521938512E-3</v>
      </c>
      <c r="R23" s="924" t="s">
        <v>708</v>
      </c>
    </row>
    <row r="24" spans="1:18" ht="21" customHeight="1">
      <c r="A24" s="961" t="s">
        <v>673</v>
      </c>
      <c r="B24" s="962"/>
      <c r="C24" s="963"/>
      <c r="D24" s="925">
        <f t="shared" si="0"/>
        <v>10339776</v>
      </c>
      <c r="E24" s="946">
        <f t="shared" si="1"/>
        <v>861648</v>
      </c>
      <c r="F24" s="957">
        <f>TRUNC(SUM(F22+F23)*6%,0)</f>
        <v>217566</v>
      </c>
      <c r="G24" s="946">
        <f t="shared" si="2"/>
        <v>420328</v>
      </c>
      <c r="H24" s="926">
        <f>TRUNC(SUM(H22+H23)*6%,0)</f>
        <v>210164</v>
      </c>
      <c r="I24" s="927">
        <f>TRUNC(SUM(I22+I23)*6%,0)</f>
        <v>223754</v>
      </c>
      <c r="J24" s="925">
        <f t="shared" si="3"/>
        <v>10357716</v>
      </c>
      <c r="K24" s="925">
        <f t="shared" si="4"/>
        <v>863143</v>
      </c>
      <c r="L24" s="925">
        <f>원가집계!G32</f>
        <v>217943</v>
      </c>
      <c r="M24" s="925">
        <f t="shared" si="5"/>
        <v>421058</v>
      </c>
      <c r="N24" s="925">
        <f>원가집계!H32</f>
        <v>210529</v>
      </c>
      <c r="O24" s="957">
        <f>원가집계!J32</f>
        <v>224142</v>
      </c>
      <c r="P24" s="928">
        <f t="shared" si="6"/>
        <v>-17940</v>
      </c>
      <c r="Q24" s="929">
        <f t="shared" si="7"/>
        <v>-1.735047258277162E-3</v>
      </c>
      <c r="R24" s="930" t="s">
        <v>709</v>
      </c>
    </row>
    <row r="25" spans="1:18" ht="21" customHeight="1">
      <c r="A25" s="964" t="s">
        <v>669</v>
      </c>
      <c r="B25" s="965"/>
      <c r="C25" s="966"/>
      <c r="D25" s="919">
        <f t="shared" si="0"/>
        <v>182669871.984</v>
      </c>
      <c r="E25" s="945">
        <f t="shared" si="1"/>
        <v>15222489.332</v>
      </c>
      <c r="F25" s="956">
        <v>3843668</v>
      </c>
      <c r="G25" s="945">
        <f t="shared" si="2"/>
        <v>7425824.3320000004</v>
      </c>
      <c r="H25" s="920">
        <f>H22+H23+H24</f>
        <v>3712912.1660000002</v>
      </c>
      <c r="I25" s="921">
        <v>3952997</v>
      </c>
      <c r="J25" s="919">
        <f t="shared" si="3"/>
        <v>182986428</v>
      </c>
      <c r="K25" s="919">
        <f t="shared" si="4"/>
        <v>15248869</v>
      </c>
      <c r="L25" s="919">
        <f>원가집계!G33</f>
        <v>3850329</v>
      </c>
      <c r="M25" s="919">
        <f t="shared" si="5"/>
        <v>7438692</v>
      </c>
      <c r="N25" s="919">
        <f>원가집계!H33</f>
        <v>3719346</v>
      </c>
      <c r="O25" s="956">
        <f>원가집계!J33</f>
        <v>3959848</v>
      </c>
      <c r="P25" s="922">
        <f t="shared" si="6"/>
        <v>-316556.01600000262</v>
      </c>
      <c r="Q25" s="923">
        <f t="shared" si="7"/>
        <v>-1.7329404819845151E-3</v>
      </c>
      <c r="R25" s="924" t="s">
        <v>674</v>
      </c>
    </row>
    <row r="26" spans="1:18" ht="21" customHeight="1" thickBot="1">
      <c r="A26" s="967" t="s">
        <v>675</v>
      </c>
      <c r="B26" s="968"/>
      <c r="C26" s="969"/>
      <c r="D26" s="931">
        <f t="shared" si="0"/>
        <v>18266969.198400002</v>
      </c>
      <c r="E26" s="947">
        <f t="shared" si="1"/>
        <v>1522247.4332000001</v>
      </c>
      <c r="F26" s="958">
        <f>TRUNC((F25)*10%,0)</f>
        <v>384366</v>
      </c>
      <c r="G26" s="947">
        <f t="shared" si="2"/>
        <v>742582.43320000009</v>
      </c>
      <c r="H26" s="932">
        <f>H25*10%</f>
        <v>371291.21660000004</v>
      </c>
      <c r="I26" s="932">
        <f>TRUNC((I25)*10%,0)</f>
        <v>395299</v>
      </c>
      <c r="J26" s="931">
        <f t="shared" si="3"/>
        <v>18298608</v>
      </c>
      <c r="K26" s="931">
        <f t="shared" si="4"/>
        <v>1524884</v>
      </c>
      <c r="L26" s="931">
        <f>원가집계!G34</f>
        <v>385032</v>
      </c>
      <c r="M26" s="931">
        <f t="shared" si="5"/>
        <v>743868</v>
      </c>
      <c r="N26" s="931">
        <f>원가집계!H34</f>
        <v>371934</v>
      </c>
      <c r="O26" s="958">
        <f>원가집계!J34</f>
        <v>395984</v>
      </c>
      <c r="P26" s="933">
        <f t="shared" si="6"/>
        <v>-31638.801599998027</v>
      </c>
      <c r="Q26" s="934">
        <f t="shared" si="7"/>
        <v>-1.7320224968009066E-3</v>
      </c>
      <c r="R26" s="935" t="s">
        <v>676</v>
      </c>
    </row>
    <row r="27" spans="1:18" ht="21" customHeight="1" thickBot="1">
      <c r="A27" s="970" t="s">
        <v>677</v>
      </c>
      <c r="B27" s="971"/>
      <c r="C27" s="972"/>
      <c r="D27" s="936">
        <f>ROUNDDOWN(D25+D26,-3)</f>
        <v>200936000</v>
      </c>
      <c r="E27" s="948">
        <f t="shared" si="1"/>
        <v>16744736.7652</v>
      </c>
      <c r="F27" s="959">
        <f>SUM(F25+F26)</f>
        <v>4228034</v>
      </c>
      <c r="G27" s="948">
        <f t="shared" si="2"/>
        <v>8168406.7652000003</v>
      </c>
      <c r="H27" s="937">
        <f>H25+H26</f>
        <v>4084203.3826000001</v>
      </c>
      <c r="I27" s="938">
        <f>I25+I26</f>
        <v>4348296</v>
      </c>
      <c r="J27" s="936">
        <f>ROUNDDOWN(J25+J26,-3)</f>
        <v>201285000</v>
      </c>
      <c r="K27" s="936">
        <f t="shared" si="4"/>
        <v>16773753</v>
      </c>
      <c r="L27" s="936">
        <f>원가집계!G35</f>
        <v>4235361</v>
      </c>
      <c r="M27" s="936">
        <f t="shared" si="5"/>
        <v>8182560</v>
      </c>
      <c r="N27" s="936">
        <f>원가집계!H35</f>
        <v>4091280</v>
      </c>
      <c r="O27" s="959">
        <f>원가집계!J35</f>
        <v>4355832</v>
      </c>
      <c r="P27" s="939">
        <f t="shared" si="6"/>
        <v>-349000</v>
      </c>
      <c r="Q27" s="940">
        <f t="shared" si="7"/>
        <v>-1.7368714416530636E-3</v>
      </c>
      <c r="R27" s="941" t="s">
        <v>678</v>
      </c>
    </row>
  </sheetData>
  <mergeCells count="31">
    <mergeCell ref="A1:R1"/>
    <mergeCell ref="A2:R2"/>
    <mergeCell ref="A3:C4"/>
    <mergeCell ref="D3:I3"/>
    <mergeCell ref="J3:O3"/>
    <mergeCell ref="P3:P4"/>
    <mergeCell ref="Q3:Q4"/>
    <mergeCell ref="R3:R4"/>
    <mergeCell ref="A5:A12"/>
    <mergeCell ref="B5:C5"/>
    <mergeCell ref="B6:B9"/>
    <mergeCell ref="B10:C10"/>
    <mergeCell ref="B11:C11"/>
    <mergeCell ref="B12:C12"/>
    <mergeCell ref="A13:A19"/>
    <mergeCell ref="B13:C13"/>
    <mergeCell ref="B14:C14"/>
    <mergeCell ref="B15:C15"/>
    <mergeCell ref="B16:C16"/>
    <mergeCell ref="B17:C17"/>
    <mergeCell ref="B18:C18"/>
    <mergeCell ref="B19:C19"/>
    <mergeCell ref="A24:C24"/>
    <mergeCell ref="A25:C25"/>
    <mergeCell ref="A26:C26"/>
    <mergeCell ref="A27:C27"/>
    <mergeCell ref="A20:A21"/>
    <mergeCell ref="B20:C20"/>
    <mergeCell ref="B21:C21"/>
    <mergeCell ref="A22:C22"/>
    <mergeCell ref="A23:C23"/>
  </mergeCells>
  <phoneticPr fontId="5" type="noConversion"/>
  <printOptions horizontalCentered="1" verticalCentered="1"/>
  <pageMargins left="0.27559055118110237" right="0.15748031496062992" top="0.19685039370078741" bottom="0.27559055118110237" header="0.51181102362204722" footer="0.19685039370078741"/>
  <pageSetup paperSize="9" scale="60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tabColor rgb="FFFF0000"/>
  </sheetPr>
  <dimension ref="A1:L35"/>
  <sheetViews>
    <sheetView showGridLines="0" showZeros="0" topLeftCell="B9" zoomScaleNormal="100" zoomScaleSheetLayoutView="100" workbookViewId="0">
      <selection activeCell="R26" sqref="R26"/>
    </sheetView>
  </sheetViews>
  <sheetFormatPr defaultRowHeight="12"/>
  <cols>
    <col min="1" max="1" width="1.7109375" style="105" customWidth="1"/>
    <col min="2" max="2" width="3.7109375" style="116" customWidth="1"/>
    <col min="3" max="3" width="8.28515625" style="105" customWidth="1"/>
    <col min="4" max="4" width="1.7109375" style="105" customWidth="1"/>
    <col min="5" max="5" width="21" style="116" customWidth="1"/>
    <col min="6" max="6" width="1.7109375" style="116" customWidth="1"/>
    <col min="7" max="8" width="15.28515625" style="85" customWidth="1"/>
    <col min="9" max="9" width="15.28515625" style="85" hidden="1" customWidth="1"/>
    <col min="10" max="10" width="15.28515625" style="85" customWidth="1"/>
    <col min="11" max="11" width="15.28515625" style="658" hidden="1" customWidth="1"/>
    <col min="12" max="12" width="15.28515625" style="85" hidden="1" customWidth="1"/>
    <col min="13" max="16384" width="9.140625" style="105"/>
  </cols>
  <sheetData>
    <row r="1" spans="1:12" ht="20.100000000000001" customHeight="1">
      <c r="A1" s="104" t="s">
        <v>276</v>
      </c>
      <c r="B1" s="104"/>
      <c r="C1" s="104"/>
      <c r="D1" s="104"/>
      <c r="E1" s="105"/>
      <c r="F1" s="105"/>
      <c r="G1" s="105"/>
      <c r="H1" s="105"/>
      <c r="I1" s="105"/>
      <c r="J1" s="105"/>
      <c r="K1" s="614"/>
      <c r="L1" s="105"/>
    </row>
    <row r="2" spans="1:12" s="76" customFormat="1" ht="39.950000000000003" customHeight="1">
      <c r="A2" s="75" t="s">
        <v>305</v>
      </c>
      <c r="B2" s="107"/>
      <c r="C2" s="108"/>
      <c r="D2" s="108"/>
      <c r="E2" s="109"/>
      <c r="F2" s="109"/>
      <c r="G2" s="110"/>
      <c r="H2" s="110"/>
      <c r="I2" s="110"/>
      <c r="J2" s="110"/>
      <c r="K2" s="745"/>
      <c r="L2" s="110"/>
    </row>
    <row r="3" spans="1:12" ht="20.100000000000001" customHeight="1">
      <c r="A3" s="111"/>
      <c r="B3" s="112"/>
      <c r="C3" s="111"/>
      <c r="D3" s="111"/>
      <c r="E3" s="112"/>
      <c r="F3" s="112"/>
      <c r="G3" s="113"/>
      <c r="H3" s="113"/>
      <c r="I3" s="113"/>
      <c r="J3" s="113"/>
      <c r="K3" s="749"/>
      <c r="L3" s="113"/>
    </row>
    <row r="4" spans="1:12" ht="19.5" customHeight="1">
      <c r="A4" s="74" t="str">
        <f>집계!A4</f>
        <v>건 명 : 경기문화재단 2017년도 파견 용역</v>
      </c>
      <c r="B4" s="114"/>
      <c r="C4" s="115"/>
      <c r="D4" s="115"/>
      <c r="G4" s="117"/>
      <c r="H4" s="118"/>
      <c r="I4" s="118"/>
      <c r="J4" s="118"/>
      <c r="K4" s="659"/>
      <c r="L4" s="118" t="s">
        <v>551</v>
      </c>
    </row>
    <row r="5" spans="1:12" ht="24.95" customHeight="1">
      <c r="A5" s="119"/>
      <c r="B5" s="120"/>
      <c r="C5" s="120"/>
      <c r="D5" s="120"/>
      <c r="E5" s="121" t="s">
        <v>216</v>
      </c>
      <c r="F5" s="121"/>
      <c r="G5" s="122" t="str">
        <f>인집!B16</f>
        <v>사무보조원</v>
      </c>
      <c r="H5" s="122" t="str">
        <f>인집!B15</f>
        <v>운 전 원</v>
      </c>
      <c r="I5" s="122">
        <f>인집!$B$13</f>
        <v>0</v>
      </c>
      <c r="J5" s="122" t="str">
        <f>인집!$B$14</f>
        <v>다산홀운영</v>
      </c>
      <c r="K5" s="776" t="str">
        <f>인집!$B$15</f>
        <v>운 전 원</v>
      </c>
      <c r="L5" s="122" t="str">
        <f>인집!$B$16</f>
        <v>사무보조원</v>
      </c>
    </row>
    <row r="6" spans="1:12" ht="24.95" customHeight="1">
      <c r="A6" s="123" t="s">
        <v>217</v>
      </c>
      <c r="B6" s="124"/>
      <c r="C6" s="125"/>
      <c r="D6" s="125"/>
      <c r="E6" s="125"/>
      <c r="F6" s="125"/>
      <c r="G6" s="126" t="str">
        <f>인집!E16</f>
        <v>단순노무종사원</v>
      </c>
      <c r="H6" s="126" t="str">
        <f>인집!E15</f>
        <v>단순노무종사원</v>
      </c>
      <c r="I6" s="126" t="str">
        <f>"("&amp;인집!$E$13&amp;")"</f>
        <v>(0)</v>
      </c>
      <c r="J6" s="126" t="str">
        <f>"("&amp;인집!$E$14&amp;")"</f>
        <v>(전기기능사)</v>
      </c>
      <c r="K6" s="777" t="str">
        <f>"("&amp;인집!$E$15&amp;")"</f>
        <v>(단순노무종사원)</v>
      </c>
      <c r="L6" s="126" t="str">
        <f>"("&amp;인집!$E$16&amp;")"</f>
        <v>(단순노무종사원)</v>
      </c>
    </row>
    <row r="7" spans="1:12" ht="17.45" customHeight="1">
      <c r="A7" s="1015" t="s">
        <v>205</v>
      </c>
      <c r="B7" s="1016"/>
      <c r="C7" s="1012" t="s">
        <v>218</v>
      </c>
      <c r="D7" s="1013"/>
      <c r="E7" s="1013"/>
      <c r="F7" s="1014"/>
      <c r="G7" s="127">
        <f>원가!G357</f>
        <v>1732380</v>
      </c>
      <c r="H7" s="127">
        <f>원가!G322</f>
        <v>1732380</v>
      </c>
      <c r="I7" s="127">
        <f>원가!G252</f>
        <v>0</v>
      </c>
      <c r="J7" s="127">
        <f>원가!G287</f>
        <v>2246244</v>
      </c>
      <c r="K7" s="778">
        <f>원가!G322</f>
        <v>1732380</v>
      </c>
      <c r="L7" s="127">
        <f>원가!G357</f>
        <v>1732380</v>
      </c>
    </row>
    <row r="8" spans="1:12" ht="17.45" customHeight="1">
      <c r="A8" s="1017"/>
      <c r="B8" s="1018"/>
      <c r="C8" s="1021" t="s">
        <v>280</v>
      </c>
      <c r="D8" s="128"/>
      <c r="E8" s="129" t="s">
        <v>0</v>
      </c>
      <c r="F8" s="130"/>
      <c r="G8" s="127">
        <f>원가!G358</f>
        <v>431685</v>
      </c>
      <c r="H8" s="127">
        <f>원가!G323</f>
        <v>431685</v>
      </c>
      <c r="I8" s="127">
        <f>원가!G253</f>
        <v>0</v>
      </c>
      <c r="J8" s="127">
        <f>원가!G288</f>
        <v>559733</v>
      </c>
      <c r="K8" s="778">
        <f>원가!G323</f>
        <v>431685</v>
      </c>
      <c r="L8" s="127">
        <f>원가!G358</f>
        <v>431685</v>
      </c>
    </row>
    <row r="9" spans="1:12" ht="17.45" customHeight="1">
      <c r="A9" s="1017"/>
      <c r="B9" s="1018"/>
      <c r="C9" s="1022"/>
      <c r="D9" s="128"/>
      <c r="E9" s="129" t="s">
        <v>229</v>
      </c>
      <c r="F9" s="130"/>
      <c r="G9" s="127">
        <f>원가!G359</f>
        <v>99466</v>
      </c>
      <c r="H9" s="127">
        <f>원가!G324</f>
        <v>0</v>
      </c>
      <c r="I9" s="127">
        <f>원가!G254</f>
        <v>0</v>
      </c>
      <c r="J9" s="127">
        <f>원가!G289</f>
        <v>0</v>
      </c>
      <c r="K9" s="778">
        <f>원가!G324</f>
        <v>0</v>
      </c>
      <c r="L9" s="127">
        <f>원가!G359</f>
        <v>99466</v>
      </c>
    </row>
    <row r="10" spans="1:12" ht="17.45" customHeight="1">
      <c r="A10" s="1017"/>
      <c r="B10" s="1018"/>
      <c r="C10" s="1022"/>
      <c r="D10" s="128"/>
      <c r="E10" s="129" t="s">
        <v>4</v>
      </c>
      <c r="F10" s="130"/>
      <c r="G10" s="127">
        <f>원가!G360</f>
        <v>82888</v>
      </c>
      <c r="H10" s="127">
        <f>원가!G325</f>
        <v>82888</v>
      </c>
      <c r="I10" s="127">
        <f>원가!G255</f>
        <v>0</v>
      </c>
      <c r="J10" s="127">
        <f>원가!G290</f>
        <v>107475</v>
      </c>
      <c r="K10" s="778">
        <f>원가!G325</f>
        <v>82888</v>
      </c>
      <c r="L10" s="127">
        <f>원가!G360</f>
        <v>82888</v>
      </c>
    </row>
    <row r="11" spans="1:12" ht="17.45" customHeight="1">
      <c r="A11" s="1017"/>
      <c r="B11" s="1018"/>
      <c r="C11" s="1022"/>
      <c r="D11" s="128"/>
      <c r="E11" s="129" t="s">
        <v>257</v>
      </c>
      <c r="F11" s="130"/>
      <c r="G11" s="127">
        <f>원가!G186</f>
        <v>0</v>
      </c>
      <c r="H11" s="127">
        <f>원가!G221</f>
        <v>0</v>
      </c>
      <c r="I11" s="127">
        <f>원가!G256</f>
        <v>0</v>
      </c>
      <c r="J11" s="127">
        <f>원가!G291</f>
        <v>0</v>
      </c>
      <c r="K11" s="778">
        <f>원가!G326</f>
        <v>0</v>
      </c>
      <c r="L11" s="127">
        <f>원가!G361</f>
        <v>0</v>
      </c>
    </row>
    <row r="12" spans="1:12" ht="17.45" customHeight="1">
      <c r="A12" s="1017"/>
      <c r="B12" s="1018"/>
      <c r="C12" s="1023"/>
      <c r="D12" s="128"/>
      <c r="E12" s="128" t="s">
        <v>5</v>
      </c>
      <c r="F12" s="131"/>
      <c r="G12" s="127">
        <f>원가!G362</f>
        <v>614039</v>
      </c>
      <c r="H12" s="127">
        <f>원가!G327</f>
        <v>514573</v>
      </c>
      <c r="I12" s="127">
        <f>원가!G257</f>
        <v>0</v>
      </c>
      <c r="J12" s="127">
        <f>원가!G292</f>
        <v>667208</v>
      </c>
      <c r="K12" s="778">
        <f>원가!G327</f>
        <v>514573</v>
      </c>
      <c r="L12" s="127">
        <f>원가!G362</f>
        <v>614039</v>
      </c>
    </row>
    <row r="13" spans="1:12" ht="17.45" customHeight="1">
      <c r="A13" s="1017"/>
      <c r="B13" s="1018"/>
      <c r="C13" s="1012" t="s">
        <v>219</v>
      </c>
      <c r="D13" s="1013"/>
      <c r="E13" s="1013"/>
      <c r="F13" s="1014"/>
      <c r="G13" s="127">
        <f>원가!G363</f>
        <v>577460</v>
      </c>
      <c r="H13" s="127">
        <f>원가!G328</f>
        <v>577460</v>
      </c>
      <c r="I13" s="127">
        <f>원가!G258</f>
        <v>0</v>
      </c>
      <c r="J13" s="127">
        <f>원가!G293</f>
        <v>93593</v>
      </c>
      <c r="K13" s="778">
        <f>원가!G328</f>
        <v>577460</v>
      </c>
      <c r="L13" s="127">
        <f>원가!G363</f>
        <v>577460</v>
      </c>
    </row>
    <row r="14" spans="1:12" s="614" customFormat="1" ht="17.45" customHeight="1">
      <c r="A14" s="1017"/>
      <c r="B14" s="1018"/>
      <c r="C14" s="1027" t="s">
        <v>220</v>
      </c>
      <c r="D14" s="1028"/>
      <c r="E14" s="1028"/>
      <c r="F14" s="1029"/>
      <c r="G14" s="778">
        <f>원가!G364</f>
        <v>243656</v>
      </c>
      <c r="H14" s="778">
        <f>원가!G329</f>
        <v>235367</v>
      </c>
      <c r="I14" s="778">
        <f>원가!G259</f>
        <v>0</v>
      </c>
      <c r="J14" s="778">
        <f>원가!G294</f>
        <v>250587</v>
      </c>
      <c r="K14" s="778">
        <f>원가!G329</f>
        <v>235367</v>
      </c>
      <c r="L14" s="778">
        <f>원가!G364</f>
        <v>243656</v>
      </c>
    </row>
    <row r="15" spans="1:12" ht="17.45" customHeight="1">
      <c r="A15" s="1019"/>
      <c r="B15" s="1020"/>
      <c r="C15" s="1012" t="s">
        <v>221</v>
      </c>
      <c r="D15" s="1013"/>
      <c r="E15" s="1013"/>
      <c r="F15" s="1014"/>
      <c r="G15" s="127">
        <f>원가!G365</f>
        <v>3167535</v>
      </c>
      <c r="H15" s="127">
        <f>원가!G330</f>
        <v>3059780</v>
      </c>
      <c r="I15" s="127">
        <f>원가!G260</f>
        <v>0</v>
      </c>
      <c r="J15" s="127">
        <f>원가!G295</f>
        <v>3257632</v>
      </c>
      <c r="K15" s="778">
        <f>원가!G330</f>
        <v>3059780</v>
      </c>
      <c r="L15" s="127">
        <f>원가!G365</f>
        <v>3167535</v>
      </c>
    </row>
    <row r="16" spans="1:12" ht="17.45" customHeight="1">
      <c r="A16" s="1015" t="s">
        <v>232</v>
      </c>
      <c r="B16" s="1016"/>
      <c r="C16" s="1021" t="s">
        <v>3</v>
      </c>
      <c r="D16" s="128"/>
      <c r="E16" s="129" t="s">
        <v>27</v>
      </c>
      <c r="F16" s="129"/>
      <c r="G16" s="897">
        <f>원가!G366</f>
        <v>55553</v>
      </c>
      <c r="H16" s="897">
        <f>원가!G331</f>
        <v>53663</v>
      </c>
      <c r="I16" s="897">
        <f>원가!G261</f>
        <v>0</v>
      </c>
      <c r="J16" s="897">
        <f>원가!G296</f>
        <v>57133</v>
      </c>
      <c r="K16" s="778">
        <f>원가!G331</f>
        <v>53663</v>
      </c>
      <c r="L16" s="127">
        <f>원가!G366</f>
        <v>55553</v>
      </c>
    </row>
    <row r="17" spans="1:12" ht="17.45" customHeight="1">
      <c r="A17" s="1017"/>
      <c r="B17" s="1018"/>
      <c r="C17" s="1022"/>
      <c r="D17" s="128"/>
      <c r="E17" s="129" t="s">
        <v>222</v>
      </c>
      <c r="F17" s="129"/>
      <c r="G17" s="127">
        <f>원가!G367</f>
        <v>131574</v>
      </c>
      <c r="H17" s="127">
        <f>원가!G332</f>
        <v>127098</v>
      </c>
      <c r="I17" s="127">
        <f>원가!G262</f>
        <v>0</v>
      </c>
      <c r="J17" s="127">
        <f>원가!G297</f>
        <v>135317</v>
      </c>
      <c r="K17" s="778">
        <f>원가!G332</f>
        <v>127098</v>
      </c>
      <c r="L17" s="127">
        <f>원가!G367</f>
        <v>131574</v>
      </c>
    </row>
    <row r="18" spans="1:12" ht="17.45" customHeight="1">
      <c r="A18" s="1017"/>
      <c r="B18" s="1018"/>
      <c r="C18" s="1022"/>
      <c r="D18" s="128"/>
      <c r="E18" s="129" t="s">
        <v>223</v>
      </c>
      <c r="F18" s="129"/>
      <c r="G18" s="127">
        <f>원가!G368</f>
        <v>26314</v>
      </c>
      <c r="H18" s="127">
        <f>원가!G333</f>
        <v>25419</v>
      </c>
      <c r="I18" s="127">
        <f>원가!G263</f>
        <v>0</v>
      </c>
      <c r="J18" s="127">
        <f>원가!G298</f>
        <v>27063</v>
      </c>
      <c r="K18" s="778">
        <f>원가!G333</f>
        <v>25419</v>
      </c>
      <c r="L18" s="127">
        <f>원가!G368</f>
        <v>26314</v>
      </c>
    </row>
    <row r="19" spans="1:12" ht="17.45" customHeight="1">
      <c r="A19" s="1017"/>
      <c r="B19" s="1018"/>
      <c r="C19" s="1022"/>
      <c r="D19" s="128"/>
      <c r="E19" s="129" t="s">
        <v>224</v>
      </c>
      <c r="F19" s="129"/>
      <c r="G19" s="897">
        <f>원가!G369</f>
        <v>89470</v>
      </c>
      <c r="H19" s="897">
        <f>원가!G334</f>
        <v>86427</v>
      </c>
      <c r="I19" s="897">
        <f>원가!G264</f>
        <v>0</v>
      </c>
      <c r="J19" s="897">
        <f>원가!G299</f>
        <v>92015</v>
      </c>
      <c r="K19" s="778">
        <f>원가!G334</f>
        <v>86427</v>
      </c>
      <c r="L19" s="127">
        <f>원가!G369</f>
        <v>89470</v>
      </c>
    </row>
    <row r="20" spans="1:12" ht="17.45" customHeight="1">
      <c r="A20" s="1017"/>
      <c r="B20" s="1018"/>
      <c r="C20" s="1022"/>
      <c r="D20" s="128"/>
      <c r="E20" s="132" t="s">
        <v>255</v>
      </c>
      <c r="F20" s="129"/>
      <c r="G20" s="897">
        <f>원가!G370</f>
        <v>5860</v>
      </c>
      <c r="H20" s="897">
        <f>원가!G335</f>
        <v>5660</v>
      </c>
      <c r="I20" s="897">
        <f>원가!G265</f>
        <v>0</v>
      </c>
      <c r="J20" s="897">
        <f>원가!G300</f>
        <v>6026</v>
      </c>
      <c r="K20" s="778">
        <f>원가!G335</f>
        <v>5660</v>
      </c>
      <c r="L20" s="127">
        <f>원가!G370</f>
        <v>5860</v>
      </c>
    </row>
    <row r="21" spans="1:12" ht="17.45" customHeight="1">
      <c r="A21" s="1017"/>
      <c r="B21" s="1018"/>
      <c r="C21" s="1022"/>
      <c r="D21" s="128"/>
      <c r="E21" s="129" t="s">
        <v>225</v>
      </c>
      <c r="F21" s="129"/>
      <c r="G21" s="897">
        <f>원가!G371</f>
        <v>1754</v>
      </c>
      <c r="H21" s="897">
        <f>원가!G336</f>
        <v>1694</v>
      </c>
      <c r="I21" s="897">
        <f>원가!G266</f>
        <v>0</v>
      </c>
      <c r="J21" s="897">
        <f>원가!G301</f>
        <v>1804</v>
      </c>
      <c r="K21" s="778">
        <f>원가!G336</f>
        <v>1694</v>
      </c>
      <c r="L21" s="127">
        <f>원가!G371</f>
        <v>1754</v>
      </c>
    </row>
    <row r="22" spans="1:12" ht="17.45" customHeight="1">
      <c r="A22" s="1017"/>
      <c r="B22" s="1018"/>
      <c r="C22" s="1023"/>
      <c r="D22" s="128"/>
      <c r="E22" s="131" t="s">
        <v>5</v>
      </c>
      <c r="F22" s="129"/>
      <c r="G22" s="897">
        <f>원가!G372</f>
        <v>310525</v>
      </c>
      <c r="H22" s="897">
        <f>원가!G337</f>
        <v>299961</v>
      </c>
      <c r="I22" s="897">
        <f>원가!G267</f>
        <v>0</v>
      </c>
      <c r="J22" s="897">
        <f>원가!G302</f>
        <v>319358</v>
      </c>
      <c r="K22" s="778">
        <f>원가!G337</f>
        <v>299961</v>
      </c>
      <c r="L22" s="127">
        <f>원가!G372</f>
        <v>310525</v>
      </c>
    </row>
    <row r="23" spans="1:12" ht="17.45" customHeight="1">
      <c r="A23" s="1017"/>
      <c r="B23" s="1018"/>
      <c r="C23" s="1024" t="s">
        <v>303</v>
      </c>
      <c r="D23" s="128"/>
      <c r="E23" s="129" t="s">
        <v>226</v>
      </c>
      <c r="F23" s="129"/>
      <c r="G23" s="127">
        <f>원가!G373</f>
        <v>0</v>
      </c>
      <c r="H23" s="127">
        <f>원가!G338</f>
        <v>0</v>
      </c>
      <c r="I23" s="127">
        <f>원가!G268</f>
        <v>0</v>
      </c>
      <c r="J23" s="127">
        <f>원가!G303</f>
        <v>0</v>
      </c>
      <c r="K23" s="778">
        <f>원가!G338</f>
        <v>0</v>
      </c>
      <c r="L23" s="127">
        <f>원가!G373</f>
        <v>0</v>
      </c>
    </row>
    <row r="24" spans="1:12" ht="17.45" customHeight="1">
      <c r="A24" s="1017"/>
      <c r="B24" s="1018"/>
      <c r="C24" s="1025"/>
      <c r="D24" s="588"/>
      <c r="E24" s="586" t="s">
        <v>463</v>
      </c>
      <c r="F24" s="586"/>
      <c r="G24" s="127">
        <f>원가!G199</f>
        <v>0</v>
      </c>
      <c r="H24" s="127">
        <f>원가!G234</f>
        <v>0</v>
      </c>
      <c r="I24" s="127">
        <f>원가!G269</f>
        <v>0</v>
      </c>
      <c r="J24" s="127">
        <f>원가!G304</f>
        <v>0</v>
      </c>
      <c r="K24" s="778">
        <f>원가!G339</f>
        <v>0</v>
      </c>
      <c r="L24" s="127">
        <f>원가!G374</f>
        <v>0</v>
      </c>
    </row>
    <row r="25" spans="1:12" ht="17.45" customHeight="1">
      <c r="A25" s="1017"/>
      <c r="B25" s="1018"/>
      <c r="C25" s="1025"/>
      <c r="D25" s="583"/>
      <c r="E25" s="584" t="s">
        <v>459</v>
      </c>
      <c r="F25" s="584"/>
      <c r="G25" s="127">
        <f>원가!G200</f>
        <v>0</v>
      </c>
      <c r="H25" s="127">
        <f>원가!G235</f>
        <v>0</v>
      </c>
      <c r="I25" s="127">
        <f>원가!G270</f>
        <v>0</v>
      </c>
      <c r="J25" s="127">
        <f>원가!G305</f>
        <v>0</v>
      </c>
      <c r="K25" s="778">
        <f>원가!G340</f>
        <v>0</v>
      </c>
      <c r="L25" s="127">
        <f>원가!G375</f>
        <v>0</v>
      </c>
    </row>
    <row r="26" spans="1:12" ht="17.45" customHeight="1">
      <c r="A26" s="1017"/>
      <c r="B26" s="1018"/>
      <c r="C26" s="1026"/>
      <c r="D26" s="128"/>
      <c r="E26" s="131" t="s">
        <v>5</v>
      </c>
      <c r="F26" s="129"/>
      <c r="G26" s="127">
        <f>원가!G376</f>
        <v>0</v>
      </c>
      <c r="H26" s="127">
        <f>원가!G341</f>
        <v>0</v>
      </c>
      <c r="I26" s="127">
        <f>원가!G271</f>
        <v>0</v>
      </c>
      <c r="J26" s="127">
        <f>원가!G306</f>
        <v>0</v>
      </c>
      <c r="K26" s="778">
        <f>원가!G341</f>
        <v>0</v>
      </c>
      <c r="L26" s="127">
        <f>원가!G376</f>
        <v>0</v>
      </c>
    </row>
    <row r="27" spans="1:12" ht="17.45" customHeight="1">
      <c r="A27" s="1017"/>
      <c r="B27" s="1018"/>
      <c r="C27" s="1021" t="s">
        <v>260</v>
      </c>
      <c r="D27" s="128"/>
      <c r="E27" s="129" t="s">
        <v>262</v>
      </c>
      <c r="F27" s="129"/>
      <c r="G27" s="127">
        <f>원가!G377</f>
        <v>14619</v>
      </c>
      <c r="H27" s="127">
        <f>원가!G342</f>
        <v>14122</v>
      </c>
      <c r="I27" s="127">
        <f>원가!G272</f>
        <v>0</v>
      </c>
      <c r="J27" s="127">
        <f>원가!G307</f>
        <v>15035</v>
      </c>
      <c r="K27" s="778">
        <f>원가!G342</f>
        <v>14122</v>
      </c>
      <c r="L27" s="127">
        <f>원가!G377</f>
        <v>14619</v>
      </c>
    </row>
    <row r="28" spans="1:12" ht="17.45" customHeight="1">
      <c r="A28" s="1017"/>
      <c r="B28" s="1018"/>
      <c r="C28" s="1023"/>
      <c r="D28" s="128"/>
      <c r="E28" s="129" t="s">
        <v>261</v>
      </c>
      <c r="F28" s="129"/>
      <c r="G28" s="127">
        <f>원가!G203</f>
        <v>0</v>
      </c>
      <c r="H28" s="127">
        <f>원가!G238</f>
        <v>0</v>
      </c>
      <c r="I28" s="127">
        <f>원가!G273</f>
        <v>0</v>
      </c>
      <c r="J28" s="127">
        <f>원가!G308</f>
        <v>0</v>
      </c>
      <c r="K28" s="778">
        <f>원가!G343</f>
        <v>0</v>
      </c>
      <c r="L28" s="127">
        <f>원가!G378</f>
        <v>0</v>
      </c>
    </row>
    <row r="29" spans="1:12" ht="17.45" customHeight="1">
      <c r="A29" s="1019"/>
      <c r="B29" s="1020"/>
      <c r="C29" s="1012" t="s">
        <v>221</v>
      </c>
      <c r="D29" s="1013"/>
      <c r="E29" s="1013"/>
      <c r="F29" s="1014"/>
      <c r="G29" s="897">
        <f>원가!G379</f>
        <v>325144</v>
      </c>
      <c r="H29" s="897">
        <f>원가!G344</f>
        <v>314083</v>
      </c>
      <c r="I29" s="897">
        <f>원가!G274</f>
        <v>0</v>
      </c>
      <c r="J29" s="897">
        <f>원가!G309</f>
        <v>334393</v>
      </c>
      <c r="K29" s="778">
        <f>원가!G344</f>
        <v>314083</v>
      </c>
      <c r="L29" s="127">
        <f>원가!G379</f>
        <v>325144</v>
      </c>
    </row>
    <row r="30" spans="1:12" ht="17.45" customHeight="1">
      <c r="A30" s="133"/>
      <c r="B30" s="1011" t="s">
        <v>182</v>
      </c>
      <c r="C30" s="1011"/>
      <c r="D30" s="1011"/>
      <c r="E30" s="1011"/>
      <c r="F30" s="134"/>
      <c r="G30" s="897">
        <f>원가!G380</f>
        <v>3492679</v>
      </c>
      <c r="H30" s="897">
        <f>원가!G345</f>
        <v>3373863</v>
      </c>
      <c r="I30" s="897">
        <f>원가!G275</f>
        <v>0</v>
      </c>
      <c r="J30" s="897">
        <f>원가!G310</f>
        <v>3592025</v>
      </c>
      <c r="K30" s="778">
        <f>원가!G345</f>
        <v>3373863</v>
      </c>
      <c r="L30" s="127">
        <f>원가!G380</f>
        <v>3492679</v>
      </c>
    </row>
    <row r="31" spans="1:12" ht="17.45" customHeight="1">
      <c r="A31" s="135"/>
      <c r="B31" s="1009" t="s">
        <v>631</v>
      </c>
      <c r="C31" s="1010"/>
      <c r="D31" s="1010"/>
      <c r="E31" s="1010"/>
      <c r="F31" s="136"/>
      <c r="G31" s="897">
        <f>원가!G381</f>
        <v>139707</v>
      </c>
      <c r="H31" s="897">
        <f>원가!G346</f>
        <v>134954</v>
      </c>
      <c r="I31" s="897">
        <f>원가!G276</f>
        <v>0</v>
      </c>
      <c r="J31" s="897">
        <f>원가!G311</f>
        <v>143681</v>
      </c>
      <c r="K31" s="778">
        <f>원가!G346</f>
        <v>134954</v>
      </c>
      <c r="L31" s="127">
        <f>원가!G381</f>
        <v>139707</v>
      </c>
    </row>
    <row r="32" spans="1:12" ht="17.45" customHeight="1">
      <c r="A32" s="135"/>
      <c r="B32" s="1009" t="s">
        <v>556</v>
      </c>
      <c r="C32" s="1010"/>
      <c r="D32" s="1010"/>
      <c r="E32" s="1010"/>
      <c r="F32" s="136"/>
      <c r="G32" s="897">
        <f>원가!G382</f>
        <v>217943</v>
      </c>
      <c r="H32" s="897">
        <f>원가!G347</f>
        <v>210529</v>
      </c>
      <c r="I32" s="897">
        <f>원가!G277</f>
        <v>0</v>
      </c>
      <c r="J32" s="897">
        <f>원가!G312</f>
        <v>224142</v>
      </c>
      <c r="K32" s="778">
        <f>원가!G347</f>
        <v>210529</v>
      </c>
      <c r="L32" s="127">
        <f>원가!G382</f>
        <v>217943</v>
      </c>
    </row>
    <row r="33" spans="1:12" ht="17.45" customHeight="1">
      <c r="A33" s="135"/>
      <c r="B33" s="1008" t="s">
        <v>295</v>
      </c>
      <c r="C33" s="1008"/>
      <c r="D33" s="1008"/>
      <c r="E33" s="1008"/>
      <c r="F33" s="136"/>
      <c r="G33" s="897">
        <f>원가!G383</f>
        <v>3850329</v>
      </c>
      <c r="H33" s="897">
        <f>원가!G348</f>
        <v>3719346</v>
      </c>
      <c r="I33" s="897">
        <f>원가!G278</f>
        <v>0</v>
      </c>
      <c r="J33" s="897">
        <f>원가!G313</f>
        <v>3959848</v>
      </c>
      <c r="K33" s="778">
        <f>원가!G348</f>
        <v>3719346</v>
      </c>
      <c r="L33" s="127">
        <f>원가!G383</f>
        <v>3850329</v>
      </c>
    </row>
    <row r="34" spans="1:12" ht="17.45" customHeight="1">
      <c r="A34" s="135"/>
      <c r="B34" s="1008" t="s">
        <v>296</v>
      </c>
      <c r="C34" s="1008"/>
      <c r="D34" s="1008"/>
      <c r="E34" s="1008"/>
      <c r="F34" s="136"/>
      <c r="G34" s="897">
        <f>원가!G384</f>
        <v>385032</v>
      </c>
      <c r="H34" s="897">
        <f>원가!G349</f>
        <v>371934</v>
      </c>
      <c r="I34" s="897">
        <f>원가!G279</f>
        <v>0</v>
      </c>
      <c r="J34" s="897">
        <f>원가!G314</f>
        <v>395984</v>
      </c>
      <c r="K34" s="778">
        <f>원가!G349</f>
        <v>371934</v>
      </c>
      <c r="L34" s="127">
        <f>원가!G384</f>
        <v>385032</v>
      </c>
    </row>
    <row r="35" spans="1:12" ht="17.45" customHeight="1">
      <c r="A35" s="135"/>
      <c r="B35" s="1008" t="s">
        <v>297</v>
      </c>
      <c r="C35" s="1008"/>
      <c r="D35" s="1008"/>
      <c r="E35" s="1008"/>
      <c r="F35" s="136"/>
      <c r="G35" s="897">
        <f>원가!G385</f>
        <v>4235361</v>
      </c>
      <c r="H35" s="897">
        <f>원가!G350</f>
        <v>4091280</v>
      </c>
      <c r="I35" s="897">
        <f>원가!G280</f>
        <v>0</v>
      </c>
      <c r="J35" s="897">
        <f>원가!G315</f>
        <v>4355832</v>
      </c>
      <c r="K35" s="778">
        <f>원가!G350</f>
        <v>4091280</v>
      </c>
      <c r="L35" s="127">
        <f>원가!G385</f>
        <v>4235361</v>
      </c>
    </row>
  </sheetData>
  <mergeCells count="17">
    <mergeCell ref="C7:F7"/>
    <mergeCell ref="A7:B15"/>
    <mergeCell ref="C16:C22"/>
    <mergeCell ref="C23:C26"/>
    <mergeCell ref="C8:C12"/>
    <mergeCell ref="C13:F13"/>
    <mergeCell ref="C14:F14"/>
    <mergeCell ref="C15:F15"/>
    <mergeCell ref="A16:B29"/>
    <mergeCell ref="C29:F29"/>
    <mergeCell ref="C27:C28"/>
    <mergeCell ref="B34:E34"/>
    <mergeCell ref="B35:E35"/>
    <mergeCell ref="B32:E32"/>
    <mergeCell ref="B33:E33"/>
    <mergeCell ref="B30:E30"/>
    <mergeCell ref="B31:E31"/>
  </mergeCells>
  <phoneticPr fontId="5" type="noConversion"/>
  <pageMargins left="0.78740157480314965" right="0.78740157480314965" top="0.78740157480314965" bottom="0.78740157480314965" header="0.51181102362204722" footer="0.51181102362204722"/>
  <pageSetup paperSize="9" scale="70" firstPageNumber="17" orientation="portrait" r:id="rId1"/>
  <headerFooter alignWithMargins="0">
    <oddFooter>&amp;C- &amp;P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M385"/>
  <sheetViews>
    <sheetView showGridLines="0" showZeros="0" view="pageBreakPreview" topLeftCell="A344" zoomScaleNormal="100" zoomScaleSheetLayoutView="100" workbookViewId="0">
      <selection activeCell="L368" sqref="L368"/>
    </sheetView>
  </sheetViews>
  <sheetFormatPr defaultRowHeight="12"/>
  <cols>
    <col min="1" max="1" width="1.7109375" style="614" customWidth="1"/>
    <col min="2" max="2" width="3.7109375" style="612" customWidth="1"/>
    <col min="3" max="3" width="6.85546875" style="614" customWidth="1"/>
    <col min="4" max="4" width="1.7109375" style="614" customWidth="1"/>
    <col min="5" max="5" width="20.7109375" style="612" customWidth="1"/>
    <col min="6" max="6" width="1.7109375" style="612" customWidth="1"/>
    <col min="7" max="7" width="14.28515625" style="658" customWidth="1"/>
    <col min="8" max="8" width="1" style="688" customWidth="1"/>
    <col min="9" max="9" width="9.28515625" style="658" bestFit="1" customWidth="1"/>
    <col min="10" max="10" width="1.140625" style="688" customWidth="1"/>
    <col min="11" max="11" width="0.85546875" style="658" customWidth="1"/>
    <col min="12" max="12" width="32.28515625" style="812" customWidth="1"/>
    <col min="13" max="13" width="9.7109375" style="614" bestFit="1" customWidth="1"/>
    <col min="14" max="16384" width="9.140625" style="614"/>
  </cols>
  <sheetData>
    <row r="1" spans="1:13" ht="20.100000000000001" hidden="1" customHeight="1">
      <c r="A1" s="739" t="s">
        <v>306</v>
      </c>
      <c r="B1" s="739"/>
      <c r="C1" s="739"/>
      <c r="D1" s="739"/>
      <c r="E1" s="614"/>
      <c r="F1" s="614"/>
      <c r="G1" s="614"/>
      <c r="I1" s="688"/>
      <c r="L1" s="805"/>
      <c r="M1" s="688"/>
    </row>
    <row r="2" spans="1:13" s="617" customFormat="1" ht="39.950000000000003" hidden="1" customHeight="1">
      <c r="A2" s="615" t="s">
        <v>475</v>
      </c>
      <c r="B2" s="616"/>
      <c r="C2" s="741"/>
      <c r="D2" s="741"/>
      <c r="E2" s="740"/>
      <c r="F2" s="740"/>
      <c r="G2" s="745"/>
      <c r="H2" s="742"/>
      <c r="I2" s="746"/>
      <c r="J2" s="743"/>
      <c r="K2" s="746"/>
      <c r="L2" s="806"/>
    </row>
    <row r="3" spans="1:13" ht="20.100000000000001" hidden="1" customHeight="1">
      <c r="A3" s="747"/>
      <c r="B3" s="748"/>
      <c r="C3" s="747"/>
      <c r="D3" s="747"/>
      <c r="E3" s="748"/>
      <c r="F3" s="748"/>
      <c r="G3" s="749"/>
      <c r="H3" s="750"/>
      <c r="I3" s="751"/>
      <c r="J3" s="752"/>
      <c r="K3" s="751"/>
      <c r="L3" s="807"/>
      <c r="M3" s="617"/>
    </row>
    <row r="4" spans="1:13" ht="20.100000000000001" hidden="1" customHeight="1">
      <c r="A4" s="654" t="str">
        <f>"구 분 : "&amp;월기본급!B9&amp;"                       직종명 : "&amp;월기본급!F9&amp;""</f>
        <v xml:space="preserve">구 분 :                        직종명 : </v>
      </c>
      <c r="B4" s="610"/>
      <c r="C4" s="654"/>
      <c r="D4" s="654"/>
      <c r="G4" s="685"/>
      <c r="H4" s="685"/>
      <c r="I4" s="685"/>
      <c r="L4" s="808" t="s">
        <v>15</v>
      </c>
      <c r="M4" s="617"/>
    </row>
    <row r="5" spans="1:13" ht="20.100000000000001" hidden="1" customHeight="1">
      <c r="A5" s="753"/>
      <c r="B5" s="754"/>
      <c r="C5" s="754"/>
      <c r="D5" s="754"/>
      <c r="E5" s="755" t="s">
        <v>16</v>
      </c>
      <c r="F5" s="755"/>
      <c r="G5" s="1043" t="s">
        <v>17</v>
      </c>
      <c r="H5" s="1044"/>
      <c r="I5" s="1043" t="s">
        <v>18</v>
      </c>
      <c r="J5" s="1044"/>
      <c r="K5" s="1043" t="s">
        <v>19</v>
      </c>
      <c r="L5" s="1044"/>
      <c r="M5" s="617"/>
    </row>
    <row r="6" spans="1:13" ht="20.100000000000001" hidden="1" customHeight="1">
      <c r="A6" s="756" t="s">
        <v>20</v>
      </c>
      <c r="B6" s="757"/>
      <c r="C6" s="758"/>
      <c r="D6" s="758"/>
      <c r="E6" s="758"/>
      <c r="F6" s="758"/>
      <c r="G6" s="1045"/>
      <c r="H6" s="1046"/>
      <c r="I6" s="1045"/>
      <c r="J6" s="1046"/>
      <c r="K6" s="1045"/>
      <c r="L6" s="1046"/>
    </row>
    <row r="7" spans="1:13" ht="18.95" hidden="1" customHeight="1">
      <c r="A7" s="1031" t="s">
        <v>204</v>
      </c>
      <c r="B7" s="1032"/>
      <c r="C7" s="1027" t="s">
        <v>21</v>
      </c>
      <c r="D7" s="1028"/>
      <c r="E7" s="1028"/>
      <c r="F7" s="1029"/>
      <c r="G7" s="673">
        <f>단위당인건비!E6</f>
        <v>0</v>
      </c>
      <c r="H7" s="674"/>
      <c r="I7" s="673"/>
      <c r="J7" s="674"/>
      <c r="K7" s="759"/>
      <c r="L7" s="809"/>
    </row>
    <row r="8" spans="1:13" ht="18.95" hidden="1" customHeight="1">
      <c r="A8" s="1033"/>
      <c r="B8" s="1034"/>
      <c r="C8" s="1037" t="s">
        <v>256</v>
      </c>
      <c r="D8" s="652"/>
      <c r="E8" s="691" t="s">
        <v>0</v>
      </c>
      <c r="F8" s="652"/>
      <c r="G8" s="673">
        <f>단위당인건비!E7</f>
        <v>0</v>
      </c>
      <c r="H8" s="674"/>
      <c r="I8" s="673"/>
      <c r="J8" s="674"/>
      <c r="K8" s="759"/>
      <c r="L8" s="809"/>
    </row>
    <row r="9" spans="1:13" ht="18.95" hidden="1" customHeight="1">
      <c r="A9" s="1033"/>
      <c r="B9" s="1034"/>
      <c r="C9" s="1038"/>
      <c r="D9" s="652"/>
      <c r="E9" s="691" t="s">
        <v>209</v>
      </c>
      <c r="F9" s="760"/>
      <c r="G9" s="673">
        <f>단위당인건비!E8</f>
        <v>0</v>
      </c>
      <c r="H9" s="674"/>
      <c r="I9" s="673"/>
      <c r="J9" s="674"/>
      <c r="K9" s="759"/>
      <c r="L9" s="809"/>
    </row>
    <row r="10" spans="1:13" ht="18.95" hidden="1" customHeight="1">
      <c r="A10" s="1033"/>
      <c r="B10" s="1034"/>
      <c r="C10" s="1038"/>
      <c r="D10" s="652"/>
      <c r="E10" s="691" t="s">
        <v>4</v>
      </c>
      <c r="F10" s="760"/>
      <c r="G10" s="673">
        <f>단위당인건비!E9</f>
        <v>0</v>
      </c>
      <c r="H10" s="674"/>
      <c r="I10" s="673"/>
      <c r="J10" s="674"/>
      <c r="K10" s="759"/>
      <c r="L10" s="809"/>
    </row>
    <row r="11" spans="1:13" ht="18.95" hidden="1" customHeight="1">
      <c r="A11" s="1033"/>
      <c r="B11" s="1034"/>
      <c r="C11" s="1038"/>
      <c r="D11" s="652"/>
      <c r="E11" s="691" t="s">
        <v>257</v>
      </c>
      <c r="F11" s="760"/>
      <c r="G11" s="673">
        <f>단위당인건비!E10</f>
        <v>0</v>
      </c>
      <c r="H11" s="674"/>
      <c r="I11" s="673"/>
      <c r="J11" s="674"/>
      <c r="K11" s="759"/>
      <c r="L11" s="814"/>
    </row>
    <row r="12" spans="1:13" ht="18.95" hidden="1" customHeight="1">
      <c r="A12" s="1033"/>
      <c r="B12" s="1034"/>
      <c r="C12" s="1039"/>
      <c r="D12" s="652"/>
      <c r="E12" s="761" t="s">
        <v>23</v>
      </c>
      <c r="F12" s="761"/>
      <c r="G12" s="673">
        <f>단위당인건비!E11</f>
        <v>0</v>
      </c>
      <c r="H12" s="674"/>
      <c r="I12" s="762"/>
      <c r="J12" s="674"/>
      <c r="K12" s="759"/>
      <c r="L12" s="815"/>
    </row>
    <row r="13" spans="1:13" ht="18.95" hidden="1" customHeight="1">
      <c r="A13" s="1033"/>
      <c r="B13" s="1034"/>
      <c r="C13" s="1027" t="s">
        <v>24</v>
      </c>
      <c r="D13" s="1028"/>
      <c r="E13" s="1028"/>
      <c r="F13" s="1029"/>
      <c r="G13" s="673">
        <f>단위당인건비!E12</f>
        <v>0</v>
      </c>
      <c r="H13" s="674"/>
      <c r="I13" s="762"/>
      <c r="J13" s="674"/>
      <c r="K13" s="759"/>
      <c r="L13" s="815"/>
    </row>
    <row r="14" spans="1:13" ht="18.95" hidden="1" customHeight="1">
      <c r="A14" s="1033"/>
      <c r="B14" s="1034"/>
      <c r="C14" s="1027" t="s">
        <v>25</v>
      </c>
      <c r="D14" s="1028"/>
      <c r="E14" s="1028"/>
      <c r="F14" s="1029"/>
      <c r="G14" s="673">
        <f>단위당인건비!E13</f>
        <v>0</v>
      </c>
      <c r="H14" s="674"/>
      <c r="I14" s="762"/>
      <c r="J14" s="674"/>
      <c r="K14" s="759"/>
      <c r="L14" s="815"/>
    </row>
    <row r="15" spans="1:13" ht="18.95" hidden="1" customHeight="1">
      <c r="A15" s="1035"/>
      <c r="B15" s="1036"/>
      <c r="C15" s="1027" t="s">
        <v>26</v>
      </c>
      <c r="D15" s="1028"/>
      <c r="E15" s="1028"/>
      <c r="F15" s="1029"/>
      <c r="G15" s="673">
        <f>단위당인건비!E14</f>
        <v>0</v>
      </c>
      <c r="H15" s="674"/>
      <c r="I15" s="763" t="e">
        <f>TRUNC(G15/$G$33*100,2)+0.1</f>
        <v>#DIV/0!</v>
      </c>
      <c r="J15" s="674"/>
      <c r="K15" s="759"/>
      <c r="L15" s="810" t="str">
        <f>단위당인건비!$A$1&amp;"참조"</f>
        <v>&lt; 표 : 4 &gt; 참조</v>
      </c>
    </row>
    <row r="16" spans="1:13" ht="18.95" hidden="1" customHeight="1">
      <c r="A16" s="1031" t="s">
        <v>212</v>
      </c>
      <c r="B16" s="1032"/>
      <c r="C16" s="1037" t="s">
        <v>3</v>
      </c>
      <c r="D16" s="652"/>
      <c r="E16" s="691" t="s">
        <v>27</v>
      </c>
      <c r="F16" s="691"/>
      <c r="G16" s="673">
        <f>경비집계표!E7</f>
        <v>0</v>
      </c>
      <c r="H16" s="674"/>
      <c r="I16" s="673"/>
      <c r="J16" s="674"/>
      <c r="K16" s="759"/>
      <c r="L16" s="810"/>
      <c r="M16" s="764"/>
    </row>
    <row r="17" spans="1:13" ht="18.95" hidden="1" customHeight="1">
      <c r="A17" s="1033"/>
      <c r="B17" s="1034"/>
      <c r="C17" s="1038"/>
      <c r="D17" s="652"/>
      <c r="E17" s="691" t="s">
        <v>28</v>
      </c>
      <c r="F17" s="691"/>
      <c r="G17" s="673">
        <f>경비집계표!E8</f>
        <v>0</v>
      </c>
      <c r="H17" s="674"/>
      <c r="I17" s="673"/>
      <c r="J17" s="674"/>
      <c r="K17" s="759"/>
      <c r="L17" s="815"/>
      <c r="M17" s="764"/>
    </row>
    <row r="18" spans="1:13" ht="18.95" hidden="1" customHeight="1">
      <c r="A18" s="1033"/>
      <c r="B18" s="1034"/>
      <c r="C18" s="1038"/>
      <c r="D18" s="652"/>
      <c r="E18" s="691" t="s">
        <v>29</v>
      </c>
      <c r="F18" s="691"/>
      <c r="G18" s="673">
        <f>경비집계표!E9</f>
        <v>0</v>
      </c>
      <c r="H18" s="674"/>
      <c r="I18" s="673"/>
      <c r="J18" s="674"/>
      <c r="K18" s="759"/>
      <c r="L18" s="810"/>
      <c r="M18" s="764"/>
    </row>
    <row r="19" spans="1:13" ht="18.95" hidden="1" customHeight="1">
      <c r="A19" s="1033"/>
      <c r="B19" s="1034"/>
      <c r="C19" s="1038"/>
      <c r="D19" s="652"/>
      <c r="E19" s="691" t="s">
        <v>30</v>
      </c>
      <c r="F19" s="691"/>
      <c r="G19" s="673">
        <f>경비집계표!E10</f>
        <v>0</v>
      </c>
      <c r="H19" s="674"/>
      <c r="I19" s="673"/>
      <c r="J19" s="674"/>
      <c r="K19" s="759"/>
      <c r="L19" s="810"/>
      <c r="M19" s="764"/>
    </row>
    <row r="20" spans="1:13" ht="18.95" hidden="1" customHeight="1">
      <c r="A20" s="1033"/>
      <c r="B20" s="1034"/>
      <c r="C20" s="1038"/>
      <c r="D20" s="652"/>
      <c r="E20" s="719" t="s">
        <v>255</v>
      </c>
      <c r="F20" s="691"/>
      <c r="G20" s="673">
        <f>경비집계표!E11</f>
        <v>0</v>
      </c>
      <c r="H20" s="674"/>
      <c r="I20" s="673"/>
      <c r="J20" s="674"/>
      <c r="K20" s="759"/>
      <c r="L20" s="810"/>
      <c r="M20" s="764"/>
    </row>
    <row r="21" spans="1:13" ht="18.95" hidden="1" customHeight="1">
      <c r="A21" s="1033"/>
      <c r="B21" s="1034"/>
      <c r="C21" s="1038"/>
      <c r="D21" s="652"/>
      <c r="E21" s="691" t="s">
        <v>31</v>
      </c>
      <c r="F21" s="691"/>
      <c r="G21" s="673">
        <f>경비집계표!E12</f>
        <v>0</v>
      </c>
      <c r="H21" s="674"/>
      <c r="I21" s="673"/>
      <c r="J21" s="674"/>
      <c r="K21" s="759"/>
      <c r="L21" s="810"/>
      <c r="M21" s="764"/>
    </row>
    <row r="22" spans="1:13" ht="18.95" hidden="1" customHeight="1">
      <c r="A22" s="1033"/>
      <c r="B22" s="1034"/>
      <c r="C22" s="1039"/>
      <c r="D22" s="652"/>
      <c r="E22" s="761" t="s">
        <v>23</v>
      </c>
      <c r="F22" s="691"/>
      <c r="G22" s="673">
        <f>경비집계표!E13</f>
        <v>0</v>
      </c>
      <c r="H22" s="674"/>
      <c r="I22" s="673"/>
      <c r="J22" s="674"/>
      <c r="K22" s="759"/>
      <c r="L22" s="810"/>
    </row>
    <row r="23" spans="1:13" ht="18.95" hidden="1" customHeight="1">
      <c r="A23" s="1033"/>
      <c r="B23" s="1034"/>
      <c r="C23" s="1040" t="s">
        <v>304</v>
      </c>
      <c r="D23" s="652"/>
      <c r="E23" s="691" t="s">
        <v>32</v>
      </c>
      <c r="F23" s="691"/>
      <c r="G23" s="673">
        <f>경비집계표!E14</f>
        <v>0</v>
      </c>
      <c r="H23" s="674"/>
      <c r="I23" s="673"/>
      <c r="J23" s="674"/>
      <c r="K23" s="759"/>
      <c r="L23" s="810"/>
    </row>
    <row r="24" spans="1:13" ht="18.95" hidden="1" customHeight="1">
      <c r="A24" s="1033"/>
      <c r="B24" s="1034"/>
      <c r="C24" s="1041"/>
      <c r="D24" s="652"/>
      <c r="E24" s="691" t="s">
        <v>465</v>
      </c>
      <c r="F24" s="691"/>
      <c r="G24" s="673">
        <f>경비집계표!E15</f>
        <v>0</v>
      </c>
      <c r="H24" s="674"/>
      <c r="I24" s="673"/>
      <c r="J24" s="674"/>
      <c r="K24" s="759"/>
      <c r="L24" s="810"/>
    </row>
    <row r="25" spans="1:13" ht="18.95" hidden="1" customHeight="1">
      <c r="A25" s="1033"/>
      <c r="B25" s="1034"/>
      <c r="C25" s="1041"/>
      <c r="D25" s="652"/>
      <c r="E25" s="691" t="s">
        <v>462</v>
      </c>
      <c r="F25" s="691"/>
      <c r="G25" s="673">
        <f>경비집계표!E16</f>
        <v>0</v>
      </c>
      <c r="H25" s="674"/>
      <c r="I25" s="673"/>
      <c r="J25" s="674"/>
      <c r="K25" s="759"/>
      <c r="L25" s="810"/>
    </row>
    <row r="26" spans="1:13" ht="18.95" hidden="1" customHeight="1">
      <c r="A26" s="1033"/>
      <c r="B26" s="1034"/>
      <c r="C26" s="1042"/>
      <c r="D26" s="652"/>
      <c r="E26" s="761" t="s">
        <v>23</v>
      </c>
      <c r="F26" s="691"/>
      <c r="G26" s="673">
        <f>경비집계표!E17</f>
        <v>0</v>
      </c>
      <c r="H26" s="674"/>
      <c r="I26" s="673"/>
      <c r="J26" s="674"/>
      <c r="K26" s="759"/>
      <c r="L26" s="810"/>
    </row>
    <row r="27" spans="1:13" ht="18.95" hidden="1" customHeight="1">
      <c r="A27" s="1033"/>
      <c r="B27" s="1034"/>
      <c r="C27" s="1037" t="s">
        <v>260</v>
      </c>
      <c r="D27" s="652"/>
      <c r="E27" s="691" t="s">
        <v>262</v>
      </c>
      <c r="F27" s="691"/>
      <c r="G27" s="673">
        <f>경비집계표!E18</f>
        <v>0</v>
      </c>
      <c r="H27" s="674"/>
      <c r="I27" s="673"/>
      <c r="J27" s="674"/>
      <c r="K27" s="759"/>
      <c r="L27" s="810"/>
    </row>
    <row r="28" spans="1:13" ht="18.95" hidden="1" customHeight="1">
      <c r="A28" s="1033"/>
      <c r="B28" s="1034"/>
      <c r="C28" s="1039"/>
      <c r="D28" s="652"/>
      <c r="E28" s="691" t="s">
        <v>261</v>
      </c>
      <c r="F28" s="691"/>
      <c r="G28" s="673">
        <f>경비집계표!E19</f>
        <v>0</v>
      </c>
      <c r="H28" s="674"/>
      <c r="I28" s="673"/>
      <c r="J28" s="674"/>
      <c r="K28" s="759"/>
      <c r="L28" s="810"/>
    </row>
    <row r="29" spans="1:13" ht="18.95" hidden="1" customHeight="1">
      <c r="A29" s="1035"/>
      <c r="B29" s="1036"/>
      <c r="C29" s="1027" t="s">
        <v>26</v>
      </c>
      <c r="D29" s="1028"/>
      <c r="E29" s="1028"/>
      <c r="F29" s="1029"/>
      <c r="G29" s="673">
        <f>경비집계표!E20</f>
        <v>0</v>
      </c>
      <c r="H29" s="674"/>
      <c r="I29" s="763" t="e">
        <f>TRUNC(G29/$G$33*100,2)</f>
        <v>#DIV/0!</v>
      </c>
      <c r="J29" s="674"/>
      <c r="K29" s="759"/>
      <c r="L29" s="810" t="str">
        <f>경비집계표!$A$1&amp;"참조"</f>
        <v>&lt; 표 : 11 &gt; 참조</v>
      </c>
    </row>
    <row r="30" spans="1:13" ht="18.95" hidden="1" customHeight="1">
      <c r="A30" s="765"/>
      <c r="B30" s="1010" t="s">
        <v>182</v>
      </c>
      <c r="C30" s="1010"/>
      <c r="D30" s="1010"/>
      <c r="E30" s="1010"/>
      <c r="F30" s="766"/>
      <c r="G30" s="673">
        <f>SUM(G15,G29)</f>
        <v>0</v>
      </c>
      <c r="H30" s="674"/>
      <c r="I30" s="763" t="e">
        <f>TRUNC(G30/$G$33*100,2)</f>
        <v>#DIV/0!</v>
      </c>
      <c r="J30" s="674"/>
      <c r="K30" s="759"/>
      <c r="L30" s="810" t="s">
        <v>281</v>
      </c>
    </row>
    <row r="31" spans="1:13" ht="18.95" hidden="1" customHeight="1">
      <c r="A31" s="767"/>
      <c r="B31" s="1009" t="s">
        <v>555</v>
      </c>
      <c r="C31" s="1009"/>
      <c r="D31" s="1009"/>
      <c r="E31" s="1009"/>
      <c r="F31" s="768"/>
      <c r="G31" s="673">
        <f>TRUNC(G30*4%,0)</f>
        <v>0</v>
      </c>
      <c r="H31" s="674"/>
      <c r="I31" s="763" t="e">
        <f>TRUNC(G31/$G$33*100,2)</f>
        <v>#DIV/0!</v>
      </c>
      <c r="J31" s="674"/>
      <c r="K31" s="759"/>
      <c r="L31" s="817" t="s">
        <v>557</v>
      </c>
    </row>
    <row r="32" spans="1:13" ht="18.95" hidden="1" customHeight="1">
      <c r="A32" s="767"/>
      <c r="B32" s="1009" t="s">
        <v>556</v>
      </c>
      <c r="C32" s="1009"/>
      <c r="D32" s="1009"/>
      <c r="E32" s="1009"/>
      <c r="F32" s="768"/>
      <c r="G32" s="673">
        <f>TRUNC(SUM(G15,G29,G31)*6%,0)</f>
        <v>0</v>
      </c>
      <c r="H32" s="674"/>
      <c r="I32" s="763" t="e">
        <f>TRUNC(G32/$G$33*100,2)</f>
        <v>#DIV/0!</v>
      </c>
      <c r="J32" s="674"/>
      <c r="K32" s="759"/>
      <c r="L32" s="817" t="s">
        <v>558</v>
      </c>
      <c r="M32" s="769"/>
    </row>
    <row r="33" spans="1:13" ht="18.95" hidden="1" customHeight="1">
      <c r="A33" s="767"/>
      <c r="B33" s="1030" t="s">
        <v>295</v>
      </c>
      <c r="C33" s="1030"/>
      <c r="D33" s="1030"/>
      <c r="E33" s="1030"/>
      <c r="F33" s="768"/>
      <c r="G33" s="673">
        <f>SUM(G30:G32)</f>
        <v>0</v>
      </c>
      <c r="H33" s="674"/>
      <c r="I33" s="763" t="e">
        <f>TRUNC(G33/$G$33*100,2)</f>
        <v>#DIV/0!</v>
      </c>
      <c r="J33" s="674"/>
      <c r="K33" s="759"/>
      <c r="L33" s="810" t="s">
        <v>271</v>
      </c>
    </row>
    <row r="34" spans="1:13" ht="18.95" hidden="1" customHeight="1">
      <c r="A34" s="767"/>
      <c r="B34" s="1030" t="s">
        <v>298</v>
      </c>
      <c r="C34" s="1030"/>
      <c r="D34" s="1030"/>
      <c r="E34" s="1030"/>
      <c r="F34" s="768"/>
      <c r="G34" s="770">
        <f>TRUNC(G33*10%)</f>
        <v>0</v>
      </c>
      <c r="H34" s="771"/>
      <c r="I34" s="772"/>
      <c r="J34" s="771"/>
      <c r="K34" s="773"/>
      <c r="L34" s="811" t="s">
        <v>300</v>
      </c>
    </row>
    <row r="35" spans="1:13" ht="18.95" hidden="1" customHeight="1">
      <c r="A35" s="767"/>
      <c r="B35" s="1030" t="s">
        <v>299</v>
      </c>
      <c r="C35" s="1030"/>
      <c r="D35" s="1030"/>
      <c r="E35" s="1030"/>
      <c r="F35" s="768"/>
      <c r="G35" s="770">
        <f>SUM(G33:G34)</f>
        <v>0</v>
      </c>
      <c r="H35" s="771"/>
      <c r="I35" s="772"/>
      <c r="J35" s="771"/>
      <c r="K35" s="773"/>
      <c r="L35" s="811" t="s">
        <v>301</v>
      </c>
    </row>
    <row r="36" spans="1:13" ht="20.100000000000001" hidden="1" customHeight="1">
      <c r="A36" s="739"/>
      <c r="B36" s="739"/>
      <c r="C36" s="739"/>
      <c r="D36" s="739"/>
      <c r="E36" s="614"/>
      <c r="F36" s="614"/>
      <c r="G36" s="614"/>
      <c r="I36" s="688"/>
      <c r="L36" s="805"/>
      <c r="M36" s="688"/>
    </row>
    <row r="37" spans="1:13" s="617" customFormat="1" ht="39.950000000000003" hidden="1" customHeight="1">
      <c r="A37" s="615" t="s">
        <v>475</v>
      </c>
      <c r="B37" s="616"/>
      <c r="C37" s="741"/>
      <c r="D37" s="741"/>
      <c r="E37" s="740"/>
      <c r="F37" s="740"/>
      <c r="G37" s="745"/>
      <c r="H37" s="742"/>
      <c r="I37" s="746"/>
      <c r="J37" s="743"/>
      <c r="K37" s="746"/>
      <c r="L37" s="806"/>
    </row>
    <row r="38" spans="1:13" ht="20.100000000000001" hidden="1" customHeight="1">
      <c r="A38" s="747"/>
      <c r="B38" s="748"/>
      <c r="C38" s="747"/>
      <c r="D38" s="747"/>
      <c r="E38" s="748"/>
      <c r="F38" s="748"/>
      <c r="G38" s="749"/>
      <c r="H38" s="750"/>
      <c r="I38" s="751"/>
      <c r="J38" s="752"/>
      <c r="K38" s="751"/>
      <c r="L38" s="807"/>
      <c r="M38" s="617"/>
    </row>
    <row r="39" spans="1:13" ht="20.100000000000001" hidden="1" customHeight="1">
      <c r="A39" s="654" t="str">
        <f>"구 분 : "&amp;월기본급!B10&amp;"                       직종명 : "&amp;월기본급!F10&amp;""</f>
        <v xml:space="preserve">구 분 :                        직종명 : </v>
      </c>
      <c r="B39" s="610"/>
      <c r="C39" s="654"/>
      <c r="D39" s="654"/>
      <c r="G39" s="685"/>
      <c r="H39" s="685"/>
      <c r="I39" s="685"/>
      <c r="L39" s="808" t="s">
        <v>15</v>
      </c>
      <c r="M39" s="617"/>
    </row>
    <row r="40" spans="1:13" ht="20.100000000000001" hidden="1" customHeight="1">
      <c r="A40" s="753"/>
      <c r="B40" s="754"/>
      <c r="C40" s="754"/>
      <c r="D40" s="754"/>
      <c r="E40" s="755" t="s">
        <v>16</v>
      </c>
      <c r="F40" s="755"/>
      <c r="G40" s="1043" t="s">
        <v>17</v>
      </c>
      <c r="H40" s="1044"/>
      <c r="I40" s="1043" t="s">
        <v>18</v>
      </c>
      <c r="J40" s="1044"/>
      <c r="K40" s="774"/>
      <c r="L40" s="1047" t="s">
        <v>19</v>
      </c>
      <c r="M40" s="617"/>
    </row>
    <row r="41" spans="1:13" ht="20.100000000000001" hidden="1" customHeight="1">
      <c r="A41" s="756" t="s">
        <v>20</v>
      </c>
      <c r="B41" s="757"/>
      <c r="C41" s="758"/>
      <c r="D41" s="758"/>
      <c r="E41" s="758"/>
      <c r="F41" s="758"/>
      <c r="G41" s="1045"/>
      <c r="H41" s="1046"/>
      <c r="I41" s="1045"/>
      <c r="J41" s="1046"/>
      <c r="K41" s="775"/>
      <c r="L41" s="1048"/>
    </row>
    <row r="42" spans="1:13" ht="18.95" hidden="1" customHeight="1">
      <c r="A42" s="1031" t="s">
        <v>204</v>
      </c>
      <c r="B42" s="1032"/>
      <c r="C42" s="1027" t="s">
        <v>21</v>
      </c>
      <c r="D42" s="1028"/>
      <c r="E42" s="1028"/>
      <c r="F42" s="1029"/>
      <c r="G42" s="673">
        <f>단위당인건비!E25</f>
        <v>0</v>
      </c>
      <c r="H42" s="674"/>
      <c r="I42" s="673"/>
      <c r="J42" s="674"/>
      <c r="K42" s="759"/>
      <c r="L42" s="809"/>
    </row>
    <row r="43" spans="1:13" ht="18.95" hidden="1" customHeight="1">
      <c r="A43" s="1033"/>
      <c r="B43" s="1034"/>
      <c r="C43" s="1037" t="s">
        <v>256</v>
      </c>
      <c r="D43" s="652"/>
      <c r="E43" s="691" t="s">
        <v>0</v>
      </c>
      <c r="F43" s="652"/>
      <c r="G43" s="673">
        <f>단위당인건비!E26</f>
        <v>0</v>
      </c>
      <c r="H43" s="674"/>
      <c r="I43" s="673"/>
      <c r="J43" s="674"/>
      <c r="K43" s="759"/>
      <c r="L43" s="809"/>
    </row>
    <row r="44" spans="1:13" ht="18.95" hidden="1" customHeight="1">
      <c r="A44" s="1033"/>
      <c r="B44" s="1034"/>
      <c r="C44" s="1038"/>
      <c r="D44" s="652"/>
      <c r="E44" s="691" t="s">
        <v>209</v>
      </c>
      <c r="F44" s="760"/>
      <c r="G44" s="673">
        <f>단위당인건비!E27</f>
        <v>0</v>
      </c>
      <c r="H44" s="674"/>
      <c r="I44" s="673"/>
      <c r="J44" s="674"/>
      <c r="K44" s="759"/>
      <c r="L44" s="809"/>
    </row>
    <row r="45" spans="1:13" ht="18.95" hidden="1" customHeight="1">
      <c r="A45" s="1033"/>
      <c r="B45" s="1034"/>
      <c r="C45" s="1038"/>
      <c r="D45" s="652"/>
      <c r="E45" s="691" t="s">
        <v>4</v>
      </c>
      <c r="F45" s="760"/>
      <c r="G45" s="673">
        <f>단위당인건비!E28</f>
        <v>0</v>
      </c>
      <c r="H45" s="674"/>
      <c r="I45" s="673"/>
      <c r="J45" s="674"/>
      <c r="K45" s="759"/>
      <c r="L45" s="809"/>
    </row>
    <row r="46" spans="1:13" ht="18.95" hidden="1" customHeight="1">
      <c r="A46" s="1033"/>
      <c r="B46" s="1034"/>
      <c r="C46" s="1038"/>
      <c r="D46" s="652"/>
      <c r="E46" s="691" t="s">
        <v>257</v>
      </c>
      <c r="F46" s="760"/>
      <c r="G46" s="673">
        <f>단위당인건비!E29</f>
        <v>0</v>
      </c>
      <c r="H46" s="674"/>
      <c r="I46" s="673"/>
      <c r="J46" s="674"/>
      <c r="K46" s="759"/>
      <c r="L46" s="809"/>
    </row>
    <row r="47" spans="1:13" ht="18.95" hidden="1" customHeight="1">
      <c r="A47" s="1033"/>
      <c r="B47" s="1034"/>
      <c r="C47" s="1039"/>
      <c r="D47" s="652"/>
      <c r="E47" s="761" t="s">
        <v>23</v>
      </c>
      <c r="F47" s="761"/>
      <c r="G47" s="673">
        <f>단위당인건비!E30</f>
        <v>0</v>
      </c>
      <c r="H47" s="674"/>
      <c r="I47" s="762"/>
      <c r="J47" s="674"/>
      <c r="K47" s="759"/>
      <c r="L47" s="810"/>
    </row>
    <row r="48" spans="1:13" ht="18.95" hidden="1" customHeight="1">
      <c r="A48" s="1033"/>
      <c r="B48" s="1034"/>
      <c r="C48" s="1027" t="s">
        <v>24</v>
      </c>
      <c r="D48" s="1028"/>
      <c r="E48" s="1028"/>
      <c r="F48" s="1029"/>
      <c r="G48" s="673">
        <f>단위당인건비!E31</f>
        <v>0</v>
      </c>
      <c r="H48" s="674"/>
      <c r="I48" s="762"/>
      <c r="J48" s="674"/>
      <c r="K48" s="759"/>
      <c r="L48" s="815"/>
    </row>
    <row r="49" spans="1:12" ht="18.95" hidden="1" customHeight="1">
      <c r="A49" s="1033"/>
      <c r="B49" s="1034"/>
      <c r="C49" s="1027" t="s">
        <v>25</v>
      </c>
      <c r="D49" s="1028"/>
      <c r="E49" s="1028"/>
      <c r="F49" s="1029"/>
      <c r="G49" s="673">
        <f>단위당인건비!E32</f>
        <v>0</v>
      </c>
      <c r="H49" s="674"/>
      <c r="I49" s="762"/>
      <c r="J49" s="674"/>
      <c r="K49" s="759"/>
      <c r="L49" s="815"/>
    </row>
    <row r="50" spans="1:12" ht="18.95" hidden="1" customHeight="1">
      <c r="A50" s="1035"/>
      <c r="B50" s="1036"/>
      <c r="C50" s="1027" t="s">
        <v>26</v>
      </c>
      <c r="D50" s="1028"/>
      <c r="E50" s="1028"/>
      <c r="F50" s="1029"/>
      <c r="G50" s="673">
        <f>단위당인건비!E33</f>
        <v>0</v>
      </c>
      <c r="H50" s="674"/>
      <c r="I50" s="763" t="e">
        <f>TRUNC(G50/$G$68*100,2)</f>
        <v>#DIV/0!</v>
      </c>
      <c r="J50" s="674"/>
      <c r="K50" s="759"/>
      <c r="L50" s="810" t="str">
        <f>단위당인건비!$A$1&amp;"참조"</f>
        <v>&lt; 표 : 4 &gt; 참조</v>
      </c>
    </row>
    <row r="51" spans="1:12" ht="18.95" hidden="1" customHeight="1">
      <c r="A51" s="1031" t="s">
        <v>212</v>
      </c>
      <c r="B51" s="1032"/>
      <c r="C51" s="1037" t="s">
        <v>3</v>
      </c>
      <c r="D51" s="652"/>
      <c r="E51" s="691" t="s">
        <v>27</v>
      </c>
      <c r="F51" s="691"/>
      <c r="G51" s="673">
        <f>경비집계표!F7</f>
        <v>0</v>
      </c>
      <c r="H51" s="674"/>
      <c r="I51" s="673"/>
      <c r="J51" s="674"/>
      <c r="K51" s="759"/>
      <c r="L51" s="810"/>
    </row>
    <row r="52" spans="1:12" ht="18.95" hidden="1" customHeight="1">
      <c r="A52" s="1033"/>
      <c r="B52" s="1034"/>
      <c r="C52" s="1038"/>
      <c r="D52" s="652"/>
      <c r="E52" s="691" t="s">
        <v>28</v>
      </c>
      <c r="F52" s="691"/>
      <c r="G52" s="673">
        <f>경비집계표!F8</f>
        <v>0</v>
      </c>
      <c r="H52" s="674"/>
      <c r="I52" s="673"/>
      <c r="J52" s="674"/>
      <c r="K52" s="759"/>
      <c r="L52" s="810"/>
    </row>
    <row r="53" spans="1:12" ht="18.95" hidden="1" customHeight="1">
      <c r="A53" s="1033"/>
      <c r="B53" s="1034"/>
      <c r="C53" s="1038"/>
      <c r="D53" s="652"/>
      <c r="E53" s="691" t="s">
        <v>29</v>
      </c>
      <c r="F53" s="691"/>
      <c r="G53" s="673">
        <f>경비집계표!F9</f>
        <v>0</v>
      </c>
      <c r="H53" s="674"/>
      <c r="I53" s="673"/>
      <c r="J53" s="674"/>
      <c r="K53" s="759"/>
      <c r="L53" s="810"/>
    </row>
    <row r="54" spans="1:12" ht="18.95" hidden="1" customHeight="1">
      <c r="A54" s="1033"/>
      <c r="B54" s="1034"/>
      <c r="C54" s="1038"/>
      <c r="D54" s="652"/>
      <c r="E54" s="691" t="s">
        <v>30</v>
      </c>
      <c r="F54" s="691"/>
      <c r="G54" s="673">
        <f>경비집계표!F10</f>
        <v>0</v>
      </c>
      <c r="H54" s="674"/>
      <c r="I54" s="673"/>
      <c r="J54" s="674"/>
      <c r="K54" s="759"/>
      <c r="L54" s="810"/>
    </row>
    <row r="55" spans="1:12" ht="18.95" hidden="1" customHeight="1">
      <c r="A55" s="1033"/>
      <c r="B55" s="1034"/>
      <c r="C55" s="1038"/>
      <c r="D55" s="652"/>
      <c r="E55" s="719" t="s">
        <v>255</v>
      </c>
      <c r="F55" s="691"/>
      <c r="G55" s="673">
        <f>경비집계표!F11</f>
        <v>0</v>
      </c>
      <c r="H55" s="674"/>
      <c r="I55" s="673"/>
      <c r="J55" s="674"/>
      <c r="K55" s="759"/>
      <c r="L55" s="810"/>
    </row>
    <row r="56" spans="1:12" ht="18.95" hidden="1" customHeight="1">
      <c r="A56" s="1033"/>
      <c r="B56" s="1034"/>
      <c r="C56" s="1038"/>
      <c r="D56" s="652"/>
      <c r="E56" s="691" t="s">
        <v>31</v>
      </c>
      <c r="F56" s="691"/>
      <c r="G56" s="673">
        <f>경비집계표!F12</f>
        <v>0</v>
      </c>
      <c r="H56" s="674"/>
      <c r="I56" s="673"/>
      <c r="J56" s="674"/>
      <c r="K56" s="759"/>
      <c r="L56" s="810"/>
    </row>
    <row r="57" spans="1:12" ht="18.95" hidden="1" customHeight="1">
      <c r="A57" s="1033"/>
      <c r="B57" s="1034"/>
      <c r="C57" s="1039"/>
      <c r="D57" s="652"/>
      <c r="E57" s="761" t="s">
        <v>23</v>
      </c>
      <c r="F57" s="691"/>
      <c r="G57" s="673">
        <f>경비집계표!F13</f>
        <v>0</v>
      </c>
      <c r="H57" s="674"/>
      <c r="I57" s="673"/>
      <c r="J57" s="674"/>
      <c r="K57" s="759"/>
      <c r="L57" s="810"/>
    </row>
    <row r="58" spans="1:12" ht="18.95" hidden="1" customHeight="1">
      <c r="A58" s="1033"/>
      <c r="B58" s="1034"/>
      <c r="C58" s="1040" t="s">
        <v>304</v>
      </c>
      <c r="D58" s="652"/>
      <c r="E58" s="691" t="s">
        <v>32</v>
      </c>
      <c r="F58" s="691"/>
      <c r="G58" s="673">
        <f>경비집계표!F14</f>
        <v>0</v>
      </c>
      <c r="H58" s="674"/>
      <c r="I58" s="673"/>
      <c r="J58" s="674"/>
      <c r="K58" s="759"/>
      <c r="L58" s="810"/>
    </row>
    <row r="59" spans="1:12" ht="18.95" hidden="1" customHeight="1">
      <c r="A59" s="1033"/>
      <c r="B59" s="1034"/>
      <c r="C59" s="1041"/>
      <c r="D59" s="652"/>
      <c r="E59" s="691" t="s">
        <v>465</v>
      </c>
      <c r="F59" s="691"/>
      <c r="G59" s="673">
        <f>경비집계표!F15</f>
        <v>0</v>
      </c>
      <c r="H59" s="674"/>
      <c r="I59" s="673"/>
      <c r="J59" s="674"/>
      <c r="K59" s="759"/>
      <c r="L59" s="810"/>
    </row>
    <row r="60" spans="1:12" ht="18.95" hidden="1" customHeight="1">
      <c r="A60" s="1033"/>
      <c r="B60" s="1034"/>
      <c r="C60" s="1041"/>
      <c r="D60" s="652"/>
      <c r="E60" s="691" t="s">
        <v>462</v>
      </c>
      <c r="F60" s="691"/>
      <c r="G60" s="673">
        <f>경비집계표!F16</f>
        <v>0</v>
      </c>
      <c r="H60" s="674"/>
      <c r="I60" s="673"/>
      <c r="J60" s="674"/>
      <c r="K60" s="759"/>
      <c r="L60" s="810"/>
    </row>
    <row r="61" spans="1:12" ht="18.95" hidden="1" customHeight="1">
      <c r="A61" s="1033"/>
      <c r="B61" s="1034"/>
      <c r="C61" s="1042"/>
      <c r="D61" s="652"/>
      <c r="E61" s="761" t="s">
        <v>23</v>
      </c>
      <c r="F61" s="691"/>
      <c r="G61" s="673">
        <f>경비집계표!F17</f>
        <v>0</v>
      </c>
      <c r="H61" s="674"/>
      <c r="I61" s="673"/>
      <c r="J61" s="674"/>
      <c r="K61" s="759"/>
      <c r="L61" s="810"/>
    </row>
    <row r="62" spans="1:12" ht="18.95" hidden="1" customHeight="1">
      <c r="A62" s="1033"/>
      <c r="B62" s="1034"/>
      <c r="C62" s="1037" t="s">
        <v>260</v>
      </c>
      <c r="D62" s="652"/>
      <c r="E62" s="691" t="s">
        <v>262</v>
      </c>
      <c r="F62" s="691"/>
      <c r="G62" s="673">
        <f>경비집계표!F18</f>
        <v>0</v>
      </c>
      <c r="H62" s="674"/>
      <c r="I62" s="673"/>
      <c r="J62" s="674"/>
      <c r="K62" s="759"/>
      <c r="L62" s="810"/>
    </row>
    <row r="63" spans="1:12" ht="18.95" hidden="1" customHeight="1">
      <c r="A63" s="1033"/>
      <c r="B63" s="1034"/>
      <c r="C63" s="1039"/>
      <c r="D63" s="652"/>
      <c r="E63" s="691" t="s">
        <v>261</v>
      </c>
      <c r="F63" s="691"/>
      <c r="G63" s="673">
        <f>경비집계표!F19</f>
        <v>0</v>
      </c>
      <c r="H63" s="674"/>
      <c r="I63" s="673"/>
      <c r="J63" s="674"/>
      <c r="K63" s="759"/>
      <c r="L63" s="810"/>
    </row>
    <row r="64" spans="1:12" ht="18.95" hidden="1" customHeight="1">
      <c r="A64" s="1035"/>
      <c r="B64" s="1036"/>
      <c r="C64" s="1027" t="s">
        <v>26</v>
      </c>
      <c r="D64" s="1028"/>
      <c r="E64" s="1028"/>
      <c r="F64" s="1029"/>
      <c r="G64" s="673">
        <f>경비집계표!F20</f>
        <v>0</v>
      </c>
      <c r="H64" s="674"/>
      <c r="I64" s="763" t="e">
        <f>ROUNDUP(G64/$G$68*100,1)</f>
        <v>#DIV/0!</v>
      </c>
      <c r="J64" s="674"/>
      <c r="K64" s="759"/>
      <c r="L64" s="810" t="str">
        <f>경비집계표!$A$1&amp;"참조"</f>
        <v>&lt; 표 : 11 &gt; 참조</v>
      </c>
    </row>
    <row r="65" spans="1:13" ht="18.95" hidden="1" customHeight="1">
      <c r="A65" s="765"/>
      <c r="B65" s="1010" t="s">
        <v>182</v>
      </c>
      <c r="C65" s="1010"/>
      <c r="D65" s="1010"/>
      <c r="E65" s="1010"/>
      <c r="F65" s="766"/>
      <c r="G65" s="673">
        <f>SUM(G50,G64)</f>
        <v>0</v>
      </c>
      <c r="H65" s="674"/>
      <c r="I65" s="763" t="e">
        <f>TRUNC(G65/$G$68*100,2)</f>
        <v>#DIV/0!</v>
      </c>
      <c r="J65" s="674"/>
      <c r="K65" s="759"/>
      <c r="L65" s="810" t="s">
        <v>281</v>
      </c>
    </row>
    <row r="66" spans="1:13" ht="18.95" hidden="1" customHeight="1">
      <c r="A66" s="767"/>
      <c r="B66" s="1009" t="s">
        <v>555</v>
      </c>
      <c r="C66" s="1009"/>
      <c r="D66" s="1009"/>
      <c r="E66" s="1009"/>
      <c r="F66" s="768"/>
      <c r="G66" s="673">
        <f>TRUNC(G65*4%,0)</f>
        <v>0</v>
      </c>
      <c r="H66" s="674"/>
      <c r="I66" s="763" t="e">
        <f>TRUNC(G66/$G$68*100,2)</f>
        <v>#DIV/0!</v>
      </c>
      <c r="J66" s="674"/>
      <c r="K66" s="759"/>
      <c r="L66" s="817" t="s">
        <v>557</v>
      </c>
    </row>
    <row r="67" spans="1:13" ht="18.95" hidden="1" customHeight="1">
      <c r="A67" s="767"/>
      <c r="B67" s="1009" t="s">
        <v>556</v>
      </c>
      <c r="C67" s="1009"/>
      <c r="D67" s="1009"/>
      <c r="E67" s="1009"/>
      <c r="F67" s="768"/>
      <c r="G67" s="673">
        <f>TRUNC(SUM(G50,G64,G66)*6%,0)</f>
        <v>0</v>
      </c>
      <c r="H67" s="674"/>
      <c r="I67" s="763" t="e">
        <f>TRUNC(G67/$G$68*100,2)</f>
        <v>#DIV/0!</v>
      </c>
      <c r="J67" s="674"/>
      <c r="K67" s="759"/>
      <c r="L67" s="817" t="s">
        <v>558</v>
      </c>
      <c r="M67" s="769"/>
    </row>
    <row r="68" spans="1:13" ht="18.95" hidden="1" customHeight="1">
      <c r="A68" s="767"/>
      <c r="B68" s="1010" t="s">
        <v>294</v>
      </c>
      <c r="C68" s="1010"/>
      <c r="D68" s="1010"/>
      <c r="E68" s="1010"/>
      <c r="F68" s="768"/>
      <c r="G68" s="673">
        <f>SUM(G65:G67)</f>
        <v>0</v>
      </c>
      <c r="H68" s="674"/>
      <c r="I68" s="763" t="e">
        <f>TRUNC(G68/$G$68*100,2)</f>
        <v>#DIV/0!</v>
      </c>
      <c r="J68" s="674"/>
      <c r="K68" s="759"/>
      <c r="L68" s="810" t="s">
        <v>271</v>
      </c>
    </row>
    <row r="69" spans="1:13" ht="18.95" hidden="1" customHeight="1">
      <c r="A69" s="767"/>
      <c r="B69" s="1030" t="s">
        <v>298</v>
      </c>
      <c r="C69" s="1030"/>
      <c r="D69" s="1030"/>
      <c r="E69" s="1030"/>
      <c r="F69" s="768"/>
      <c r="G69" s="770">
        <f>TRUNC(G68*10%)</f>
        <v>0</v>
      </c>
      <c r="H69" s="771"/>
      <c r="I69" s="772"/>
      <c r="J69" s="771"/>
      <c r="K69" s="773"/>
      <c r="L69" s="811" t="s">
        <v>300</v>
      </c>
    </row>
    <row r="70" spans="1:13" ht="18.95" hidden="1" customHeight="1">
      <c r="A70" s="767"/>
      <c r="B70" s="1030" t="s">
        <v>299</v>
      </c>
      <c r="C70" s="1030"/>
      <c r="D70" s="1030"/>
      <c r="E70" s="1030"/>
      <c r="F70" s="768"/>
      <c r="G70" s="770">
        <f>SUM(G68:G69)</f>
        <v>0</v>
      </c>
      <c r="H70" s="771"/>
      <c r="I70" s="772"/>
      <c r="J70" s="771"/>
      <c r="K70" s="773"/>
      <c r="L70" s="811" t="s">
        <v>301</v>
      </c>
    </row>
    <row r="71" spans="1:13" ht="20.100000000000001" hidden="1" customHeight="1">
      <c r="A71" s="739"/>
      <c r="B71" s="739"/>
      <c r="C71" s="739"/>
      <c r="D71" s="739"/>
      <c r="E71" s="614"/>
      <c r="F71" s="614"/>
      <c r="G71" s="614"/>
      <c r="I71" s="688"/>
      <c r="L71" s="805"/>
      <c r="M71" s="688"/>
    </row>
    <row r="72" spans="1:13" s="617" customFormat="1" ht="39.950000000000003" hidden="1" customHeight="1">
      <c r="A72" s="615" t="s">
        <v>475</v>
      </c>
      <c r="B72" s="616"/>
      <c r="C72" s="741"/>
      <c r="D72" s="741"/>
      <c r="E72" s="740"/>
      <c r="F72" s="740"/>
      <c r="G72" s="745"/>
      <c r="H72" s="742"/>
      <c r="I72" s="746"/>
      <c r="J72" s="743"/>
      <c r="K72" s="746"/>
      <c r="L72" s="806"/>
    </row>
    <row r="73" spans="1:13" ht="20.100000000000001" hidden="1" customHeight="1">
      <c r="A73" s="747"/>
      <c r="B73" s="748"/>
      <c r="C73" s="747"/>
      <c r="D73" s="747"/>
      <c r="E73" s="748"/>
      <c r="F73" s="748"/>
      <c r="G73" s="749"/>
      <c r="H73" s="750"/>
      <c r="I73" s="751"/>
      <c r="J73" s="752"/>
      <c r="K73" s="751"/>
      <c r="L73" s="807"/>
      <c r="M73" s="617"/>
    </row>
    <row r="74" spans="1:13" ht="20.100000000000001" hidden="1" customHeight="1">
      <c r="A74" s="654" t="str">
        <f>"구 분 : "&amp;월기본급!B11&amp;"                       직종명 : "&amp;월기본급!F11&amp;""</f>
        <v xml:space="preserve">구 분 :                        직종명 : </v>
      </c>
      <c r="B74" s="610"/>
      <c r="C74" s="654"/>
      <c r="D74" s="654"/>
      <c r="G74" s="685"/>
      <c r="H74" s="685"/>
      <c r="I74" s="685"/>
      <c r="L74" s="808" t="s">
        <v>15</v>
      </c>
      <c r="M74" s="617"/>
    </row>
    <row r="75" spans="1:13" ht="20.100000000000001" hidden="1" customHeight="1">
      <c r="A75" s="753"/>
      <c r="B75" s="754"/>
      <c r="C75" s="754"/>
      <c r="D75" s="754"/>
      <c r="E75" s="755" t="s">
        <v>16</v>
      </c>
      <c r="F75" s="755"/>
      <c r="G75" s="1043" t="s">
        <v>17</v>
      </c>
      <c r="H75" s="1044"/>
      <c r="I75" s="1043" t="s">
        <v>18</v>
      </c>
      <c r="J75" s="1044"/>
      <c r="K75" s="774"/>
      <c r="L75" s="1047" t="s">
        <v>19</v>
      </c>
      <c r="M75" s="617"/>
    </row>
    <row r="76" spans="1:13" ht="20.100000000000001" hidden="1" customHeight="1">
      <c r="A76" s="756" t="s">
        <v>20</v>
      </c>
      <c r="B76" s="757"/>
      <c r="C76" s="758"/>
      <c r="D76" s="758"/>
      <c r="E76" s="758"/>
      <c r="F76" s="758"/>
      <c r="G76" s="1045"/>
      <c r="H76" s="1046"/>
      <c r="I76" s="1045"/>
      <c r="J76" s="1046"/>
      <c r="K76" s="775"/>
      <c r="L76" s="1048"/>
    </row>
    <row r="77" spans="1:13" ht="18.95" hidden="1" customHeight="1">
      <c r="A77" s="1031" t="s">
        <v>204</v>
      </c>
      <c r="B77" s="1032"/>
      <c r="C77" s="1027" t="s">
        <v>21</v>
      </c>
      <c r="D77" s="1028"/>
      <c r="E77" s="1028"/>
      <c r="F77" s="1029"/>
      <c r="G77" s="673">
        <f>단위당인건비!E44</f>
        <v>0</v>
      </c>
      <c r="H77" s="674"/>
      <c r="I77" s="673"/>
      <c r="J77" s="674"/>
      <c r="K77" s="759"/>
      <c r="L77" s="809"/>
    </row>
    <row r="78" spans="1:13" ht="18.95" hidden="1" customHeight="1">
      <c r="A78" s="1033"/>
      <c r="B78" s="1034"/>
      <c r="C78" s="1037" t="s">
        <v>256</v>
      </c>
      <c r="D78" s="652"/>
      <c r="E78" s="691" t="s">
        <v>0</v>
      </c>
      <c r="F78" s="652"/>
      <c r="G78" s="673">
        <f>단위당인건비!E45</f>
        <v>0</v>
      </c>
      <c r="H78" s="674"/>
      <c r="I78" s="673"/>
      <c r="J78" s="674"/>
      <c r="K78" s="759"/>
      <c r="L78" s="809"/>
    </row>
    <row r="79" spans="1:13" ht="18.95" hidden="1" customHeight="1">
      <c r="A79" s="1033"/>
      <c r="B79" s="1034"/>
      <c r="C79" s="1038"/>
      <c r="D79" s="652"/>
      <c r="E79" s="691" t="s">
        <v>209</v>
      </c>
      <c r="F79" s="760"/>
      <c r="G79" s="673">
        <f>단위당인건비!E46</f>
        <v>0</v>
      </c>
      <c r="H79" s="674"/>
      <c r="I79" s="673"/>
      <c r="J79" s="674"/>
      <c r="K79" s="759"/>
      <c r="L79" s="809"/>
    </row>
    <row r="80" spans="1:13" ht="18.95" hidden="1" customHeight="1">
      <c r="A80" s="1033"/>
      <c r="B80" s="1034"/>
      <c r="C80" s="1038"/>
      <c r="D80" s="652"/>
      <c r="E80" s="691" t="s">
        <v>4</v>
      </c>
      <c r="F80" s="760"/>
      <c r="G80" s="673">
        <f>단위당인건비!E47</f>
        <v>0</v>
      </c>
      <c r="H80" s="674"/>
      <c r="I80" s="673"/>
      <c r="J80" s="674"/>
      <c r="K80" s="759"/>
      <c r="L80" s="809"/>
    </row>
    <row r="81" spans="1:12" ht="18.95" hidden="1" customHeight="1">
      <c r="A81" s="1033"/>
      <c r="B81" s="1034"/>
      <c r="C81" s="1038"/>
      <c r="D81" s="652"/>
      <c r="E81" s="691" t="s">
        <v>257</v>
      </c>
      <c r="F81" s="760"/>
      <c r="G81" s="673">
        <f>단위당인건비!E48</f>
        <v>0</v>
      </c>
      <c r="H81" s="674"/>
      <c r="I81" s="673"/>
      <c r="J81" s="674"/>
      <c r="K81" s="759"/>
      <c r="L81" s="809"/>
    </row>
    <row r="82" spans="1:12" ht="18.95" hidden="1" customHeight="1">
      <c r="A82" s="1033"/>
      <c r="B82" s="1034"/>
      <c r="C82" s="1039"/>
      <c r="D82" s="652"/>
      <c r="E82" s="761" t="s">
        <v>23</v>
      </c>
      <c r="F82" s="761"/>
      <c r="G82" s="673">
        <f>단위당인건비!E49</f>
        <v>0</v>
      </c>
      <c r="H82" s="674"/>
      <c r="I82" s="762"/>
      <c r="J82" s="674"/>
      <c r="K82" s="759"/>
      <c r="L82" s="810"/>
    </row>
    <row r="83" spans="1:12" ht="18.95" hidden="1" customHeight="1">
      <c r="A83" s="1033"/>
      <c r="B83" s="1034"/>
      <c r="C83" s="1027" t="s">
        <v>24</v>
      </c>
      <c r="D83" s="1028"/>
      <c r="E83" s="1028"/>
      <c r="F83" s="1029"/>
      <c r="G83" s="673">
        <f>단위당인건비!E50</f>
        <v>0</v>
      </c>
      <c r="H83" s="674"/>
      <c r="I83" s="762"/>
      <c r="J83" s="674"/>
      <c r="K83" s="759"/>
      <c r="L83" s="815"/>
    </row>
    <row r="84" spans="1:12" ht="18.95" hidden="1" customHeight="1">
      <c r="A84" s="1033"/>
      <c r="B84" s="1034"/>
      <c r="C84" s="1027" t="s">
        <v>25</v>
      </c>
      <c r="D84" s="1028"/>
      <c r="E84" s="1028"/>
      <c r="F84" s="1029"/>
      <c r="G84" s="673">
        <f>단위당인건비!E51</f>
        <v>0</v>
      </c>
      <c r="H84" s="674"/>
      <c r="I84" s="762"/>
      <c r="J84" s="674"/>
      <c r="K84" s="759"/>
      <c r="L84" s="815"/>
    </row>
    <row r="85" spans="1:12" ht="18.95" hidden="1" customHeight="1">
      <c r="A85" s="1035"/>
      <c r="B85" s="1036"/>
      <c r="C85" s="1027" t="s">
        <v>26</v>
      </c>
      <c r="D85" s="1028"/>
      <c r="E85" s="1028"/>
      <c r="F85" s="1029"/>
      <c r="G85" s="673">
        <f>단위당인건비!E52</f>
        <v>0</v>
      </c>
      <c r="H85" s="674"/>
      <c r="I85" s="763" t="e">
        <f>TRUNC(G85/$G$103*100,2)</f>
        <v>#DIV/0!</v>
      </c>
      <c r="J85" s="674"/>
      <c r="K85" s="759"/>
      <c r="L85" s="810" t="str">
        <f>단위당인건비!$A$1&amp;"참조"</f>
        <v>&lt; 표 : 4 &gt; 참조</v>
      </c>
    </row>
    <row r="86" spans="1:12" ht="18.95" hidden="1" customHeight="1">
      <c r="A86" s="1031" t="s">
        <v>212</v>
      </c>
      <c r="B86" s="1032"/>
      <c r="C86" s="1037" t="s">
        <v>3</v>
      </c>
      <c r="D86" s="652"/>
      <c r="E86" s="691" t="s">
        <v>27</v>
      </c>
      <c r="F86" s="691"/>
      <c r="G86" s="673">
        <f>경비집계표!G7</f>
        <v>0</v>
      </c>
      <c r="H86" s="674"/>
      <c r="I86" s="673"/>
      <c r="J86" s="674"/>
      <c r="K86" s="759"/>
      <c r="L86" s="810"/>
    </row>
    <row r="87" spans="1:12" ht="18.95" hidden="1" customHeight="1">
      <c r="A87" s="1033"/>
      <c r="B87" s="1034"/>
      <c r="C87" s="1038"/>
      <c r="D87" s="652"/>
      <c r="E87" s="691" t="s">
        <v>28</v>
      </c>
      <c r="F87" s="691"/>
      <c r="G87" s="673">
        <f>경비집계표!G8</f>
        <v>0</v>
      </c>
      <c r="H87" s="674"/>
      <c r="I87" s="673"/>
      <c r="J87" s="674"/>
      <c r="K87" s="759"/>
      <c r="L87" s="810"/>
    </row>
    <row r="88" spans="1:12" ht="18.95" hidden="1" customHeight="1">
      <c r="A88" s="1033"/>
      <c r="B88" s="1034"/>
      <c r="C88" s="1038"/>
      <c r="D88" s="652"/>
      <c r="E88" s="691" t="s">
        <v>29</v>
      </c>
      <c r="F88" s="691"/>
      <c r="G88" s="673">
        <f>경비집계표!G9</f>
        <v>0</v>
      </c>
      <c r="H88" s="674"/>
      <c r="I88" s="673"/>
      <c r="J88" s="674"/>
      <c r="K88" s="759"/>
      <c r="L88" s="810"/>
    </row>
    <row r="89" spans="1:12" ht="18.95" hidden="1" customHeight="1">
      <c r="A89" s="1033"/>
      <c r="B89" s="1034"/>
      <c r="C89" s="1038"/>
      <c r="D89" s="652"/>
      <c r="E89" s="691" t="s">
        <v>30</v>
      </c>
      <c r="F89" s="691"/>
      <c r="G89" s="673">
        <f>경비집계표!G10</f>
        <v>0</v>
      </c>
      <c r="H89" s="674"/>
      <c r="I89" s="673"/>
      <c r="J89" s="674"/>
      <c r="K89" s="759"/>
      <c r="L89" s="810"/>
    </row>
    <row r="90" spans="1:12" ht="18.95" hidden="1" customHeight="1">
      <c r="A90" s="1033"/>
      <c r="B90" s="1034"/>
      <c r="C90" s="1038"/>
      <c r="D90" s="652"/>
      <c r="E90" s="719" t="s">
        <v>255</v>
      </c>
      <c r="F90" s="691"/>
      <c r="G90" s="673">
        <f>경비집계표!G11</f>
        <v>0</v>
      </c>
      <c r="H90" s="674"/>
      <c r="I90" s="673"/>
      <c r="J90" s="674"/>
      <c r="K90" s="759"/>
      <c r="L90" s="810"/>
    </row>
    <row r="91" spans="1:12" ht="18.95" hidden="1" customHeight="1">
      <c r="A91" s="1033"/>
      <c r="B91" s="1034"/>
      <c r="C91" s="1038"/>
      <c r="D91" s="652"/>
      <c r="E91" s="691" t="s">
        <v>31</v>
      </c>
      <c r="F91" s="691"/>
      <c r="G91" s="673">
        <f>경비집계표!G12</f>
        <v>0</v>
      </c>
      <c r="H91" s="674"/>
      <c r="I91" s="673"/>
      <c r="J91" s="674"/>
      <c r="K91" s="759"/>
      <c r="L91" s="810"/>
    </row>
    <row r="92" spans="1:12" ht="18.95" hidden="1" customHeight="1">
      <c r="A92" s="1033"/>
      <c r="B92" s="1034"/>
      <c r="C92" s="1039"/>
      <c r="D92" s="652"/>
      <c r="E92" s="761" t="s">
        <v>23</v>
      </c>
      <c r="F92" s="691"/>
      <c r="G92" s="673">
        <f>경비집계표!G13</f>
        <v>0</v>
      </c>
      <c r="H92" s="674"/>
      <c r="I92" s="673"/>
      <c r="J92" s="674"/>
      <c r="K92" s="759"/>
      <c r="L92" s="810"/>
    </row>
    <row r="93" spans="1:12" ht="18.95" hidden="1" customHeight="1">
      <c r="A93" s="1033"/>
      <c r="B93" s="1034"/>
      <c r="C93" s="1040" t="s">
        <v>304</v>
      </c>
      <c r="D93" s="652"/>
      <c r="E93" s="691" t="s">
        <v>32</v>
      </c>
      <c r="F93" s="691"/>
      <c r="G93" s="673">
        <f>경비집계표!G14</f>
        <v>0</v>
      </c>
      <c r="H93" s="674"/>
      <c r="I93" s="673"/>
      <c r="J93" s="674"/>
      <c r="K93" s="759"/>
      <c r="L93" s="810"/>
    </row>
    <row r="94" spans="1:12" ht="18.95" hidden="1" customHeight="1">
      <c r="A94" s="1033"/>
      <c r="B94" s="1034"/>
      <c r="C94" s="1041"/>
      <c r="D94" s="652"/>
      <c r="E94" s="691" t="s">
        <v>465</v>
      </c>
      <c r="F94" s="691"/>
      <c r="G94" s="673">
        <f>경비집계표!G15</f>
        <v>0</v>
      </c>
      <c r="H94" s="674"/>
      <c r="I94" s="673"/>
      <c r="J94" s="674"/>
      <c r="K94" s="759"/>
      <c r="L94" s="810"/>
    </row>
    <row r="95" spans="1:12" ht="18.95" hidden="1" customHeight="1">
      <c r="A95" s="1033"/>
      <c r="B95" s="1034"/>
      <c r="C95" s="1041"/>
      <c r="D95" s="652"/>
      <c r="E95" s="691" t="s">
        <v>462</v>
      </c>
      <c r="F95" s="691"/>
      <c r="G95" s="673">
        <f>경비집계표!G16</f>
        <v>0</v>
      </c>
      <c r="H95" s="674"/>
      <c r="I95" s="673"/>
      <c r="J95" s="674"/>
      <c r="K95" s="759"/>
      <c r="L95" s="810"/>
    </row>
    <row r="96" spans="1:12" ht="18.95" hidden="1" customHeight="1">
      <c r="A96" s="1033"/>
      <c r="B96" s="1034"/>
      <c r="C96" s="1042"/>
      <c r="D96" s="652"/>
      <c r="E96" s="761" t="s">
        <v>23</v>
      </c>
      <c r="F96" s="691"/>
      <c r="G96" s="673">
        <f>경비집계표!G17</f>
        <v>0</v>
      </c>
      <c r="H96" s="674"/>
      <c r="I96" s="673"/>
      <c r="J96" s="674"/>
      <c r="K96" s="759"/>
      <c r="L96" s="810"/>
    </row>
    <row r="97" spans="1:13" ht="18.95" hidden="1" customHeight="1">
      <c r="A97" s="1033"/>
      <c r="B97" s="1034"/>
      <c r="C97" s="1037" t="s">
        <v>260</v>
      </c>
      <c r="D97" s="652"/>
      <c r="E97" s="691" t="s">
        <v>262</v>
      </c>
      <c r="F97" s="691"/>
      <c r="G97" s="673">
        <f>경비집계표!G18</f>
        <v>0</v>
      </c>
      <c r="H97" s="674"/>
      <c r="I97" s="673"/>
      <c r="J97" s="674"/>
      <c r="K97" s="759"/>
      <c r="L97" s="810"/>
    </row>
    <row r="98" spans="1:13" ht="18.95" hidden="1" customHeight="1">
      <c r="A98" s="1033"/>
      <c r="B98" s="1034"/>
      <c r="C98" s="1039"/>
      <c r="D98" s="652"/>
      <c r="E98" s="691" t="s">
        <v>261</v>
      </c>
      <c r="F98" s="691"/>
      <c r="G98" s="673">
        <f>경비집계표!G19</f>
        <v>0</v>
      </c>
      <c r="H98" s="674"/>
      <c r="I98" s="673"/>
      <c r="J98" s="674"/>
      <c r="K98" s="759"/>
      <c r="L98" s="810"/>
    </row>
    <row r="99" spans="1:13" ht="18.95" hidden="1" customHeight="1">
      <c r="A99" s="1035"/>
      <c r="B99" s="1036"/>
      <c r="C99" s="1027" t="s">
        <v>26</v>
      </c>
      <c r="D99" s="1028"/>
      <c r="E99" s="1028"/>
      <c r="F99" s="1029"/>
      <c r="G99" s="673">
        <f>경비집계표!G20</f>
        <v>0</v>
      </c>
      <c r="H99" s="674"/>
      <c r="I99" s="763" t="e">
        <f>TRUNC(G99/$G$103*100,2)</f>
        <v>#DIV/0!</v>
      </c>
      <c r="J99" s="674"/>
      <c r="K99" s="759"/>
      <c r="L99" s="810" t="str">
        <f>경비집계표!$A$1&amp;"참조"</f>
        <v>&lt; 표 : 11 &gt; 참조</v>
      </c>
    </row>
    <row r="100" spans="1:13" ht="18.95" hidden="1" customHeight="1">
      <c r="A100" s="765"/>
      <c r="B100" s="1010" t="s">
        <v>182</v>
      </c>
      <c r="C100" s="1010"/>
      <c r="D100" s="1010"/>
      <c r="E100" s="1010"/>
      <c r="F100" s="766"/>
      <c r="G100" s="673">
        <f>SUM(G85,G99)</f>
        <v>0</v>
      </c>
      <c r="H100" s="674"/>
      <c r="I100" s="763" t="e">
        <f>TRUNC(G100/$G$103*100,2)</f>
        <v>#DIV/0!</v>
      </c>
      <c r="J100" s="674"/>
      <c r="K100" s="759"/>
      <c r="L100" s="810" t="s">
        <v>281</v>
      </c>
    </row>
    <row r="101" spans="1:13" ht="18.95" hidden="1" customHeight="1">
      <c r="A101" s="767"/>
      <c r="B101" s="1009" t="s">
        <v>555</v>
      </c>
      <c r="C101" s="1009"/>
      <c r="D101" s="1009"/>
      <c r="E101" s="1009"/>
      <c r="F101" s="768"/>
      <c r="G101" s="673">
        <f>TRUNC(G100*4%,0)</f>
        <v>0</v>
      </c>
      <c r="H101" s="674"/>
      <c r="I101" s="763" t="e">
        <f>TRUNC(G101/$G$103*100,2)</f>
        <v>#DIV/0!</v>
      </c>
      <c r="J101" s="674"/>
      <c r="K101" s="759"/>
      <c r="L101" s="817" t="s">
        <v>557</v>
      </c>
    </row>
    <row r="102" spans="1:13" ht="18.95" hidden="1" customHeight="1">
      <c r="A102" s="767"/>
      <c r="B102" s="1009" t="s">
        <v>556</v>
      </c>
      <c r="C102" s="1009"/>
      <c r="D102" s="1009"/>
      <c r="E102" s="1009"/>
      <c r="F102" s="768"/>
      <c r="G102" s="673">
        <f>TRUNC(SUM(G85,G99,G101)*6%,0)</f>
        <v>0</v>
      </c>
      <c r="H102" s="674"/>
      <c r="I102" s="763" t="e">
        <f>TRUNC(G102/$G$103*100,2)</f>
        <v>#DIV/0!</v>
      </c>
      <c r="J102" s="674"/>
      <c r="K102" s="759"/>
      <c r="L102" s="817" t="s">
        <v>558</v>
      </c>
      <c r="M102" s="769"/>
    </row>
    <row r="103" spans="1:13" ht="18.95" hidden="1" customHeight="1">
      <c r="A103" s="767"/>
      <c r="B103" s="1010" t="s">
        <v>294</v>
      </c>
      <c r="C103" s="1010"/>
      <c r="D103" s="1010"/>
      <c r="E103" s="1010"/>
      <c r="F103" s="768"/>
      <c r="G103" s="673">
        <f>SUM(G100:G102)</f>
        <v>0</v>
      </c>
      <c r="H103" s="674"/>
      <c r="I103" s="763" t="e">
        <f>TRUNC(G103/$G$103*100,2)</f>
        <v>#DIV/0!</v>
      </c>
      <c r="J103" s="674"/>
      <c r="K103" s="759"/>
      <c r="L103" s="810" t="s">
        <v>271</v>
      </c>
    </row>
    <row r="104" spans="1:13" ht="18.95" hidden="1" customHeight="1">
      <c r="A104" s="767"/>
      <c r="B104" s="1030" t="s">
        <v>298</v>
      </c>
      <c r="C104" s="1030"/>
      <c r="D104" s="1030"/>
      <c r="E104" s="1030"/>
      <c r="F104" s="768"/>
      <c r="G104" s="770">
        <f>TRUNC(G103*10%)</f>
        <v>0</v>
      </c>
      <c r="H104" s="771"/>
      <c r="I104" s="772"/>
      <c r="J104" s="771"/>
      <c r="K104" s="773"/>
      <c r="L104" s="811" t="s">
        <v>300</v>
      </c>
    </row>
    <row r="105" spans="1:13" ht="18.95" hidden="1" customHeight="1">
      <c r="A105" s="767"/>
      <c r="B105" s="1030" t="s">
        <v>299</v>
      </c>
      <c r="C105" s="1030"/>
      <c r="D105" s="1030"/>
      <c r="E105" s="1030"/>
      <c r="F105" s="768"/>
      <c r="G105" s="770">
        <f>SUM(G103:G104)</f>
        <v>0</v>
      </c>
      <c r="H105" s="771"/>
      <c r="I105" s="772"/>
      <c r="J105" s="771"/>
      <c r="K105" s="773"/>
      <c r="L105" s="811" t="s">
        <v>301</v>
      </c>
    </row>
    <row r="106" spans="1:13" ht="20.100000000000001" hidden="1" customHeight="1">
      <c r="A106" s="739"/>
      <c r="B106" s="739"/>
      <c r="C106" s="739"/>
      <c r="D106" s="739"/>
      <c r="E106" s="614"/>
      <c r="F106" s="614"/>
      <c r="G106" s="614"/>
      <c r="I106" s="688"/>
      <c r="L106" s="805"/>
      <c r="M106" s="688"/>
    </row>
    <row r="107" spans="1:13" s="617" customFormat="1" ht="39.950000000000003" hidden="1" customHeight="1">
      <c r="A107" s="615" t="s">
        <v>475</v>
      </c>
      <c r="B107" s="616"/>
      <c r="C107" s="741"/>
      <c r="D107" s="741"/>
      <c r="E107" s="740"/>
      <c r="F107" s="740"/>
      <c r="G107" s="745"/>
      <c r="H107" s="742"/>
      <c r="I107" s="746"/>
      <c r="J107" s="743"/>
      <c r="K107" s="746"/>
      <c r="L107" s="806"/>
    </row>
    <row r="108" spans="1:13" ht="20.100000000000001" hidden="1" customHeight="1">
      <c r="A108" s="747"/>
      <c r="B108" s="748"/>
      <c r="C108" s="747"/>
      <c r="D108" s="747"/>
      <c r="E108" s="748"/>
      <c r="F108" s="748"/>
      <c r="G108" s="749"/>
      <c r="H108" s="750"/>
      <c r="I108" s="751"/>
      <c r="J108" s="752"/>
      <c r="K108" s="751"/>
      <c r="L108" s="807"/>
      <c r="M108" s="617"/>
    </row>
    <row r="109" spans="1:13" ht="20.100000000000001" hidden="1" customHeight="1">
      <c r="A109" s="654" t="str">
        <f>"구 분 : "&amp;월기본급!B12&amp;"                       직종명 : "&amp;월기본급!F12&amp;""</f>
        <v xml:space="preserve">구 분 :                        직종명 : </v>
      </c>
      <c r="B109" s="610"/>
      <c r="C109" s="654"/>
      <c r="D109" s="654"/>
      <c r="G109" s="685"/>
      <c r="H109" s="685"/>
      <c r="I109" s="685"/>
      <c r="L109" s="808" t="s">
        <v>15</v>
      </c>
      <c r="M109" s="617"/>
    </row>
    <row r="110" spans="1:13" ht="20.100000000000001" hidden="1" customHeight="1">
      <c r="A110" s="753"/>
      <c r="B110" s="754"/>
      <c r="C110" s="754"/>
      <c r="D110" s="754"/>
      <c r="E110" s="755" t="s">
        <v>16</v>
      </c>
      <c r="F110" s="755"/>
      <c r="G110" s="1043" t="s">
        <v>17</v>
      </c>
      <c r="H110" s="1044"/>
      <c r="I110" s="1043" t="s">
        <v>18</v>
      </c>
      <c r="J110" s="1044"/>
      <c r="K110" s="774"/>
      <c r="L110" s="1047" t="s">
        <v>19</v>
      </c>
      <c r="M110" s="617"/>
    </row>
    <row r="111" spans="1:13" ht="20.100000000000001" hidden="1" customHeight="1">
      <c r="A111" s="756" t="s">
        <v>20</v>
      </c>
      <c r="B111" s="757"/>
      <c r="C111" s="758"/>
      <c r="D111" s="758"/>
      <c r="E111" s="758"/>
      <c r="F111" s="758"/>
      <c r="G111" s="1045"/>
      <c r="H111" s="1046"/>
      <c r="I111" s="1045"/>
      <c r="J111" s="1046"/>
      <c r="K111" s="775"/>
      <c r="L111" s="1048"/>
    </row>
    <row r="112" spans="1:13" ht="18.95" hidden="1" customHeight="1">
      <c r="A112" s="1031" t="s">
        <v>204</v>
      </c>
      <c r="B112" s="1032"/>
      <c r="C112" s="1027" t="s">
        <v>21</v>
      </c>
      <c r="D112" s="1028"/>
      <c r="E112" s="1028"/>
      <c r="F112" s="1029"/>
      <c r="G112" s="673">
        <f>단위당인건비!E63</f>
        <v>0</v>
      </c>
      <c r="H112" s="674"/>
      <c r="I112" s="673"/>
      <c r="J112" s="674"/>
      <c r="K112" s="759"/>
      <c r="L112" s="809"/>
    </row>
    <row r="113" spans="1:12" ht="18.95" hidden="1" customHeight="1">
      <c r="A113" s="1033"/>
      <c r="B113" s="1034"/>
      <c r="C113" s="1037" t="s">
        <v>256</v>
      </c>
      <c r="D113" s="652"/>
      <c r="E113" s="691" t="s">
        <v>0</v>
      </c>
      <c r="F113" s="652"/>
      <c r="G113" s="673">
        <f>단위당인건비!E64</f>
        <v>0</v>
      </c>
      <c r="H113" s="674"/>
      <c r="I113" s="673"/>
      <c r="J113" s="674"/>
      <c r="K113" s="759"/>
      <c r="L113" s="809"/>
    </row>
    <row r="114" spans="1:12" ht="18.95" hidden="1" customHeight="1">
      <c r="A114" s="1033"/>
      <c r="B114" s="1034"/>
      <c r="C114" s="1038"/>
      <c r="D114" s="652"/>
      <c r="E114" s="691" t="s">
        <v>229</v>
      </c>
      <c r="F114" s="760"/>
      <c r="G114" s="673">
        <f>단위당인건비!E65</f>
        <v>0</v>
      </c>
      <c r="H114" s="674"/>
      <c r="I114" s="673"/>
      <c r="J114" s="674"/>
      <c r="K114" s="759"/>
      <c r="L114" s="809"/>
    </row>
    <row r="115" spans="1:12" ht="18.95" hidden="1" customHeight="1">
      <c r="A115" s="1033"/>
      <c r="B115" s="1034"/>
      <c r="C115" s="1038"/>
      <c r="D115" s="652"/>
      <c r="E115" s="691" t="s">
        <v>4</v>
      </c>
      <c r="F115" s="760"/>
      <c r="G115" s="673">
        <f>단위당인건비!E66</f>
        <v>0</v>
      </c>
      <c r="H115" s="674"/>
      <c r="I115" s="673"/>
      <c r="J115" s="674"/>
      <c r="K115" s="759"/>
      <c r="L115" s="809"/>
    </row>
    <row r="116" spans="1:12" ht="18.95" hidden="1" customHeight="1">
      <c r="A116" s="1033"/>
      <c r="B116" s="1034"/>
      <c r="C116" s="1038"/>
      <c r="D116" s="652"/>
      <c r="E116" s="691" t="s">
        <v>257</v>
      </c>
      <c r="F116" s="760"/>
      <c r="G116" s="673">
        <f>단위당인건비!E67</f>
        <v>0</v>
      </c>
      <c r="H116" s="674"/>
      <c r="I116" s="673"/>
      <c r="J116" s="674"/>
      <c r="K116" s="759"/>
      <c r="L116" s="809"/>
    </row>
    <row r="117" spans="1:12" ht="18.95" hidden="1" customHeight="1">
      <c r="A117" s="1033"/>
      <c r="B117" s="1034"/>
      <c r="C117" s="1039"/>
      <c r="D117" s="652"/>
      <c r="E117" s="761" t="s">
        <v>23</v>
      </c>
      <c r="F117" s="761"/>
      <c r="G117" s="673">
        <f>단위당인건비!E68</f>
        <v>0</v>
      </c>
      <c r="H117" s="674"/>
      <c r="I117" s="762"/>
      <c r="J117" s="674"/>
      <c r="K117" s="759"/>
      <c r="L117" s="810"/>
    </row>
    <row r="118" spans="1:12" ht="18.95" hidden="1" customHeight="1">
      <c r="A118" s="1033"/>
      <c r="B118" s="1034"/>
      <c r="C118" s="1027" t="s">
        <v>24</v>
      </c>
      <c r="D118" s="1028"/>
      <c r="E118" s="1028"/>
      <c r="F118" s="1029"/>
      <c r="G118" s="673">
        <f>단위당인건비!E69</f>
        <v>0</v>
      </c>
      <c r="H118" s="674"/>
      <c r="I118" s="762"/>
      <c r="J118" s="674"/>
      <c r="K118" s="759"/>
      <c r="L118" s="815"/>
    </row>
    <row r="119" spans="1:12" ht="18.95" hidden="1" customHeight="1">
      <c r="A119" s="1033"/>
      <c r="B119" s="1034"/>
      <c r="C119" s="1027" t="s">
        <v>25</v>
      </c>
      <c r="D119" s="1028"/>
      <c r="E119" s="1028"/>
      <c r="F119" s="1029"/>
      <c r="G119" s="673">
        <f>단위당인건비!E70</f>
        <v>0</v>
      </c>
      <c r="H119" s="674"/>
      <c r="I119" s="762"/>
      <c r="J119" s="674"/>
      <c r="K119" s="759"/>
      <c r="L119" s="815"/>
    </row>
    <row r="120" spans="1:12" ht="18.95" hidden="1" customHeight="1">
      <c r="A120" s="1035"/>
      <c r="B120" s="1036"/>
      <c r="C120" s="1027" t="s">
        <v>26</v>
      </c>
      <c r="D120" s="1028"/>
      <c r="E120" s="1028"/>
      <c r="F120" s="1029"/>
      <c r="G120" s="673">
        <f>단위당인건비!E71</f>
        <v>0</v>
      </c>
      <c r="H120" s="674"/>
      <c r="I120" s="763" t="e">
        <f>TRUNC(G120/$G$138*100,2)</f>
        <v>#DIV/0!</v>
      </c>
      <c r="J120" s="674"/>
      <c r="K120" s="759"/>
      <c r="L120" s="810" t="str">
        <f>단위당인건비!$A$1&amp;"참조"</f>
        <v>&lt; 표 : 4 &gt; 참조</v>
      </c>
    </row>
    <row r="121" spans="1:12" ht="18.95" hidden="1" customHeight="1">
      <c r="A121" s="1031" t="s">
        <v>212</v>
      </c>
      <c r="B121" s="1032"/>
      <c r="C121" s="1037" t="s">
        <v>3</v>
      </c>
      <c r="D121" s="652"/>
      <c r="E121" s="691" t="s">
        <v>27</v>
      </c>
      <c r="F121" s="691"/>
      <c r="G121" s="673">
        <f>경비집계표!H7</f>
        <v>0</v>
      </c>
      <c r="H121" s="674"/>
      <c r="I121" s="673"/>
      <c r="J121" s="674"/>
      <c r="K121" s="759"/>
      <c r="L121" s="810"/>
    </row>
    <row r="122" spans="1:12" ht="18.95" hidden="1" customHeight="1">
      <c r="A122" s="1033"/>
      <c r="B122" s="1034"/>
      <c r="C122" s="1038"/>
      <c r="D122" s="652"/>
      <c r="E122" s="691" t="s">
        <v>28</v>
      </c>
      <c r="F122" s="691"/>
      <c r="G122" s="673">
        <f>경비집계표!H8</f>
        <v>0</v>
      </c>
      <c r="H122" s="674"/>
      <c r="I122" s="673"/>
      <c r="J122" s="674"/>
      <c r="K122" s="759"/>
      <c r="L122" s="810"/>
    </row>
    <row r="123" spans="1:12" ht="18.95" hidden="1" customHeight="1">
      <c r="A123" s="1033"/>
      <c r="B123" s="1034"/>
      <c r="C123" s="1038"/>
      <c r="D123" s="652"/>
      <c r="E123" s="691" t="s">
        <v>29</v>
      </c>
      <c r="F123" s="691"/>
      <c r="G123" s="673">
        <f>경비집계표!H9</f>
        <v>0</v>
      </c>
      <c r="H123" s="674"/>
      <c r="I123" s="673"/>
      <c r="J123" s="674"/>
      <c r="K123" s="759"/>
      <c r="L123" s="810"/>
    </row>
    <row r="124" spans="1:12" ht="18.95" hidden="1" customHeight="1">
      <c r="A124" s="1033"/>
      <c r="B124" s="1034"/>
      <c r="C124" s="1038"/>
      <c r="D124" s="652"/>
      <c r="E124" s="691" t="s">
        <v>30</v>
      </c>
      <c r="F124" s="691"/>
      <c r="G124" s="673">
        <f>경비집계표!H10</f>
        <v>0</v>
      </c>
      <c r="H124" s="674"/>
      <c r="I124" s="673"/>
      <c r="J124" s="674"/>
      <c r="K124" s="759"/>
      <c r="L124" s="810"/>
    </row>
    <row r="125" spans="1:12" ht="18.95" hidden="1" customHeight="1">
      <c r="A125" s="1033"/>
      <c r="B125" s="1034"/>
      <c r="C125" s="1038"/>
      <c r="D125" s="652"/>
      <c r="E125" s="719" t="s">
        <v>255</v>
      </c>
      <c r="F125" s="691"/>
      <c r="G125" s="673">
        <f>경비집계표!H11</f>
        <v>0</v>
      </c>
      <c r="H125" s="674"/>
      <c r="I125" s="673"/>
      <c r="J125" s="674"/>
      <c r="K125" s="759"/>
      <c r="L125" s="810"/>
    </row>
    <row r="126" spans="1:12" ht="18.95" hidden="1" customHeight="1">
      <c r="A126" s="1033"/>
      <c r="B126" s="1034"/>
      <c r="C126" s="1038"/>
      <c r="D126" s="652"/>
      <c r="E126" s="691" t="s">
        <v>31</v>
      </c>
      <c r="F126" s="691"/>
      <c r="G126" s="673">
        <f>경비집계표!H12</f>
        <v>0</v>
      </c>
      <c r="H126" s="674"/>
      <c r="I126" s="673"/>
      <c r="J126" s="674"/>
      <c r="K126" s="759"/>
      <c r="L126" s="810"/>
    </row>
    <row r="127" spans="1:12" ht="18.95" hidden="1" customHeight="1">
      <c r="A127" s="1033"/>
      <c r="B127" s="1034"/>
      <c r="C127" s="1039"/>
      <c r="D127" s="652"/>
      <c r="E127" s="761" t="s">
        <v>23</v>
      </c>
      <c r="F127" s="691"/>
      <c r="G127" s="673">
        <f>경비집계표!H13</f>
        <v>0</v>
      </c>
      <c r="H127" s="674"/>
      <c r="I127" s="673"/>
      <c r="J127" s="674"/>
      <c r="K127" s="759"/>
      <c r="L127" s="810"/>
    </row>
    <row r="128" spans="1:12" ht="18.95" hidden="1" customHeight="1">
      <c r="A128" s="1033"/>
      <c r="B128" s="1034"/>
      <c r="C128" s="1040" t="s">
        <v>304</v>
      </c>
      <c r="D128" s="652"/>
      <c r="E128" s="691" t="s">
        <v>32</v>
      </c>
      <c r="F128" s="691"/>
      <c r="G128" s="673">
        <f>경비집계표!H14</f>
        <v>0</v>
      </c>
      <c r="H128" s="674"/>
      <c r="I128" s="673"/>
      <c r="J128" s="674"/>
      <c r="K128" s="759"/>
      <c r="L128" s="810"/>
    </row>
    <row r="129" spans="1:13" ht="18.95" hidden="1" customHeight="1">
      <c r="A129" s="1033"/>
      <c r="B129" s="1034"/>
      <c r="C129" s="1041"/>
      <c r="D129" s="652"/>
      <c r="E129" s="691" t="s">
        <v>465</v>
      </c>
      <c r="F129" s="691"/>
      <c r="G129" s="673">
        <f>경비집계표!H15</f>
        <v>0</v>
      </c>
      <c r="H129" s="674"/>
      <c r="I129" s="673"/>
      <c r="J129" s="674"/>
      <c r="K129" s="759"/>
      <c r="L129" s="810"/>
    </row>
    <row r="130" spans="1:13" ht="18.95" hidden="1" customHeight="1">
      <c r="A130" s="1033"/>
      <c r="B130" s="1034"/>
      <c r="C130" s="1041"/>
      <c r="D130" s="652"/>
      <c r="E130" s="691" t="s">
        <v>462</v>
      </c>
      <c r="F130" s="691"/>
      <c r="G130" s="673">
        <f>경비집계표!H16</f>
        <v>0</v>
      </c>
      <c r="H130" s="674"/>
      <c r="I130" s="673"/>
      <c r="J130" s="674"/>
      <c r="K130" s="759"/>
      <c r="L130" s="810"/>
    </row>
    <row r="131" spans="1:13" ht="18.95" hidden="1" customHeight="1">
      <c r="A131" s="1033"/>
      <c r="B131" s="1034"/>
      <c r="C131" s="1042"/>
      <c r="D131" s="652"/>
      <c r="E131" s="761" t="s">
        <v>23</v>
      </c>
      <c r="F131" s="691"/>
      <c r="G131" s="673">
        <f>경비집계표!H17</f>
        <v>0</v>
      </c>
      <c r="H131" s="674"/>
      <c r="I131" s="673"/>
      <c r="J131" s="674"/>
      <c r="K131" s="759"/>
      <c r="L131" s="810"/>
    </row>
    <row r="132" spans="1:13" ht="18.95" hidden="1" customHeight="1">
      <c r="A132" s="1033"/>
      <c r="B132" s="1034"/>
      <c r="C132" s="1037" t="s">
        <v>260</v>
      </c>
      <c r="D132" s="652"/>
      <c r="E132" s="691" t="s">
        <v>262</v>
      </c>
      <c r="F132" s="691"/>
      <c r="G132" s="673">
        <f>경비집계표!H18</f>
        <v>0</v>
      </c>
      <c r="H132" s="674"/>
      <c r="I132" s="673"/>
      <c r="J132" s="674"/>
      <c r="K132" s="759"/>
      <c r="L132" s="810"/>
    </row>
    <row r="133" spans="1:13" ht="18.95" hidden="1" customHeight="1">
      <c r="A133" s="1033"/>
      <c r="B133" s="1034"/>
      <c r="C133" s="1039"/>
      <c r="D133" s="652"/>
      <c r="E133" s="691" t="s">
        <v>261</v>
      </c>
      <c r="F133" s="691"/>
      <c r="G133" s="673">
        <f>경비집계표!H19</f>
        <v>0</v>
      </c>
      <c r="H133" s="674"/>
      <c r="I133" s="673"/>
      <c r="J133" s="674"/>
      <c r="K133" s="759"/>
      <c r="L133" s="810"/>
    </row>
    <row r="134" spans="1:13" ht="18.95" hidden="1" customHeight="1">
      <c r="A134" s="1035"/>
      <c r="B134" s="1036"/>
      <c r="C134" s="1027" t="s">
        <v>26</v>
      </c>
      <c r="D134" s="1028"/>
      <c r="E134" s="1028"/>
      <c r="F134" s="1029"/>
      <c r="G134" s="673">
        <f>경비집계표!H20</f>
        <v>0</v>
      </c>
      <c r="H134" s="674"/>
      <c r="I134" s="763" t="e">
        <f>TRUNC(G134/$G$138*100,2)</f>
        <v>#DIV/0!</v>
      </c>
      <c r="J134" s="674"/>
      <c r="K134" s="759"/>
      <c r="L134" s="810" t="str">
        <f>경비집계표!$A$1&amp;"참조"</f>
        <v>&lt; 표 : 11 &gt; 참조</v>
      </c>
    </row>
    <row r="135" spans="1:13" ht="18.95" hidden="1" customHeight="1">
      <c r="A135" s="765"/>
      <c r="B135" s="1010" t="s">
        <v>182</v>
      </c>
      <c r="C135" s="1010"/>
      <c r="D135" s="1010"/>
      <c r="E135" s="1010"/>
      <c r="F135" s="766"/>
      <c r="G135" s="673">
        <f>SUM(G120,G134)</f>
        <v>0</v>
      </c>
      <c r="H135" s="674"/>
      <c r="I135" s="763" t="e">
        <f>TRUNC(G135/$G$138*100,2)</f>
        <v>#DIV/0!</v>
      </c>
      <c r="J135" s="674"/>
      <c r="K135" s="759"/>
      <c r="L135" s="810" t="s">
        <v>281</v>
      </c>
    </row>
    <row r="136" spans="1:13" ht="18.95" hidden="1" customHeight="1">
      <c r="A136" s="767"/>
      <c r="B136" s="1009" t="s">
        <v>555</v>
      </c>
      <c r="C136" s="1009"/>
      <c r="D136" s="1009"/>
      <c r="E136" s="1009"/>
      <c r="F136" s="768"/>
      <c r="G136" s="673">
        <f>TRUNC(G135*4%,0)</f>
        <v>0</v>
      </c>
      <c r="H136" s="674"/>
      <c r="I136" s="763" t="e">
        <f>TRUNC(G136/$G$138*100,2)</f>
        <v>#DIV/0!</v>
      </c>
      <c r="J136" s="674"/>
      <c r="K136" s="759"/>
      <c r="L136" s="817" t="s">
        <v>557</v>
      </c>
    </row>
    <row r="137" spans="1:13" ht="18.95" hidden="1" customHeight="1">
      <c r="A137" s="767"/>
      <c r="B137" s="1009" t="s">
        <v>556</v>
      </c>
      <c r="C137" s="1009"/>
      <c r="D137" s="1009"/>
      <c r="E137" s="1009"/>
      <c r="F137" s="768"/>
      <c r="G137" s="673">
        <f>TRUNC(SUM(G120,G134,G136)*6%,0)</f>
        <v>0</v>
      </c>
      <c r="H137" s="674"/>
      <c r="I137" s="763" t="e">
        <f>TRUNC(G137/$G$138*100,2)</f>
        <v>#DIV/0!</v>
      </c>
      <c r="J137" s="674"/>
      <c r="K137" s="759"/>
      <c r="L137" s="817" t="s">
        <v>558</v>
      </c>
      <c r="M137" s="769"/>
    </row>
    <row r="138" spans="1:13" ht="18.95" hidden="1" customHeight="1">
      <c r="A138" s="767"/>
      <c r="B138" s="1010" t="s">
        <v>294</v>
      </c>
      <c r="C138" s="1010"/>
      <c r="D138" s="1010"/>
      <c r="E138" s="1010"/>
      <c r="F138" s="768"/>
      <c r="G138" s="673">
        <f>SUM(G135:G137)</f>
        <v>0</v>
      </c>
      <c r="H138" s="674"/>
      <c r="I138" s="763" t="e">
        <f>TRUNC(G138/$G$138*100,2)</f>
        <v>#DIV/0!</v>
      </c>
      <c r="J138" s="674"/>
      <c r="K138" s="759"/>
      <c r="L138" s="810" t="s">
        <v>271</v>
      </c>
    </row>
    <row r="139" spans="1:13" ht="18.95" hidden="1" customHeight="1">
      <c r="A139" s="767"/>
      <c r="B139" s="1030" t="s">
        <v>298</v>
      </c>
      <c r="C139" s="1030"/>
      <c r="D139" s="1030"/>
      <c r="E139" s="1030"/>
      <c r="F139" s="768"/>
      <c r="G139" s="770">
        <f>TRUNC(G138*10%)</f>
        <v>0</v>
      </c>
      <c r="H139" s="771"/>
      <c r="I139" s="772"/>
      <c r="J139" s="771"/>
      <c r="K139" s="773"/>
      <c r="L139" s="811" t="s">
        <v>300</v>
      </c>
    </row>
    <row r="140" spans="1:13" ht="18.95" hidden="1" customHeight="1">
      <c r="A140" s="767"/>
      <c r="B140" s="1030" t="s">
        <v>299</v>
      </c>
      <c r="C140" s="1030"/>
      <c r="D140" s="1030"/>
      <c r="E140" s="1030"/>
      <c r="F140" s="768"/>
      <c r="G140" s="770">
        <f>SUM(G138:G139)</f>
        <v>0</v>
      </c>
      <c r="H140" s="771"/>
      <c r="I140" s="772"/>
      <c r="J140" s="771"/>
      <c r="K140" s="773"/>
      <c r="L140" s="811" t="s">
        <v>301</v>
      </c>
    </row>
    <row r="141" spans="1:13" ht="20.100000000000001" hidden="1" customHeight="1">
      <c r="A141" s="739"/>
      <c r="B141" s="739"/>
      <c r="C141" s="739"/>
      <c r="D141" s="739"/>
      <c r="E141" s="614"/>
      <c r="F141" s="614"/>
      <c r="G141" s="614"/>
      <c r="I141" s="688"/>
      <c r="L141" s="805"/>
      <c r="M141" s="688"/>
    </row>
    <row r="142" spans="1:13" s="617" customFormat="1" ht="39.950000000000003" hidden="1" customHeight="1">
      <c r="A142" s="615" t="s">
        <v>475</v>
      </c>
      <c r="B142" s="616"/>
      <c r="C142" s="741"/>
      <c r="D142" s="741"/>
      <c r="E142" s="740"/>
      <c r="F142" s="740"/>
      <c r="G142" s="745"/>
      <c r="H142" s="742"/>
      <c r="I142" s="746"/>
      <c r="J142" s="743"/>
      <c r="K142" s="746"/>
      <c r="L142" s="806"/>
    </row>
    <row r="143" spans="1:13" ht="20.100000000000001" hidden="1" customHeight="1">
      <c r="A143" s="747"/>
      <c r="B143" s="748"/>
      <c r="C143" s="747"/>
      <c r="D143" s="747"/>
      <c r="E143" s="748"/>
      <c r="F143" s="748"/>
      <c r="G143" s="749"/>
      <c r="H143" s="750"/>
      <c r="I143" s="751"/>
      <c r="J143" s="752"/>
      <c r="K143" s="751"/>
      <c r="L143" s="807"/>
      <c r="M143" s="617"/>
    </row>
    <row r="144" spans="1:13" ht="20.100000000000001" hidden="1" customHeight="1">
      <c r="A144" s="654" t="str">
        <f>"구 분 : "&amp;월기본급!B13&amp;"                       직종명 : "&amp;월기본급!F13&amp;""</f>
        <v xml:space="preserve">구 분 :                        직종명 : </v>
      </c>
      <c r="B144" s="610"/>
      <c r="C144" s="654"/>
      <c r="D144" s="654"/>
      <c r="G144" s="685"/>
      <c r="H144" s="685"/>
      <c r="I144" s="685"/>
      <c r="L144" s="808" t="s">
        <v>15</v>
      </c>
      <c r="M144" s="617"/>
    </row>
    <row r="145" spans="1:13" ht="20.100000000000001" hidden="1" customHeight="1">
      <c r="A145" s="753"/>
      <c r="B145" s="754"/>
      <c r="C145" s="754"/>
      <c r="D145" s="754"/>
      <c r="E145" s="755" t="s">
        <v>16</v>
      </c>
      <c r="F145" s="755"/>
      <c r="G145" s="1043" t="s">
        <v>17</v>
      </c>
      <c r="H145" s="1044"/>
      <c r="I145" s="1043" t="s">
        <v>18</v>
      </c>
      <c r="J145" s="1044"/>
      <c r="K145" s="774"/>
      <c r="L145" s="1047" t="s">
        <v>19</v>
      </c>
      <c r="M145" s="617"/>
    </row>
    <row r="146" spans="1:13" ht="20.100000000000001" hidden="1" customHeight="1">
      <c r="A146" s="756" t="s">
        <v>20</v>
      </c>
      <c r="B146" s="757"/>
      <c r="C146" s="758"/>
      <c r="D146" s="758"/>
      <c r="E146" s="758"/>
      <c r="F146" s="758"/>
      <c r="G146" s="1045"/>
      <c r="H146" s="1046"/>
      <c r="I146" s="1045"/>
      <c r="J146" s="1046"/>
      <c r="K146" s="775"/>
      <c r="L146" s="1048"/>
    </row>
    <row r="147" spans="1:13" ht="18.95" hidden="1" customHeight="1">
      <c r="A147" s="1031" t="s">
        <v>204</v>
      </c>
      <c r="B147" s="1032"/>
      <c r="C147" s="1027" t="s">
        <v>21</v>
      </c>
      <c r="D147" s="1028"/>
      <c r="E147" s="1028"/>
      <c r="F147" s="1029"/>
      <c r="G147" s="673">
        <f>단위당인건비!E82</f>
        <v>0</v>
      </c>
      <c r="H147" s="674"/>
      <c r="I147" s="673"/>
      <c r="J147" s="674"/>
      <c r="K147" s="759"/>
      <c r="L147" s="809"/>
    </row>
    <row r="148" spans="1:13" ht="18.95" hidden="1" customHeight="1">
      <c r="A148" s="1033"/>
      <c r="B148" s="1034"/>
      <c r="C148" s="1037" t="s">
        <v>256</v>
      </c>
      <c r="D148" s="652"/>
      <c r="E148" s="691" t="s">
        <v>0</v>
      </c>
      <c r="F148" s="652"/>
      <c r="G148" s="673">
        <f>단위당인건비!E83</f>
        <v>0</v>
      </c>
      <c r="H148" s="674"/>
      <c r="I148" s="673"/>
      <c r="J148" s="674"/>
      <c r="K148" s="759"/>
      <c r="L148" s="809"/>
    </row>
    <row r="149" spans="1:13" ht="18.95" hidden="1" customHeight="1">
      <c r="A149" s="1033"/>
      <c r="B149" s="1034"/>
      <c r="C149" s="1038"/>
      <c r="D149" s="652"/>
      <c r="E149" s="691" t="s">
        <v>229</v>
      </c>
      <c r="F149" s="760"/>
      <c r="G149" s="673">
        <f>단위당인건비!E84</f>
        <v>0</v>
      </c>
      <c r="H149" s="674"/>
      <c r="I149" s="673"/>
      <c r="J149" s="674"/>
      <c r="K149" s="759"/>
      <c r="L149" s="809"/>
    </row>
    <row r="150" spans="1:13" ht="18.95" hidden="1" customHeight="1">
      <c r="A150" s="1033"/>
      <c r="B150" s="1034"/>
      <c r="C150" s="1038"/>
      <c r="D150" s="652"/>
      <c r="E150" s="691" t="s">
        <v>4</v>
      </c>
      <c r="F150" s="760"/>
      <c r="G150" s="673">
        <f>단위당인건비!E85</f>
        <v>0</v>
      </c>
      <c r="H150" s="674"/>
      <c r="I150" s="673"/>
      <c r="J150" s="674"/>
      <c r="K150" s="759"/>
      <c r="L150" s="809"/>
    </row>
    <row r="151" spans="1:13" ht="18.95" hidden="1" customHeight="1">
      <c r="A151" s="1033"/>
      <c r="B151" s="1034"/>
      <c r="C151" s="1038"/>
      <c r="D151" s="652"/>
      <c r="E151" s="691" t="s">
        <v>257</v>
      </c>
      <c r="F151" s="760"/>
      <c r="G151" s="673">
        <f>단위당인건비!E86</f>
        <v>0</v>
      </c>
      <c r="H151" s="674"/>
      <c r="I151" s="673"/>
      <c r="J151" s="674"/>
      <c r="K151" s="759"/>
      <c r="L151" s="809"/>
    </row>
    <row r="152" spans="1:13" ht="18.95" hidden="1" customHeight="1">
      <c r="A152" s="1033"/>
      <c r="B152" s="1034"/>
      <c r="C152" s="1039"/>
      <c r="D152" s="652"/>
      <c r="E152" s="761" t="s">
        <v>23</v>
      </c>
      <c r="F152" s="761"/>
      <c r="G152" s="673">
        <f>단위당인건비!E87</f>
        <v>0</v>
      </c>
      <c r="H152" s="674"/>
      <c r="I152" s="762"/>
      <c r="J152" s="674"/>
      <c r="K152" s="759"/>
      <c r="L152" s="810"/>
    </row>
    <row r="153" spans="1:13" ht="18.95" hidden="1" customHeight="1">
      <c r="A153" s="1033"/>
      <c r="B153" s="1034"/>
      <c r="C153" s="1027" t="s">
        <v>24</v>
      </c>
      <c r="D153" s="1028"/>
      <c r="E153" s="1028"/>
      <c r="F153" s="1029"/>
      <c r="G153" s="673">
        <f>단위당인건비!E88</f>
        <v>0</v>
      </c>
      <c r="H153" s="674"/>
      <c r="I153" s="762"/>
      <c r="J153" s="674"/>
      <c r="K153" s="759"/>
      <c r="L153" s="815"/>
    </row>
    <row r="154" spans="1:13" ht="18.95" hidden="1" customHeight="1">
      <c r="A154" s="1033"/>
      <c r="B154" s="1034"/>
      <c r="C154" s="1027" t="s">
        <v>25</v>
      </c>
      <c r="D154" s="1028"/>
      <c r="E154" s="1028"/>
      <c r="F154" s="1029"/>
      <c r="G154" s="673">
        <f>단위당인건비!E89</f>
        <v>0</v>
      </c>
      <c r="H154" s="674"/>
      <c r="I154" s="762"/>
      <c r="J154" s="674"/>
      <c r="K154" s="759"/>
      <c r="L154" s="815"/>
    </row>
    <row r="155" spans="1:13" ht="18.95" hidden="1" customHeight="1">
      <c r="A155" s="1035"/>
      <c r="B155" s="1036"/>
      <c r="C155" s="1027" t="s">
        <v>26</v>
      </c>
      <c r="D155" s="1028"/>
      <c r="E155" s="1028"/>
      <c r="F155" s="1029"/>
      <c r="G155" s="673">
        <f>단위당인건비!E90</f>
        <v>0</v>
      </c>
      <c r="H155" s="674"/>
      <c r="I155" s="763" t="e">
        <f>TRUNC(G155/$G$173*100,2)</f>
        <v>#DIV/0!</v>
      </c>
      <c r="J155" s="674"/>
      <c r="K155" s="759"/>
      <c r="L155" s="810" t="str">
        <f>단위당인건비!$A$1&amp;"참조"</f>
        <v>&lt; 표 : 4 &gt; 참조</v>
      </c>
    </row>
    <row r="156" spans="1:13" ht="18.95" hidden="1" customHeight="1">
      <c r="A156" s="1031" t="s">
        <v>212</v>
      </c>
      <c r="B156" s="1032"/>
      <c r="C156" s="1037" t="s">
        <v>3</v>
      </c>
      <c r="D156" s="652"/>
      <c r="E156" s="691" t="s">
        <v>27</v>
      </c>
      <c r="F156" s="691"/>
      <c r="G156" s="673">
        <f>경비집계표!E31</f>
        <v>0</v>
      </c>
      <c r="H156" s="674"/>
      <c r="I156" s="673"/>
      <c r="J156" s="674"/>
      <c r="K156" s="759"/>
      <c r="L156" s="810"/>
    </row>
    <row r="157" spans="1:13" ht="18.95" hidden="1" customHeight="1">
      <c r="A157" s="1033"/>
      <c r="B157" s="1034"/>
      <c r="C157" s="1038"/>
      <c r="D157" s="652"/>
      <c r="E157" s="691" t="s">
        <v>28</v>
      </c>
      <c r="F157" s="691"/>
      <c r="G157" s="673">
        <f>경비집계표!E32</f>
        <v>0</v>
      </c>
      <c r="H157" s="674"/>
      <c r="I157" s="673"/>
      <c r="J157" s="674"/>
      <c r="K157" s="759"/>
      <c r="L157" s="810"/>
    </row>
    <row r="158" spans="1:13" ht="18.95" hidden="1" customHeight="1">
      <c r="A158" s="1033"/>
      <c r="B158" s="1034"/>
      <c r="C158" s="1038"/>
      <c r="D158" s="652"/>
      <c r="E158" s="691" t="s">
        <v>29</v>
      </c>
      <c r="F158" s="691"/>
      <c r="G158" s="673">
        <f>경비집계표!E33</f>
        <v>0</v>
      </c>
      <c r="H158" s="674"/>
      <c r="I158" s="673"/>
      <c r="J158" s="674"/>
      <c r="K158" s="759"/>
      <c r="L158" s="810"/>
    </row>
    <row r="159" spans="1:13" ht="18.95" hidden="1" customHeight="1">
      <c r="A159" s="1033"/>
      <c r="B159" s="1034"/>
      <c r="C159" s="1038"/>
      <c r="D159" s="652"/>
      <c r="E159" s="691" t="s">
        <v>30</v>
      </c>
      <c r="F159" s="691"/>
      <c r="G159" s="673">
        <f>경비집계표!E34</f>
        <v>0</v>
      </c>
      <c r="H159" s="674"/>
      <c r="I159" s="673"/>
      <c r="J159" s="674"/>
      <c r="K159" s="759"/>
      <c r="L159" s="810"/>
    </row>
    <row r="160" spans="1:13" ht="18.95" hidden="1" customHeight="1">
      <c r="A160" s="1033"/>
      <c r="B160" s="1034"/>
      <c r="C160" s="1038"/>
      <c r="D160" s="652"/>
      <c r="E160" s="719" t="s">
        <v>255</v>
      </c>
      <c r="F160" s="691"/>
      <c r="G160" s="673">
        <f>경비집계표!E35</f>
        <v>0</v>
      </c>
      <c r="H160" s="674"/>
      <c r="I160" s="673"/>
      <c r="J160" s="674"/>
      <c r="K160" s="759"/>
      <c r="L160" s="810"/>
    </row>
    <row r="161" spans="1:13" ht="18.95" hidden="1" customHeight="1">
      <c r="A161" s="1033"/>
      <c r="B161" s="1034"/>
      <c r="C161" s="1038"/>
      <c r="D161" s="652"/>
      <c r="E161" s="691" t="s">
        <v>31</v>
      </c>
      <c r="F161" s="691"/>
      <c r="G161" s="673">
        <f>경비집계표!E36</f>
        <v>0</v>
      </c>
      <c r="H161" s="674"/>
      <c r="I161" s="673"/>
      <c r="J161" s="674"/>
      <c r="K161" s="759"/>
      <c r="L161" s="810"/>
    </row>
    <row r="162" spans="1:13" ht="18.95" hidden="1" customHeight="1">
      <c r="A162" s="1033"/>
      <c r="B162" s="1034"/>
      <c r="C162" s="1039"/>
      <c r="D162" s="652"/>
      <c r="E162" s="761" t="s">
        <v>23</v>
      </c>
      <c r="F162" s="691"/>
      <c r="G162" s="673">
        <f>경비집계표!E37</f>
        <v>0</v>
      </c>
      <c r="H162" s="674"/>
      <c r="I162" s="673"/>
      <c r="J162" s="674"/>
      <c r="K162" s="759"/>
      <c r="L162" s="810"/>
    </row>
    <row r="163" spans="1:13" ht="18.95" hidden="1" customHeight="1">
      <c r="A163" s="1033"/>
      <c r="B163" s="1034"/>
      <c r="C163" s="1040" t="s">
        <v>304</v>
      </c>
      <c r="D163" s="652"/>
      <c r="E163" s="691" t="s">
        <v>32</v>
      </c>
      <c r="F163" s="691"/>
      <c r="G163" s="673">
        <f>경비집계표!E38</f>
        <v>0</v>
      </c>
      <c r="H163" s="674"/>
      <c r="I163" s="673"/>
      <c r="J163" s="674"/>
      <c r="K163" s="759"/>
      <c r="L163" s="810"/>
    </row>
    <row r="164" spans="1:13" ht="18.95" hidden="1" customHeight="1">
      <c r="A164" s="1033"/>
      <c r="B164" s="1034"/>
      <c r="C164" s="1041"/>
      <c r="D164" s="652"/>
      <c r="E164" s="691" t="s">
        <v>465</v>
      </c>
      <c r="F164" s="691"/>
      <c r="G164" s="673">
        <f>경비집계표!E39</f>
        <v>0</v>
      </c>
      <c r="H164" s="674"/>
      <c r="I164" s="673"/>
      <c r="J164" s="674"/>
      <c r="K164" s="759"/>
      <c r="L164" s="810"/>
    </row>
    <row r="165" spans="1:13" ht="18.95" hidden="1" customHeight="1">
      <c r="A165" s="1033"/>
      <c r="B165" s="1034"/>
      <c r="C165" s="1041"/>
      <c r="D165" s="652"/>
      <c r="E165" s="691" t="s">
        <v>462</v>
      </c>
      <c r="F165" s="691"/>
      <c r="G165" s="673">
        <f>경비집계표!E40</f>
        <v>0</v>
      </c>
      <c r="H165" s="674"/>
      <c r="I165" s="673"/>
      <c r="J165" s="674"/>
      <c r="K165" s="759"/>
      <c r="L165" s="810"/>
    </row>
    <row r="166" spans="1:13" ht="18.95" hidden="1" customHeight="1">
      <c r="A166" s="1033"/>
      <c r="B166" s="1034"/>
      <c r="C166" s="1042"/>
      <c r="D166" s="652"/>
      <c r="E166" s="761" t="s">
        <v>23</v>
      </c>
      <c r="F166" s="691"/>
      <c r="G166" s="673">
        <f>경비집계표!E41</f>
        <v>0</v>
      </c>
      <c r="H166" s="674"/>
      <c r="I166" s="673"/>
      <c r="J166" s="674"/>
      <c r="K166" s="759"/>
      <c r="L166" s="810"/>
    </row>
    <row r="167" spans="1:13" ht="18.95" hidden="1" customHeight="1">
      <c r="A167" s="1033"/>
      <c r="B167" s="1034"/>
      <c r="C167" s="1037" t="s">
        <v>260</v>
      </c>
      <c r="D167" s="652"/>
      <c r="E167" s="691" t="s">
        <v>262</v>
      </c>
      <c r="F167" s="691"/>
      <c r="G167" s="673">
        <f>경비집계표!E42</f>
        <v>0</v>
      </c>
      <c r="H167" s="674"/>
      <c r="I167" s="673"/>
      <c r="J167" s="674"/>
      <c r="K167" s="759"/>
      <c r="L167" s="810"/>
    </row>
    <row r="168" spans="1:13" ht="18.95" hidden="1" customHeight="1">
      <c r="A168" s="1033"/>
      <c r="B168" s="1034"/>
      <c r="C168" s="1039"/>
      <c r="D168" s="652"/>
      <c r="E168" s="691" t="s">
        <v>261</v>
      </c>
      <c r="F168" s="691"/>
      <c r="G168" s="673">
        <f>경비집계표!E43</f>
        <v>0</v>
      </c>
      <c r="H168" s="674"/>
      <c r="I168" s="673"/>
      <c r="J168" s="674"/>
      <c r="K168" s="759"/>
      <c r="L168" s="810"/>
    </row>
    <row r="169" spans="1:13" ht="18.95" hidden="1" customHeight="1">
      <c r="A169" s="1035"/>
      <c r="B169" s="1036"/>
      <c r="C169" s="1027" t="s">
        <v>26</v>
      </c>
      <c r="D169" s="1028"/>
      <c r="E169" s="1028"/>
      <c r="F169" s="1029"/>
      <c r="G169" s="673">
        <f>경비집계표!E44</f>
        <v>0</v>
      </c>
      <c r="H169" s="674"/>
      <c r="I169" s="763" t="e">
        <f>TRUNC(G169/$G$173*100,2)</f>
        <v>#DIV/0!</v>
      </c>
      <c r="J169" s="674"/>
      <c r="K169" s="759"/>
      <c r="L169" s="810" t="str">
        <f>경비집계표!$A$1&amp;"참조"</f>
        <v>&lt; 표 : 11 &gt; 참조</v>
      </c>
    </row>
    <row r="170" spans="1:13" ht="18.95" hidden="1" customHeight="1">
      <c r="A170" s="765"/>
      <c r="B170" s="1010" t="s">
        <v>182</v>
      </c>
      <c r="C170" s="1010"/>
      <c r="D170" s="1010"/>
      <c r="E170" s="1010"/>
      <c r="F170" s="766"/>
      <c r="G170" s="673">
        <f>SUM(G155,G169)</f>
        <v>0</v>
      </c>
      <c r="H170" s="674"/>
      <c r="I170" s="763" t="e">
        <f>TRUNC(G170/$G$173*100,2)</f>
        <v>#DIV/0!</v>
      </c>
      <c r="J170" s="674"/>
      <c r="K170" s="759"/>
      <c r="L170" s="810" t="s">
        <v>281</v>
      </c>
    </row>
    <row r="171" spans="1:13" ht="18.95" hidden="1" customHeight="1">
      <c r="A171" s="767"/>
      <c r="B171" s="1009" t="s">
        <v>555</v>
      </c>
      <c r="C171" s="1009"/>
      <c r="D171" s="1009"/>
      <c r="E171" s="1009"/>
      <c r="F171" s="768"/>
      <c r="G171" s="673">
        <f>TRUNC(G170*4%,0)</f>
        <v>0</v>
      </c>
      <c r="H171" s="674"/>
      <c r="I171" s="763" t="e">
        <f>TRUNC(G171/$G$173*100,2)</f>
        <v>#DIV/0!</v>
      </c>
      <c r="J171" s="674"/>
      <c r="K171" s="759"/>
      <c r="L171" s="817" t="s">
        <v>557</v>
      </c>
    </row>
    <row r="172" spans="1:13" ht="18.95" hidden="1" customHeight="1">
      <c r="A172" s="767"/>
      <c r="B172" s="1009" t="s">
        <v>556</v>
      </c>
      <c r="C172" s="1009"/>
      <c r="D172" s="1009"/>
      <c r="E172" s="1009"/>
      <c r="F172" s="768"/>
      <c r="G172" s="673">
        <f>TRUNC(SUM(G155,G169,G171)*6%,0)</f>
        <v>0</v>
      </c>
      <c r="H172" s="674"/>
      <c r="I172" s="763" t="e">
        <f>TRUNC(G172/$G$173*100,2)</f>
        <v>#DIV/0!</v>
      </c>
      <c r="J172" s="674"/>
      <c r="K172" s="759"/>
      <c r="L172" s="817" t="s">
        <v>558</v>
      </c>
      <c r="M172" s="769"/>
    </row>
    <row r="173" spans="1:13" ht="18.95" hidden="1" customHeight="1">
      <c r="A173" s="767"/>
      <c r="B173" s="1010" t="s">
        <v>294</v>
      </c>
      <c r="C173" s="1010"/>
      <c r="D173" s="1010"/>
      <c r="E173" s="1010"/>
      <c r="F173" s="768"/>
      <c r="G173" s="673">
        <f>SUM(G170:G172)</f>
        <v>0</v>
      </c>
      <c r="H173" s="674"/>
      <c r="I173" s="763" t="e">
        <f>TRUNC(G173/$G$173*100,2)</f>
        <v>#DIV/0!</v>
      </c>
      <c r="J173" s="674"/>
      <c r="K173" s="759"/>
      <c r="L173" s="810" t="s">
        <v>271</v>
      </c>
    </row>
    <row r="174" spans="1:13" ht="18.95" hidden="1" customHeight="1">
      <c r="A174" s="767"/>
      <c r="B174" s="1030" t="s">
        <v>298</v>
      </c>
      <c r="C174" s="1030"/>
      <c r="D174" s="1030"/>
      <c r="E174" s="1030"/>
      <c r="F174" s="768"/>
      <c r="G174" s="770">
        <f>TRUNC(G173*10%)</f>
        <v>0</v>
      </c>
      <c r="H174" s="771"/>
      <c r="I174" s="772"/>
      <c r="J174" s="771"/>
      <c r="K174" s="773"/>
      <c r="L174" s="811" t="s">
        <v>300</v>
      </c>
    </row>
    <row r="175" spans="1:13" ht="18.95" hidden="1" customHeight="1">
      <c r="A175" s="767"/>
      <c r="B175" s="1030" t="s">
        <v>299</v>
      </c>
      <c r="C175" s="1030"/>
      <c r="D175" s="1030"/>
      <c r="E175" s="1030"/>
      <c r="F175" s="768"/>
      <c r="G175" s="770">
        <f>SUM(G173:G174)</f>
        <v>0</v>
      </c>
      <c r="H175" s="771"/>
      <c r="I175" s="772"/>
      <c r="J175" s="771"/>
      <c r="K175" s="773"/>
      <c r="L175" s="811" t="s">
        <v>301</v>
      </c>
    </row>
    <row r="176" spans="1:13" ht="20.100000000000001" hidden="1" customHeight="1">
      <c r="A176" s="739"/>
      <c r="B176" s="739"/>
      <c r="C176" s="739"/>
      <c r="D176" s="739"/>
      <c r="E176" s="614"/>
      <c r="F176" s="614"/>
      <c r="G176" s="614"/>
      <c r="I176" s="688"/>
      <c r="L176" s="805"/>
      <c r="M176" s="688"/>
    </row>
    <row r="177" spans="1:13" s="617" customFormat="1" ht="39.950000000000003" hidden="1" customHeight="1">
      <c r="A177" s="615" t="s">
        <v>475</v>
      </c>
      <c r="B177" s="616"/>
      <c r="C177" s="741"/>
      <c r="D177" s="741"/>
      <c r="E177" s="740"/>
      <c r="F177" s="740"/>
      <c r="G177" s="745"/>
      <c r="H177" s="742"/>
      <c r="I177" s="746"/>
      <c r="J177" s="743"/>
      <c r="K177" s="746"/>
      <c r="L177" s="806"/>
    </row>
    <row r="178" spans="1:13" ht="20.100000000000001" hidden="1" customHeight="1">
      <c r="A178" s="747"/>
      <c r="B178" s="748"/>
      <c r="C178" s="747"/>
      <c r="D178" s="747"/>
      <c r="E178" s="748"/>
      <c r="F178" s="748"/>
      <c r="G178" s="749"/>
      <c r="H178" s="750"/>
      <c r="I178" s="751"/>
      <c r="J178" s="752"/>
      <c r="K178" s="751"/>
      <c r="L178" s="807"/>
      <c r="M178" s="617"/>
    </row>
    <row r="179" spans="1:13" ht="20.100000000000001" hidden="1" customHeight="1">
      <c r="A179" s="654" t="str">
        <f>"구 분 : "&amp;월기본급!B14&amp;"                       직종명 : "&amp;월기본급!F14&amp;""</f>
        <v xml:space="preserve">구 분 :                        직종명 : </v>
      </c>
      <c r="B179" s="610"/>
      <c r="C179" s="654"/>
      <c r="D179" s="654"/>
      <c r="G179" s="685"/>
      <c r="H179" s="685"/>
      <c r="I179" s="685"/>
      <c r="L179" s="808" t="s">
        <v>15</v>
      </c>
      <c r="M179" s="617"/>
    </row>
    <row r="180" spans="1:13" ht="20.100000000000001" hidden="1" customHeight="1">
      <c r="A180" s="753"/>
      <c r="B180" s="754"/>
      <c r="C180" s="754"/>
      <c r="D180" s="754"/>
      <c r="E180" s="755" t="s">
        <v>16</v>
      </c>
      <c r="F180" s="755"/>
      <c r="G180" s="1043" t="s">
        <v>17</v>
      </c>
      <c r="H180" s="1044"/>
      <c r="I180" s="1043" t="s">
        <v>18</v>
      </c>
      <c r="J180" s="1044"/>
      <c r="K180" s="774"/>
      <c r="L180" s="1047" t="s">
        <v>19</v>
      </c>
      <c r="M180" s="617"/>
    </row>
    <row r="181" spans="1:13" ht="20.100000000000001" hidden="1" customHeight="1">
      <c r="A181" s="756" t="s">
        <v>20</v>
      </c>
      <c r="B181" s="757"/>
      <c r="C181" s="758"/>
      <c r="D181" s="758"/>
      <c r="E181" s="758"/>
      <c r="F181" s="758"/>
      <c r="G181" s="1045"/>
      <c r="H181" s="1046"/>
      <c r="I181" s="1045"/>
      <c r="J181" s="1046"/>
      <c r="K181" s="775"/>
      <c r="L181" s="1048"/>
    </row>
    <row r="182" spans="1:13" ht="18.95" hidden="1" customHeight="1">
      <c r="A182" s="1031" t="s">
        <v>204</v>
      </c>
      <c r="B182" s="1032"/>
      <c r="C182" s="1027" t="s">
        <v>21</v>
      </c>
      <c r="D182" s="1028"/>
      <c r="E182" s="1028"/>
      <c r="F182" s="1029"/>
      <c r="G182" s="673">
        <f>단위당인건비!E101</f>
        <v>0</v>
      </c>
      <c r="H182" s="674"/>
      <c r="I182" s="673"/>
      <c r="J182" s="674"/>
      <c r="K182" s="759"/>
      <c r="L182" s="809"/>
    </row>
    <row r="183" spans="1:13" ht="18.95" hidden="1" customHeight="1">
      <c r="A183" s="1033"/>
      <c r="B183" s="1034"/>
      <c r="C183" s="1037" t="s">
        <v>256</v>
      </c>
      <c r="D183" s="652"/>
      <c r="E183" s="691" t="s">
        <v>0</v>
      </c>
      <c r="F183" s="652"/>
      <c r="G183" s="673">
        <f>단위당인건비!E102</f>
        <v>0</v>
      </c>
      <c r="H183" s="674"/>
      <c r="I183" s="673"/>
      <c r="J183" s="674"/>
      <c r="K183" s="759"/>
      <c r="L183" s="809"/>
    </row>
    <row r="184" spans="1:13" ht="18.95" hidden="1" customHeight="1">
      <c r="A184" s="1033"/>
      <c r="B184" s="1034"/>
      <c r="C184" s="1038"/>
      <c r="D184" s="652"/>
      <c r="E184" s="691" t="s">
        <v>229</v>
      </c>
      <c r="F184" s="760"/>
      <c r="G184" s="673">
        <f>단위당인건비!E103</f>
        <v>0</v>
      </c>
      <c r="H184" s="674"/>
      <c r="I184" s="673"/>
      <c r="J184" s="674"/>
      <c r="K184" s="759"/>
      <c r="L184" s="809"/>
    </row>
    <row r="185" spans="1:13" ht="18.95" hidden="1" customHeight="1">
      <c r="A185" s="1033"/>
      <c r="B185" s="1034"/>
      <c r="C185" s="1038"/>
      <c r="D185" s="652"/>
      <c r="E185" s="691" t="s">
        <v>4</v>
      </c>
      <c r="F185" s="760"/>
      <c r="G185" s="673">
        <f>단위당인건비!E104</f>
        <v>0</v>
      </c>
      <c r="H185" s="674"/>
      <c r="I185" s="673"/>
      <c r="J185" s="674"/>
      <c r="K185" s="759"/>
      <c r="L185" s="809"/>
    </row>
    <row r="186" spans="1:13" ht="18.95" hidden="1" customHeight="1">
      <c r="A186" s="1033"/>
      <c r="B186" s="1034"/>
      <c r="C186" s="1038"/>
      <c r="D186" s="652"/>
      <c r="E186" s="691" t="s">
        <v>257</v>
      </c>
      <c r="F186" s="760"/>
      <c r="G186" s="673">
        <f>단위당인건비!E105</f>
        <v>0</v>
      </c>
      <c r="H186" s="674"/>
      <c r="I186" s="673"/>
      <c r="J186" s="674"/>
      <c r="K186" s="759"/>
      <c r="L186" s="809"/>
    </row>
    <row r="187" spans="1:13" ht="18.95" hidden="1" customHeight="1">
      <c r="A187" s="1033"/>
      <c r="B187" s="1034"/>
      <c r="C187" s="1039"/>
      <c r="D187" s="652"/>
      <c r="E187" s="761" t="s">
        <v>23</v>
      </c>
      <c r="F187" s="761"/>
      <c r="G187" s="673">
        <f>단위당인건비!E106</f>
        <v>0</v>
      </c>
      <c r="H187" s="674"/>
      <c r="I187" s="762"/>
      <c r="J187" s="674"/>
      <c r="K187" s="759"/>
      <c r="L187" s="810"/>
    </row>
    <row r="188" spans="1:13" ht="18.95" hidden="1" customHeight="1">
      <c r="A188" s="1033"/>
      <c r="B188" s="1034"/>
      <c r="C188" s="1027" t="s">
        <v>24</v>
      </c>
      <c r="D188" s="1028"/>
      <c r="E188" s="1028"/>
      <c r="F188" s="1029"/>
      <c r="G188" s="673">
        <f>단위당인건비!E107</f>
        <v>0</v>
      </c>
      <c r="H188" s="674"/>
      <c r="I188" s="762"/>
      <c r="J188" s="674"/>
      <c r="K188" s="759"/>
      <c r="L188" s="815"/>
    </row>
    <row r="189" spans="1:13" ht="18.95" hidden="1" customHeight="1">
      <c r="A189" s="1033"/>
      <c r="B189" s="1034"/>
      <c r="C189" s="1027" t="s">
        <v>25</v>
      </c>
      <c r="D189" s="1028"/>
      <c r="E189" s="1028"/>
      <c r="F189" s="1029"/>
      <c r="G189" s="673">
        <f>단위당인건비!E108</f>
        <v>0</v>
      </c>
      <c r="H189" s="674"/>
      <c r="I189" s="762"/>
      <c r="J189" s="674"/>
      <c r="K189" s="759"/>
      <c r="L189" s="815"/>
    </row>
    <row r="190" spans="1:13" ht="18.95" hidden="1" customHeight="1">
      <c r="A190" s="1035"/>
      <c r="B190" s="1036"/>
      <c r="C190" s="1027" t="s">
        <v>26</v>
      </c>
      <c r="D190" s="1028"/>
      <c r="E190" s="1028"/>
      <c r="F190" s="1029"/>
      <c r="G190" s="673">
        <f>단위당인건비!E109</f>
        <v>0</v>
      </c>
      <c r="H190" s="674"/>
      <c r="I190" s="763" t="e">
        <f>TRUNC(G190/$G$208*100,2)</f>
        <v>#DIV/0!</v>
      </c>
      <c r="J190" s="674"/>
      <c r="K190" s="759"/>
      <c r="L190" s="810" t="str">
        <f>단위당인건비!$A$1&amp;"참조"</f>
        <v>&lt; 표 : 4 &gt; 참조</v>
      </c>
    </row>
    <row r="191" spans="1:13" ht="18.95" hidden="1" customHeight="1">
      <c r="A191" s="1031" t="s">
        <v>212</v>
      </c>
      <c r="B191" s="1032"/>
      <c r="C191" s="1037" t="s">
        <v>3</v>
      </c>
      <c r="D191" s="652"/>
      <c r="E191" s="691" t="s">
        <v>27</v>
      </c>
      <c r="F191" s="691"/>
      <c r="G191" s="673">
        <f>경비집계표!F31</f>
        <v>0</v>
      </c>
      <c r="H191" s="674"/>
      <c r="I191" s="673"/>
      <c r="J191" s="674"/>
      <c r="K191" s="759"/>
      <c r="L191" s="810"/>
    </row>
    <row r="192" spans="1:13" ht="18.95" hidden="1" customHeight="1">
      <c r="A192" s="1033"/>
      <c r="B192" s="1034"/>
      <c r="C192" s="1038"/>
      <c r="D192" s="652"/>
      <c r="E192" s="691" t="s">
        <v>28</v>
      </c>
      <c r="F192" s="691"/>
      <c r="G192" s="673">
        <f>경비집계표!F32</f>
        <v>0</v>
      </c>
      <c r="H192" s="674"/>
      <c r="I192" s="673"/>
      <c r="J192" s="674"/>
      <c r="K192" s="759"/>
      <c r="L192" s="810"/>
    </row>
    <row r="193" spans="1:13" ht="18.95" hidden="1" customHeight="1">
      <c r="A193" s="1033"/>
      <c r="B193" s="1034"/>
      <c r="C193" s="1038"/>
      <c r="D193" s="652"/>
      <c r="E193" s="691" t="s">
        <v>29</v>
      </c>
      <c r="F193" s="691"/>
      <c r="G193" s="673">
        <f>경비집계표!F33</f>
        <v>0</v>
      </c>
      <c r="H193" s="674"/>
      <c r="I193" s="673"/>
      <c r="J193" s="674"/>
      <c r="K193" s="759"/>
      <c r="L193" s="810"/>
    </row>
    <row r="194" spans="1:13" ht="18.95" hidden="1" customHeight="1">
      <c r="A194" s="1033"/>
      <c r="B194" s="1034"/>
      <c r="C194" s="1038"/>
      <c r="D194" s="652"/>
      <c r="E194" s="691" t="s">
        <v>30</v>
      </c>
      <c r="F194" s="691"/>
      <c r="G194" s="673">
        <f>경비집계표!F34</f>
        <v>0</v>
      </c>
      <c r="H194" s="674"/>
      <c r="I194" s="673"/>
      <c r="J194" s="674"/>
      <c r="K194" s="759"/>
      <c r="L194" s="810"/>
    </row>
    <row r="195" spans="1:13" ht="18.95" hidden="1" customHeight="1">
      <c r="A195" s="1033"/>
      <c r="B195" s="1034"/>
      <c r="C195" s="1038"/>
      <c r="D195" s="652"/>
      <c r="E195" s="719" t="s">
        <v>255</v>
      </c>
      <c r="F195" s="691"/>
      <c r="G195" s="673">
        <f>경비집계표!F35</f>
        <v>0</v>
      </c>
      <c r="H195" s="674"/>
      <c r="I195" s="673"/>
      <c r="J195" s="674"/>
      <c r="K195" s="759"/>
      <c r="L195" s="810"/>
    </row>
    <row r="196" spans="1:13" ht="18.95" hidden="1" customHeight="1">
      <c r="A196" s="1033"/>
      <c r="B196" s="1034"/>
      <c r="C196" s="1038"/>
      <c r="D196" s="652"/>
      <c r="E196" s="691" t="s">
        <v>31</v>
      </c>
      <c r="F196" s="691"/>
      <c r="G196" s="673">
        <f>경비집계표!F36</f>
        <v>0</v>
      </c>
      <c r="H196" s="674"/>
      <c r="I196" s="673"/>
      <c r="J196" s="674"/>
      <c r="K196" s="759"/>
      <c r="L196" s="810"/>
    </row>
    <row r="197" spans="1:13" ht="18.95" hidden="1" customHeight="1">
      <c r="A197" s="1033"/>
      <c r="B197" s="1034"/>
      <c r="C197" s="1039"/>
      <c r="D197" s="652"/>
      <c r="E197" s="761" t="s">
        <v>23</v>
      </c>
      <c r="F197" s="691"/>
      <c r="G197" s="673">
        <f>경비집계표!F37</f>
        <v>0</v>
      </c>
      <c r="H197" s="674"/>
      <c r="I197" s="673"/>
      <c r="J197" s="674"/>
      <c r="K197" s="759"/>
      <c r="L197" s="810"/>
    </row>
    <row r="198" spans="1:13" ht="18.95" hidden="1" customHeight="1">
      <c r="A198" s="1033"/>
      <c r="B198" s="1034"/>
      <c r="C198" s="1040" t="s">
        <v>304</v>
      </c>
      <c r="D198" s="652"/>
      <c r="E198" s="691" t="s">
        <v>32</v>
      </c>
      <c r="F198" s="691"/>
      <c r="G198" s="673">
        <f>경비집계표!F38</f>
        <v>0</v>
      </c>
      <c r="H198" s="674"/>
      <c r="I198" s="673"/>
      <c r="J198" s="674"/>
      <c r="K198" s="759"/>
      <c r="L198" s="810"/>
    </row>
    <row r="199" spans="1:13" ht="18.95" hidden="1" customHeight="1">
      <c r="A199" s="1033"/>
      <c r="B199" s="1034"/>
      <c r="C199" s="1041"/>
      <c r="D199" s="652"/>
      <c r="E199" s="691" t="s">
        <v>465</v>
      </c>
      <c r="F199" s="691"/>
      <c r="G199" s="673">
        <f>경비집계표!F39</f>
        <v>0</v>
      </c>
      <c r="H199" s="674"/>
      <c r="I199" s="673"/>
      <c r="J199" s="674"/>
      <c r="K199" s="759"/>
      <c r="L199" s="810"/>
    </row>
    <row r="200" spans="1:13" ht="18.95" hidden="1" customHeight="1">
      <c r="A200" s="1033"/>
      <c r="B200" s="1034"/>
      <c r="C200" s="1041"/>
      <c r="D200" s="652"/>
      <c r="E200" s="691" t="s">
        <v>462</v>
      </c>
      <c r="F200" s="691"/>
      <c r="G200" s="673">
        <f>경비집계표!F40</f>
        <v>0</v>
      </c>
      <c r="H200" s="674"/>
      <c r="I200" s="673"/>
      <c r="J200" s="674"/>
      <c r="K200" s="759"/>
      <c r="L200" s="810"/>
    </row>
    <row r="201" spans="1:13" ht="18.95" hidden="1" customHeight="1">
      <c r="A201" s="1033"/>
      <c r="B201" s="1034"/>
      <c r="C201" s="1042"/>
      <c r="D201" s="652"/>
      <c r="E201" s="761" t="s">
        <v>23</v>
      </c>
      <c r="F201" s="691"/>
      <c r="G201" s="673">
        <f>경비집계표!F41</f>
        <v>0</v>
      </c>
      <c r="H201" s="674"/>
      <c r="I201" s="673"/>
      <c r="J201" s="674"/>
      <c r="K201" s="759"/>
      <c r="L201" s="810"/>
    </row>
    <row r="202" spans="1:13" ht="18.95" hidden="1" customHeight="1">
      <c r="A202" s="1033"/>
      <c r="B202" s="1034"/>
      <c r="C202" s="1037" t="s">
        <v>260</v>
      </c>
      <c r="D202" s="652"/>
      <c r="E202" s="691" t="s">
        <v>262</v>
      </c>
      <c r="F202" s="691"/>
      <c r="G202" s="673">
        <f>경비집계표!F42</f>
        <v>0</v>
      </c>
      <c r="H202" s="674"/>
      <c r="I202" s="673"/>
      <c r="J202" s="674"/>
      <c r="K202" s="759"/>
      <c r="L202" s="810"/>
    </row>
    <row r="203" spans="1:13" ht="18.95" hidden="1" customHeight="1">
      <c r="A203" s="1033"/>
      <c r="B203" s="1034"/>
      <c r="C203" s="1039"/>
      <c r="D203" s="652"/>
      <c r="E203" s="691" t="s">
        <v>261</v>
      </c>
      <c r="F203" s="691"/>
      <c r="G203" s="673">
        <f>경비집계표!F43</f>
        <v>0</v>
      </c>
      <c r="H203" s="674"/>
      <c r="I203" s="673"/>
      <c r="J203" s="674"/>
      <c r="K203" s="759"/>
      <c r="L203" s="810"/>
    </row>
    <row r="204" spans="1:13" ht="18.95" hidden="1" customHeight="1">
      <c r="A204" s="1035"/>
      <c r="B204" s="1036"/>
      <c r="C204" s="1027" t="s">
        <v>26</v>
      </c>
      <c r="D204" s="1028"/>
      <c r="E204" s="1028"/>
      <c r="F204" s="1029"/>
      <c r="G204" s="673">
        <f>경비집계표!F44</f>
        <v>0</v>
      </c>
      <c r="H204" s="674"/>
      <c r="I204" s="763" t="e">
        <f>TRUNC(G204/$G$208*100,2)</f>
        <v>#DIV/0!</v>
      </c>
      <c r="J204" s="674"/>
      <c r="K204" s="759"/>
      <c r="L204" s="810" t="str">
        <f>경비집계표!$A$1&amp;"참조"</f>
        <v>&lt; 표 : 11 &gt; 참조</v>
      </c>
    </row>
    <row r="205" spans="1:13" ht="18.95" hidden="1" customHeight="1">
      <c r="A205" s="765"/>
      <c r="B205" s="1010" t="s">
        <v>182</v>
      </c>
      <c r="C205" s="1010"/>
      <c r="D205" s="1010"/>
      <c r="E205" s="1010"/>
      <c r="F205" s="766"/>
      <c r="G205" s="673">
        <f>SUM(G190,G204)</f>
        <v>0</v>
      </c>
      <c r="H205" s="674"/>
      <c r="I205" s="763" t="e">
        <f>TRUNC(G205/$G$208*100,2)</f>
        <v>#DIV/0!</v>
      </c>
      <c r="J205" s="674"/>
      <c r="K205" s="759"/>
      <c r="L205" s="810" t="s">
        <v>281</v>
      </c>
    </row>
    <row r="206" spans="1:13" ht="18.95" hidden="1" customHeight="1">
      <c r="A206" s="767"/>
      <c r="B206" s="1009" t="s">
        <v>555</v>
      </c>
      <c r="C206" s="1009"/>
      <c r="D206" s="1009"/>
      <c r="E206" s="1009"/>
      <c r="F206" s="768"/>
      <c r="G206" s="673">
        <f>TRUNC(G205*4%,0)</f>
        <v>0</v>
      </c>
      <c r="H206" s="674"/>
      <c r="I206" s="763" t="e">
        <f>TRUNC(G206/$G$208*100,2)</f>
        <v>#DIV/0!</v>
      </c>
      <c r="J206" s="674"/>
      <c r="K206" s="759"/>
      <c r="L206" s="817" t="s">
        <v>557</v>
      </c>
    </row>
    <row r="207" spans="1:13" ht="18.95" hidden="1" customHeight="1">
      <c r="A207" s="767"/>
      <c r="B207" s="1009" t="s">
        <v>556</v>
      </c>
      <c r="C207" s="1009"/>
      <c r="D207" s="1009"/>
      <c r="E207" s="1009"/>
      <c r="F207" s="768"/>
      <c r="G207" s="673">
        <f>TRUNC(SUM(G190,G204,G206)*6%,0)</f>
        <v>0</v>
      </c>
      <c r="H207" s="674"/>
      <c r="I207" s="763" t="e">
        <f>TRUNC(G207/$G$208*100,2)</f>
        <v>#DIV/0!</v>
      </c>
      <c r="J207" s="674"/>
      <c r="K207" s="759"/>
      <c r="L207" s="817" t="s">
        <v>558</v>
      </c>
      <c r="M207" s="769"/>
    </row>
    <row r="208" spans="1:13" ht="18.95" hidden="1" customHeight="1">
      <c r="A208" s="767"/>
      <c r="B208" s="1010" t="s">
        <v>294</v>
      </c>
      <c r="C208" s="1010"/>
      <c r="D208" s="1010"/>
      <c r="E208" s="1010"/>
      <c r="F208" s="768"/>
      <c r="G208" s="673">
        <f>SUM(G205:G207)</f>
        <v>0</v>
      </c>
      <c r="H208" s="674"/>
      <c r="I208" s="763" t="e">
        <f>TRUNC(G208/$G$208*100,2)</f>
        <v>#DIV/0!</v>
      </c>
      <c r="J208" s="674"/>
      <c r="K208" s="759"/>
      <c r="L208" s="810" t="s">
        <v>271</v>
      </c>
    </row>
    <row r="209" spans="1:13" ht="18.95" hidden="1" customHeight="1">
      <c r="A209" s="767"/>
      <c r="B209" s="1030" t="s">
        <v>298</v>
      </c>
      <c r="C209" s="1030"/>
      <c r="D209" s="1030"/>
      <c r="E209" s="1030"/>
      <c r="F209" s="768"/>
      <c r="G209" s="770">
        <f>TRUNC(G208*10%)</f>
        <v>0</v>
      </c>
      <c r="H209" s="771"/>
      <c r="I209" s="772"/>
      <c r="J209" s="771"/>
      <c r="K209" s="773"/>
      <c r="L209" s="811" t="s">
        <v>300</v>
      </c>
    </row>
    <row r="210" spans="1:13" ht="18.95" hidden="1" customHeight="1">
      <c r="A210" s="767"/>
      <c r="B210" s="1030" t="s">
        <v>299</v>
      </c>
      <c r="C210" s="1030"/>
      <c r="D210" s="1030"/>
      <c r="E210" s="1030"/>
      <c r="F210" s="768"/>
      <c r="G210" s="770">
        <f>SUM(G208:G209)</f>
        <v>0</v>
      </c>
      <c r="H210" s="771"/>
      <c r="I210" s="772"/>
      <c r="J210" s="771"/>
      <c r="K210" s="773"/>
      <c r="L210" s="811" t="s">
        <v>301</v>
      </c>
    </row>
    <row r="211" spans="1:13" ht="20.100000000000001" hidden="1" customHeight="1">
      <c r="A211" s="739"/>
      <c r="B211" s="739"/>
      <c r="C211" s="739"/>
      <c r="D211" s="739"/>
      <c r="E211" s="614"/>
      <c r="F211" s="614"/>
      <c r="G211" s="614"/>
      <c r="I211" s="688"/>
      <c r="L211" s="805"/>
      <c r="M211" s="688"/>
    </row>
    <row r="212" spans="1:13" s="617" customFormat="1" ht="39.950000000000003" hidden="1" customHeight="1">
      <c r="A212" s="615" t="s">
        <v>475</v>
      </c>
      <c r="B212" s="616"/>
      <c r="C212" s="741"/>
      <c r="D212" s="741"/>
      <c r="E212" s="740"/>
      <c r="F212" s="740"/>
      <c r="G212" s="745"/>
      <c r="H212" s="742"/>
      <c r="I212" s="746"/>
      <c r="J212" s="743"/>
      <c r="K212" s="746"/>
      <c r="L212" s="806"/>
    </row>
    <row r="213" spans="1:13" ht="20.100000000000001" hidden="1" customHeight="1">
      <c r="A213" s="747"/>
      <c r="B213" s="748"/>
      <c r="C213" s="747"/>
      <c r="D213" s="747"/>
      <c r="E213" s="748"/>
      <c r="F213" s="748"/>
      <c r="G213" s="749"/>
      <c r="H213" s="750"/>
      <c r="I213" s="751"/>
      <c r="J213" s="752"/>
      <c r="K213" s="751"/>
      <c r="L213" s="807"/>
      <c r="M213" s="617"/>
    </row>
    <row r="214" spans="1:13" ht="20.100000000000001" hidden="1" customHeight="1">
      <c r="A214" s="654" t="str">
        <f>"구 분 : "&amp;월기본급!B15&amp;"                       직종명 : "&amp;월기본급!F15&amp;""</f>
        <v xml:space="preserve">구 분 :                        직종명 : </v>
      </c>
      <c r="B214" s="610"/>
      <c r="C214" s="654"/>
      <c r="D214" s="654"/>
      <c r="G214" s="685"/>
      <c r="H214" s="685"/>
      <c r="I214" s="685"/>
      <c r="L214" s="808" t="s">
        <v>15</v>
      </c>
      <c r="M214" s="617"/>
    </row>
    <row r="215" spans="1:13" ht="20.100000000000001" hidden="1" customHeight="1">
      <c r="A215" s="753"/>
      <c r="B215" s="754"/>
      <c r="C215" s="754"/>
      <c r="D215" s="754"/>
      <c r="E215" s="755" t="s">
        <v>16</v>
      </c>
      <c r="F215" s="755"/>
      <c r="G215" s="1043" t="s">
        <v>17</v>
      </c>
      <c r="H215" s="1044"/>
      <c r="I215" s="1043" t="s">
        <v>18</v>
      </c>
      <c r="J215" s="1044"/>
      <c r="K215" s="774"/>
      <c r="L215" s="1047" t="s">
        <v>19</v>
      </c>
      <c r="M215" s="617"/>
    </row>
    <row r="216" spans="1:13" ht="20.100000000000001" hidden="1" customHeight="1">
      <c r="A216" s="756" t="s">
        <v>20</v>
      </c>
      <c r="B216" s="757"/>
      <c r="C216" s="758"/>
      <c r="D216" s="758"/>
      <c r="E216" s="758"/>
      <c r="F216" s="758"/>
      <c r="G216" s="1045"/>
      <c r="H216" s="1046"/>
      <c r="I216" s="1045"/>
      <c r="J216" s="1046"/>
      <c r="K216" s="775"/>
      <c r="L216" s="1048"/>
    </row>
    <row r="217" spans="1:13" ht="18.95" hidden="1" customHeight="1">
      <c r="A217" s="1031" t="s">
        <v>204</v>
      </c>
      <c r="B217" s="1032"/>
      <c r="C217" s="1027" t="s">
        <v>21</v>
      </c>
      <c r="D217" s="1028"/>
      <c r="E217" s="1028"/>
      <c r="F217" s="1029"/>
      <c r="G217" s="673">
        <f>단위당인건비!E120</f>
        <v>0</v>
      </c>
      <c r="H217" s="674"/>
      <c r="I217" s="673"/>
      <c r="J217" s="674"/>
      <c r="K217" s="759"/>
      <c r="L217" s="809"/>
    </row>
    <row r="218" spans="1:13" ht="18.95" hidden="1" customHeight="1">
      <c r="A218" s="1033"/>
      <c r="B218" s="1034"/>
      <c r="C218" s="1037" t="s">
        <v>256</v>
      </c>
      <c r="D218" s="652"/>
      <c r="E218" s="691" t="s">
        <v>0</v>
      </c>
      <c r="F218" s="652"/>
      <c r="G218" s="673">
        <f>단위당인건비!E121</f>
        <v>0</v>
      </c>
      <c r="H218" s="674"/>
      <c r="I218" s="673"/>
      <c r="J218" s="674"/>
      <c r="K218" s="759"/>
      <c r="L218" s="809"/>
    </row>
    <row r="219" spans="1:13" ht="18.95" hidden="1" customHeight="1">
      <c r="A219" s="1033"/>
      <c r="B219" s="1034"/>
      <c r="C219" s="1038"/>
      <c r="D219" s="652"/>
      <c r="E219" s="691" t="s">
        <v>209</v>
      </c>
      <c r="F219" s="760"/>
      <c r="G219" s="673">
        <f>단위당인건비!E122</f>
        <v>0</v>
      </c>
      <c r="H219" s="674"/>
      <c r="I219" s="673"/>
      <c r="J219" s="674"/>
      <c r="K219" s="759"/>
      <c r="L219" s="809"/>
    </row>
    <row r="220" spans="1:13" ht="18.95" hidden="1" customHeight="1">
      <c r="A220" s="1033"/>
      <c r="B220" s="1034"/>
      <c r="C220" s="1038"/>
      <c r="D220" s="652"/>
      <c r="E220" s="691" t="s">
        <v>4</v>
      </c>
      <c r="F220" s="760"/>
      <c r="G220" s="673">
        <f>단위당인건비!E123</f>
        <v>0</v>
      </c>
      <c r="H220" s="674"/>
      <c r="I220" s="673"/>
      <c r="J220" s="674"/>
      <c r="K220" s="759"/>
      <c r="L220" s="809"/>
    </row>
    <row r="221" spans="1:13" ht="18.95" hidden="1" customHeight="1">
      <c r="A221" s="1033"/>
      <c r="B221" s="1034"/>
      <c r="C221" s="1038"/>
      <c r="D221" s="652"/>
      <c r="E221" s="691" t="s">
        <v>257</v>
      </c>
      <c r="F221" s="760"/>
      <c r="G221" s="673">
        <f>단위당인건비!E124</f>
        <v>0</v>
      </c>
      <c r="H221" s="674"/>
      <c r="I221" s="673"/>
      <c r="J221" s="674"/>
      <c r="K221" s="759"/>
      <c r="L221" s="809"/>
    </row>
    <row r="222" spans="1:13" ht="18.95" hidden="1" customHeight="1">
      <c r="A222" s="1033"/>
      <c r="B222" s="1034"/>
      <c r="C222" s="1039"/>
      <c r="D222" s="652"/>
      <c r="E222" s="761" t="s">
        <v>23</v>
      </c>
      <c r="F222" s="761"/>
      <c r="G222" s="673">
        <f>단위당인건비!E125</f>
        <v>0</v>
      </c>
      <c r="H222" s="674"/>
      <c r="I222" s="762"/>
      <c r="J222" s="674"/>
      <c r="K222" s="759"/>
      <c r="L222" s="810"/>
    </row>
    <row r="223" spans="1:13" ht="18.95" hidden="1" customHeight="1">
      <c r="A223" s="1033"/>
      <c r="B223" s="1034"/>
      <c r="C223" s="1027" t="s">
        <v>24</v>
      </c>
      <c r="D223" s="1028"/>
      <c r="E223" s="1028"/>
      <c r="F223" s="1029"/>
      <c r="G223" s="673">
        <f>단위당인건비!E126</f>
        <v>0</v>
      </c>
      <c r="H223" s="674"/>
      <c r="I223" s="762"/>
      <c r="J223" s="674"/>
      <c r="K223" s="759"/>
      <c r="L223" s="815"/>
    </row>
    <row r="224" spans="1:13" ht="18.95" hidden="1" customHeight="1">
      <c r="A224" s="1033"/>
      <c r="B224" s="1034"/>
      <c r="C224" s="1027" t="s">
        <v>25</v>
      </c>
      <c r="D224" s="1028"/>
      <c r="E224" s="1028"/>
      <c r="F224" s="1029"/>
      <c r="G224" s="673">
        <f>단위당인건비!E127</f>
        <v>0</v>
      </c>
      <c r="H224" s="674"/>
      <c r="I224" s="762"/>
      <c r="J224" s="674"/>
      <c r="K224" s="759"/>
      <c r="L224" s="815"/>
    </row>
    <row r="225" spans="1:12" ht="18.95" hidden="1" customHeight="1">
      <c r="A225" s="1035"/>
      <c r="B225" s="1036"/>
      <c r="C225" s="1027" t="s">
        <v>26</v>
      </c>
      <c r="D225" s="1028"/>
      <c r="E225" s="1028"/>
      <c r="F225" s="1029"/>
      <c r="G225" s="673">
        <f>단위당인건비!E128</f>
        <v>0</v>
      </c>
      <c r="H225" s="674"/>
      <c r="I225" s="763" t="e">
        <f>TRUNC(G225/$G$243*100,2)</f>
        <v>#DIV/0!</v>
      </c>
      <c r="J225" s="674"/>
      <c r="K225" s="759"/>
      <c r="L225" s="810" t="str">
        <f>단위당인건비!$A$1&amp;"참조"</f>
        <v>&lt; 표 : 4 &gt; 참조</v>
      </c>
    </row>
    <row r="226" spans="1:12" ht="18.95" hidden="1" customHeight="1">
      <c r="A226" s="1031" t="s">
        <v>212</v>
      </c>
      <c r="B226" s="1032"/>
      <c r="C226" s="1037" t="s">
        <v>3</v>
      </c>
      <c r="D226" s="652"/>
      <c r="E226" s="691" t="s">
        <v>27</v>
      </c>
      <c r="F226" s="691"/>
      <c r="G226" s="673">
        <f>경비집계표!G31</f>
        <v>0</v>
      </c>
      <c r="H226" s="674"/>
      <c r="I226" s="673"/>
      <c r="J226" s="674"/>
      <c r="K226" s="759"/>
      <c r="L226" s="810"/>
    </row>
    <row r="227" spans="1:12" ht="18.95" hidden="1" customHeight="1">
      <c r="A227" s="1033"/>
      <c r="B227" s="1034"/>
      <c r="C227" s="1038"/>
      <c r="D227" s="652"/>
      <c r="E227" s="691" t="s">
        <v>28</v>
      </c>
      <c r="F227" s="691"/>
      <c r="G227" s="673">
        <f>경비집계표!G32</f>
        <v>0</v>
      </c>
      <c r="H227" s="674"/>
      <c r="I227" s="673"/>
      <c r="J227" s="674"/>
      <c r="K227" s="759"/>
      <c r="L227" s="810"/>
    </row>
    <row r="228" spans="1:12" ht="18.95" hidden="1" customHeight="1">
      <c r="A228" s="1033"/>
      <c r="B228" s="1034"/>
      <c r="C228" s="1038"/>
      <c r="D228" s="652"/>
      <c r="E228" s="691" t="s">
        <v>29</v>
      </c>
      <c r="F228" s="691"/>
      <c r="G228" s="673">
        <f>경비집계표!G33</f>
        <v>0</v>
      </c>
      <c r="H228" s="674"/>
      <c r="I228" s="673"/>
      <c r="J228" s="674"/>
      <c r="K228" s="759"/>
      <c r="L228" s="810"/>
    </row>
    <row r="229" spans="1:12" ht="18.95" hidden="1" customHeight="1">
      <c r="A229" s="1033"/>
      <c r="B229" s="1034"/>
      <c r="C229" s="1038"/>
      <c r="D229" s="652"/>
      <c r="E229" s="691" t="s">
        <v>30</v>
      </c>
      <c r="F229" s="691"/>
      <c r="G229" s="673">
        <f>경비집계표!G34</f>
        <v>0</v>
      </c>
      <c r="H229" s="674"/>
      <c r="I229" s="673"/>
      <c r="J229" s="674"/>
      <c r="K229" s="759"/>
      <c r="L229" s="810"/>
    </row>
    <row r="230" spans="1:12" ht="18.95" hidden="1" customHeight="1">
      <c r="A230" s="1033"/>
      <c r="B230" s="1034"/>
      <c r="C230" s="1038"/>
      <c r="D230" s="652"/>
      <c r="E230" s="719" t="s">
        <v>255</v>
      </c>
      <c r="F230" s="691"/>
      <c r="G230" s="673">
        <f>경비집계표!G35</f>
        <v>0</v>
      </c>
      <c r="H230" s="674"/>
      <c r="I230" s="673"/>
      <c r="J230" s="674"/>
      <c r="K230" s="759"/>
      <c r="L230" s="810"/>
    </row>
    <row r="231" spans="1:12" ht="18.95" hidden="1" customHeight="1">
      <c r="A231" s="1033"/>
      <c r="B231" s="1034"/>
      <c r="C231" s="1038"/>
      <c r="D231" s="652"/>
      <c r="E231" s="691" t="s">
        <v>31</v>
      </c>
      <c r="F231" s="691"/>
      <c r="G231" s="673">
        <f>경비집계표!G36</f>
        <v>0</v>
      </c>
      <c r="H231" s="674"/>
      <c r="I231" s="673"/>
      <c r="J231" s="674"/>
      <c r="K231" s="759"/>
      <c r="L231" s="810"/>
    </row>
    <row r="232" spans="1:12" ht="18.95" hidden="1" customHeight="1">
      <c r="A232" s="1033"/>
      <c r="B232" s="1034"/>
      <c r="C232" s="1039"/>
      <c r="D232" s="652"/>
      <c r="E232" s="761" t="s">
        <v>23</v>
      </c>
      <c r="F232" s="691"/>
      <c r="G232" s="673">
        <f>경비집계표!G37</f>
        <v>0</v>
      </c>
      <c r="H232" s="674"/>
      <c r="I232" s="673"/>
      <c r="J232" s="674"/>
      <c r="K232" s="759"/>
      <c r="L232" s="810"/>
    </row>
    <row r="233" spans="1:12" ht="18.95" hidden="1" customHeight="1">
      <c r="A233" s="1033"/>
      <c r="B233" s="1034"/>
      <c r="C233" s="1040" t="s">
        <v>304</v>
      </c>
      <c r="D233" s="652"/>
      <c r="E233" s="691" t="s">
        <v>32</v>
      </c>
      <c r="F233" s="691"/>
      <c r="G233" s="673">
        <f>경비집계표!G38</f>
        <v>0</v>
      </c>
      <c r="H233" s="674"/>
      <c r="I233" s="673"/>
      <c r="J233" s="674"/>
      <c r="K233" s="759"/>
      <c r="L233" s="810"/>
    </row>
    <row r="234" spans="1:12" ht="18.95" hidden="1" customHeight="1">
      <c r="A234" s="1033"/>
      <c r="B234" s="1034"/>
      <c r="C234" s="1041"/>
      <c r="D234" s="652"/>
      <c r="E234" s="691" t="s">
        <v>465</v>
      </c>
      <c r="F234" s="691"/>
      <c r="G234" s="673">
        <f>경비집계표!G39</f>
        <v>0</v>
      </c>
      <c r="H234" s="674"/>
      <c r="I234" s="673"/>
      <c r="J234" s="674"/>
      <c r="K234" s="759"/>
      <c r="L234" s="810"/>
    </row>
    <row r="235" spans="1:12" ht="18.95" hidden="1" customHeight="1">
      <c r="A235" s="1033"/>
      <c r="B235" s="1034"/>
      <c r="C235" s="1041"/>
      <c r="D235" s="652"/>
      <c r="E235" s="691" t="s">
        <v>462</v>
      </c>
      <c r="F235" s="691"/>
      <c r="G235" s="673">
        <f>경비집계표!G40</f>
        <v>0</v>
      </c>
      <c r="H235" s="674"/>
      <c r="I235" s="673"/>
      <c r="J235" s="674"/>
      <c r="K235" s="759"/>
      <c r="L235" s="810"/>
    </row>
    <row r="236" spans="1:12" ht="18.95" hidden="1" customHeight="1">
      <c r="A236" s="1033"/>
      <c r="B236" s="1034"/>
      <c r="C236" s="1042"/>
      <c r="D236" s="652"/>
      <c r="E236" s="761" t="s">
        <v>23</v>
      </c>
      <c r="F236" s="691"/>
      <c r="G236" s="673">
        <f>경비집계표!G41</f>
        <v>0</v>
      </c>
      <c r="H236" s="674"/>
      <c r="I236" s="673"/>
      <c r="J236" s="674"/>
      <c r="K236" s="759"/>
      <c r="L236" s="810"/>
    </row>
    <row r="237" spans="1:12" ht="18.95" hidden="1" customHeight="1">
      <c r="A237" s="1033"/>
      <c r="B237" s="1034"/>
      <c r="C237" s="1037" t="s">
        <v>260</v>
      </c>
      <c r="D237" s="652"/>
      <c r="E237" s="691" t="s">
        <v>262</v>
      </c>
      <c r="F237" s="691"/>
      <c r="G237" s="673">
        <f>경비집계표!G42</f>
        <v>0</v>
      </c>
      <c r="H237" s="674"/>
      <c r="I237" s="673"/>
      <c r="J237" s="674"/>
      <c r="K237" s="759"/>
      <c r="L237" s="810"/>
    </row>
    <row r="238" spans="1:12" ht="18.95" hidden="1" customHeight="1">
      <c r="A238" s="1033"/>
      <c r="B238" s="1034"/>
      <c r="C238" s="1039"/>
      <c r="D238" s="652"/>
      <c r="E238" s="691" t="s">
        <v>261</v>
      </c>
      <c r="F238" s="691"/>
      <c r="G238" s="673">
        <f>경비집계표!G43</f>
        <v>0</v>
      </c>
      <c r="H238" s="674"/>
      <c r="I238" s="673"/>
      <c r="J238" s="674"/>
      <c r="K238" s="759"/>
      <c r="L238" s="810"/>
    </row>
    <row r="239" spans="1:12" ht="18.95" hidden="1" customHeight="1">
      <c r="A239" s="1035"/>
      <c r="B239" s="1036"/>
      <c r="C239" s="1027" t="s">
        <v>26</v>
      </c>
      <c r="D239" s="1028"/>
      <c r="E239" s="1028"/>
      <c r="F239" s="1029"/>
      <c r="G239" s="673">
        <f>경비집계표!G44</f>
        <v>0</v>
      </c>
      <c r="H239" s="674"/>
      <c r="I239" s="763" t="e">
        <f>ROUNDUP(G239/$G$243*100,2)</f>
        <v>#DIV/0!</v>
      </c>
      <c r="J239" s="674"/>
      <c r="K239" s="759"/>
      <c r="L239" s="810" t="str">
        <f>경비집계표!$A$1&amp;"참조"</f>
        <v>&lt; 표 : 11 &gt; 참조</v>
      </c>
    </row>
    <row r="240" spans="1:12" ht="18.95" hidden="1" customHeight="1">
      <c r="A240" s="765"/>
      <c r="B240" s="1010" t="s">
        <v>182</v>
      </c>
      <c r="C240" s="1010"/>
      <c r="D240" s="1010"/>
      <c r="E240" s="1010"/>
      <c r="F240" s="766"/>
      <c r="G240" s="673">
        <f>SUM(G225,G239)</f>
        <v>0</v>
      </c>
      <c r="H240" s="674"/>
      <c r="I240" s="763" t="e">
        <f>TRUNC(G240/$G$243*100,2)</f>
        <v>#DIV/0!</v>
      </c>
      <c r="J240" s="674"/>
      <c r="K240" s="759"/>
      <c r="L240" s="810" t="s">
        <v>281</v>
      </c>
    </row>
    <row r="241" spans="1:13" ht="18.95" hidden="1" customHeight="1">
      <c r="A241" s="767"/>
      <c r="B241" s="1009" t="s">
        <v>555</v>
      </c>
      <c r="C241" s="1009"/>
      <c r="D241" s="1009"/>
      <c r="E241" s="1009"/>
      <c r="F241" s="768"/>
      <c r="G241" s="673">
        <f>TRUNC(G240*4%,0)</f>
        <v>0</v>
      </c>
      <c r="H241" s="674"/>
      <c r="I241" s="763" t="e">
        <f>TRUNC(G241/$G$243*100,2)</f>
        <v>#DIV/0!</v>
      </c>
      <c r="J241" s="674"/>
      <c r="K241" s="759"/>
      <c r="L241" s="817" t="s">
        <v>557</v>
      </c>
    </row>
    <row r="242" spans="1:13" ht="18.95" hidden="1" customHeight="1">
      <c r="A242" s="767"/>
      <c r="B242" s="1009" t="s">
        <v>556</v>
      </c>
      <c r="C242" s="1009"/>
      <c r="D242" s="1009"/>
      <c r="E242" s="1009"/>
      <c r="F242" s="768"/>
      <c r="G242" s="673">
        <f>TRUNC(SUM(G225,G239,G241)*6%,0)</f>
        <v>0</v>
      </c>
      <c r="H242" s="674"/>
      <c r="I242" s="763" t="e">
        <f>TRUNC(G242/$G$243*100,2)</f>
        <v>#DIV/0!</v>
      </c>
      <c r="J242" s="674"/>
      <c r="K242" s="759"/>
      <c r="L242" s="817" t="s">
        <v>558</v>
      </c>
      <c r="M242" s="769"/>
    </row>
    <row r="243" spans="1:13" ht="18.95" hidden="1" customHeight="1">
      <c r="A243" s="767"/>
      <c r="B243" s="1010" t="s">
        <v>294</v>
      </c>
      <c r="C243" s="1010"/>
      <c r="D243" s="1010"/>
      <c r="E243" s="1010"/>
      <c r="F243" s="768"/>
      <c r="G243" s="673">
        <f>SUM(G240:G242)</f>
        <v>0</v>
      </c>
      <c r="H243" s="674"/>
      <c r="I243" s="763" t="e">
        <f>TRUNC(G243/$G$243*100,2)</f>
        <v>#DIV/0!</v>
      </c>
      <c r="J243" s="674"/>
      <c r="K243" s="759"/>
      <c r="L243" s="810" t="s">
        <v>271</v>
      </c>
    </row>
    <row r="244" spans="1:13" ht="18.95" hidden="1" customHeight="1">
      <c r="A244" s="767"/>
      <c r="B244" s="1030" t="s">
        <v>298</v>
      </c>
      <c r="C244" s="1030"/>
      <c r="D244" s="1030"/>
      <c r="E244" s="1030"/>
      <c r="F244" s="768"/>
      <c r="G244" s="770">
        <f>TRUNC(G243*10%)</f>
        <v>0</v>
      </c>
      <c r="H244" s="771"/>
      <c r="I244" s="772"/>
      <c r="J244" s="771"/>
      <c r="K244" s="773"/>
      <c r="L244" s="811" t="s">
        <v>300</v>
      </c>
    </row>
    <row r="245" spans="1:13" ht="18.95" hidden="1" customHeight="1">
      <c r="A245" s="767"/>
      <c r="B245" s="1030" t="s">
        <v>299</v>
      </c>
      <c r="C245" s="1030"/>
      <c r="D245" s="1030"/>
      <c r="E245" s="1030"/>
      <c r="F245" s="768"/>
      <c r="G245" s="770">
        <f>SUM(G243:G244)</f>
        <v>0</v>
      </c>
      <c r="H245" s="771"/>
      <c r="I245" s="772"/>
      <c r="J245" s="771"/>
      <c r="K245" s="773"/>
      <c r="L245" s="811" t="s">
        <v>301</v>
      </c>
    </row>
    <row r="246" spans="1:13" ht="20.100000000000001" hidden="1" customHeight="1">
      <c r="A246" s="739"/>
      <c r="B246" s="739"/>
      <c r="C246" s="739"/>
      <c r="D246" s="739"/>
      <c r="E246" s="614"/>
      <c r="F246" s="614"/>
      <c r="G246" s="614"/>
      <c r="I246" s="688"/>
      <c r="L246" s="805"/>
      <c r="M246" s="688"/>
    </row>
    <row r="247" spans="1:13" s="617" customFormat="1" ht="39.950000000000003" hidden="1" customHeight="1">
      <c r="A247" s="615" t="s">
        <v>475</v>
      </c>
      <c r="B247" s="616"/>
      <c r="C247" s="741"/>
      <c r="D247" s="741"/>
      <c r="E247" s="740"/>
      <c r="F247" s="740"/>
      <c r="G247" s="745"/>
      <c r="H247" s="742"/>
      <c r="I247" s="746"/>
      <c r="J247" s="743"/>
      <c r="K247" s="746"/>
      <c r="L247" s="806"/>
    </row>
    <row r="248" spans="1:13" ht="20.100000000000001" hidden="1" customHeight="1">
      <c r="A248" s="747"/>
      <c r="B248" s="748"/>
      <c r="C248" s="747"/>
      <c r="D248" s="747"/>
      <c r="E248" s="748"/>
      <c r="F248" s="748"/>
      <c r="G248" s="749"/>
      <c r="H248" s="750"/>
      <c r="I248" s="751"/>
      <c r="J248" s="752"/>
      <c r="K248" s="751"/>
      <c r="L248" s="807"/>
      <c r="M248" s="617"/>
    </row>
    <row r="249" spans="1:13" ht="20.100000000000001" hidden="1" customHeight="1">
      <c r="A249" s="654" t="str">
        <f>"구 분 : "&amp;월기본급!B16&amp;"                       직종명 : "&amp;월기본급!F16&amp;""</f>
        <v xml:space="preserve">구 분 :                        직종명 : </v>
      </c>
      <c r="B249" s="610"/>
      <c r="C249" s="654"/>
      <c r="D249" s="654"/>
      <c r="G249" s="685"/>
      <c r="H249" s="685"/>
      <c r="I249" s="685"/>
      <c r="L249" s="808" t="s">
        <v>15</v>
      </c>
      <c r="M249" s="617"/>
    </row>
    <row r="250" spans="1:13" ht="20.100000000000001" hidden="1" customHeight="1">
      <c r="A250" s="753"/>
      <c r="B250" s="754"/>
      <c r="C250" s="754"/>
      <c r="D250" s="754"/>
      <c r="E250" s="755" t="s">
        <v>16</v>
      </c>
      <c r="F250" s="755"/>
      <c r="G250" s="1043" t="s">
        <v>17</v>
      </c>
      <c r="H250" s="1044"/>
      <c r="I250" s="1043" t="s">
        <v>18</v>
      </c>
      <c r="J250" s="1044"/>
      <c r="K250" s="774"/>
      <c r="L250" s="1047" t="s">
        <v>19</v>
      </c>
      <c r="M250" s="617"/>
    </row>
    <row r="251" spans="1:13" ht="20.100000000000001" hidden="1" customHeight="1">
      <c r="A251" s="756" t="s">
        <v>20</v>
      </c>
      <c r="B251" s="757"/>
      <c r="C251" s="758"/>
      <c r="D251" s="758"/>
      <c r="E251" s="758"/>
      <c r="F251" s="758"/>
      <c r="G251" s="1045"/>
      <c r="H251" s="1046"/>
      <c r="I251" s="1045"/>
      <c r="J251" s="1046"/>
      <c r="K251" s="775"/>
      <c r="L251" s="1048"/>
    </row>
    <row r="252" spans="1:13" ht="18.95" hidden="1" customHeight="1">
      <c r="A252" s="1031" t="s">
        <v>204</v>
      </c>
      <c r="B252" s="1032"/>
      <c r="C252" s="1027" t="s">
        <v>21</v>
      </c>
      <c r="D252" s="1028"/>
      <c r="E252" s="1028"/>
      <c r="F252" s="1029"/>
      <c r="G252" s="673">
        <f>단위당인건비!E139</f>
        <v>0</v>
      </c>
      <c r="H252" s="674"/>
      <c r="I252" s="673"/>
      <c r="J252" s="674"/>
      <c r="K252" s="759"/>
      <c r="L252" s="809"/>
    </row>
    <row r="253" spans="1:13" ht="18.95" hidden="1" customHeight="1">
      <c r="A253" s="1033"/>
      <c r="B253" s="1034"/>
      <c r="C253" s="1037" t="s">
        <v>213</v>
      </c>
      <c r="D253" s="652"/>
      <c r="E253" s="691" t="s">
        <v>0</v>
      </c>
      <c r="F253" s="652"/>
      <c r="G253" s="673">
        <f>단위당인건비!E140</f>
        <v>0</v>
      </c>
      <c r="H253" s="674"/>
      <c r="I253" s="673"/>
      <c r="J253" s="674"/>
      <c r="K253" s="759"/>
      <c r="L253" s="809"/>
    </row>
    <row r="254" spans="1:13" ht="18.95" hidden="1" customHeight="1">
      <c r="A254" s="1033"/>
      <c r="B254" s="1034"/>
      <c r="C254" s="1038"/>
      <c r="D254" s="652"/>
      <c r="E254" s="691" t="s">
        <v>209</v>
      </c>
      <c r="F254" s="760"/>
      <c r="G254" s="673">
        <f>단위당인건비!E141</f>
        <v>0</v>
      </c>
      <c r="H254" s="674"/>
      <c r="I254" s="673"/>
      <c r="J254" s="674"/>
      <c r="K254" s="759"/>
      <c r="L254" s="809"/>
    </row>
    <row r="255" spans="1:13" ht="18.95" hidden="1" customHeight="1">
      <c r="A255" s="1033"/>
      <c r="B255" s="1034"/>
      <c r="C255" s="1038"/>
      <c r="D255" s="652"/>
      <c r="E255" s="691" t="s">
        <v>4</v>
      </c>
      <c r="F255" s="760"/>
      <c r="G255" s="673">
        <f>단위당인건비!E142</f>
        <v>0</v>
      </c>
      <c r="H255" s="674"/>
      <c r="I255" s="673"/>
      <c r="J255" s="674"/>
      <c r="K255" s="759"/>
      <c r="L255" s="809"/>
    </row>
    <row r="256" spans="1:13" ht="18.95" hidden="1" customHeight="1">
      <c r="A256" s="1033"/>
      <c r="B256" s="1034"/>
      <c r="C256" s="1038"/>
      <c r="D256" s="652"/>
      <c r="E256" s="691" t="s">
        <v>257</v>
      </c>
      <c r="F256" s="760"/>
      <c r="G256" s="673">
        <f>단위당인건비!E143</f>
        <v>0</v>
      </c>
      <c r="H256" s="674"/>
      <c r="I256" s="673"/>
      <c r="J256" s="674"/>
      <c r="K256" s="759"/>
      <c r="L256" s="809"/>
    </row>
    <row r="257" spans="1:12" ht="18.95" hidden="1" customHeight="1">
      <c r="A257" s="1033"/>
      <c r="B257" s="1034"/>
      <c r="C257" s="1039"/>
      <c r="D257" s="652"/>
      <c r="E257" s="761" t="s">
        <v>5</v>
      </c>
      <c r="F257" s="761"/>
      <c r="G257" s="673">
        <f>단위당인건비!E144</f>
        <v>0</v>
      </c>
      <c r="H257" s="674"/>
      <c r="I257" s="762"/>
      <c r="J257" s="674"/>
      <c r="K257" s="759"/>
      <c r="L257" s="810"/>
    </row>
    <row r="258" spans="1:12" ht="18.95" hidden="1" customHeight="1">
      <c r="A258" s="1033"/>
      <c r="B258" s="1034"/>
      <c r="C258" s="1027" t="s">
        <v>24</v>
      </c>
      <c r="D258" s="1028"/>
      <c r="E258" s="1028"/>
      <c r="F258" s="1029"/>
      <c r="G258" s="673">
        <f>단위당인건비!E145</f>
        <v>0</v>
      </c>
      <c r="H258" s="674"/>
      <c r="I258" s="762"/>
      <c r="J258" s="674"/>
      <c r="K258" s="759"/>
      <c r="L258" s="815"/>
    </row>
    <row r="259" spans="1:12" ht="18.95" hidden="1" customHeight="1">
      <c r="A259" s="1033"/>
      <c r="B259" s="1034"/>
      <c r="C259" s="1027" t="s">
        <v>25</v>
      </c>
      <c r="D259" s="1028"/>
      <c r="E259" s="1028"/>
      <c r="F259" s="1029"/>
      <c r="G259" s="673">
        <f>단위당인건비!E146</f>
        <v>0</v>
      </c>
      <c r="H259" s="674"/>
      <c r="I259" s="762"/>
      <c r="J259" s="674"/>
      <c r="K259" s="759"/>
      <c r="L259" s="815"/>
    </row>
    <row r="260" spans="1:12" ht="18.95" hidden="1" customHeight="1">
      <c r="A260" s="1035"/>
      <c r="B260" s="1036"/>
      <c r="C260" s="1027" t="s">
        <v>14</v>
      </c>
      <c r="D260" s="1028"/>
      <c r="E260" s="1028"/>
      <c r="F260" s="1029"/>
      <c r="G260" s="673">
        <f>단위당인건비!E147</f>
        <v>0</v>
      </c>
      <c r="H260" s="674"/>
      <c r="I260" s="763" t="e">
        <f>TRUNC(G260/$G$278*100,2)</f>
        <v>#DIV/0!</v>
      </c>
      <c r="J260" s="674"/>
      <c r="K260" s="759"/>
      <c r="L260" s="810" t="str">
        <f>단위당인건비!$A$1&amp;"참조"</f>
        <v>&lt; 표 : 4 &gt; 참조</v>
      </c>
    </row>
    <row r="261" spans="1:12" ht="18.95" hidden="1" customHeight="1">
      <c r="A261" s="1031" t="s">
        <v>212</v>
      </c>
      <c r="B261" s="1032"/>
      <c r="C261" s="1037" t="s">
        <v>3</v>
      </c>
      <c r="D261" s="652"/>
      <c r="E261" s="691" t="s">
        <v>27</v>
      </c>
      <c r="F261" s="691"/>
      <c r="G261" s="673">
        <f>경비집계표!H31</f>
        <v>0</v>
      </c>
      <c r="H261" s="674"/>
      <c r="I261" s="673"/>
      <c r="J261" s="674"/>
      <c r="K261" s="759"/>
      <c r="L261" s="810"/>
    </row>
    <row r="262" spans="1:12" ht="18.95" hidden="1" customHeight="1">
      <c r="A262" s="1033"/>
      <c r="B262" s="1034"/>
      <c r="C262" s="1038"/>
      <c r="D262" s="652"/>
      <c r="E262" s="691" t="s">
        <v>28</v>
      </c>
      <c r="F262" s="691"/>
      <c r="G262" s="673">
        <f>경비집계표!H32</f>
        <v>0</v>
      </c>
      <c r="H262" s="674"/>
      <c r="I262" s="673"/>
      <c r="J262" s="674"/>
      <c r="K262" s="759"/>
      <c r="L262" s="810"/>
    </row>
    <row r="263" spans="1:12" ht="18.95" hidden="1" customHeight="1">
      <c r="A263" s="1033"/>
      <c r="B263" s="1034"/>
      <c r="C263" s="1038"/>
      <c r="D263" s="652"/>
      <c r="E263" s="691" t="s">
        <v>29</v>
      </c>
      <c r="F263" s="691"/>
      <c r="G263" s="673">
        <f>경비집계표!H33</f>
        <v>0</v>
      </c>
      <c r="H263" s="674"/>
      <c r="I263" s="673"/>
      <c r="J263" s="674"/>
      <c r="K263" s="759"/>
      <c r="L263" s="810"/>
    </row>
    <row r="264" spans="1:12" ht="18.95" hidden="1" customHeight="1">
      <c r="A264" s="1033"/>
      <c r="B264" s="1034"/>
      <c r="C264" s="1038"/>
      <c r="D264" s="652"/>
      <c r="E264" s="691" t="s">
        <v>30</v>
      </c>
      <c r="F264" s="691"/>
      <c r="G264" s="673">
        <f>경비집계표!H34</f>
        <v>0</v>
      </c>
      <c r="H264" s="674"/>
      <c r="I264" s="673"/>
      <c r="J264" s="674"/>
      <c r="K264" s="759"/>
      <c r="L264" s="810"/>
    </row>
    <row r="265" spans="1:12" ht="18.95" hidden="1" customHeight="1">
      <c r="A265" s="1033"/>
      <c r="B265" s="1034"/>
      <c r="C265" s="1038"/>
      <c r="D265" s="652"/>
      <c r="E265" s="719" t="s">
        <v>237</v>
      </c>
      <c r="F265" s="691"/>
      <c r="G265" s="673">
        <f>경비집계표!H35</f>
        <v>0</v>
      </c>
      <c r="H265" s="674"/>
      <c r="I265" s="673"/>
      <c r="J265" s="674"/>
      <c r="K265" s="759"/>
      <c r="L265" s="810"/>
    </row>
    <row r="266" spans="1:12" ht="18.95" hidden="1" customHeight="1">
      <c r="A266" s="1033"/>
      <c r="B266" s="1034"/>
      <c r="C266" s="1038"/>
      <c r="D266" s="652"/>
      <c r="E266" s="691" t="s">
        <v>31</v>
      </c>
      <c r="F266" s="691"/>
      <c r="G266" s="673">
        <f>경비집계표!H36</f>
        <v>0</v>
      </c>
      <c r="H266" s="674"/>
      <c r="I266" s="673"/>
      <c r="J266" s="674"/>
      <c r="K266" s="759"/>
      <c r="L266" s="810"/>
    </row>
    <row r="267" spans="1:12" ht="18.95" hidden="1" customHeight="1">
      <c r="A267" s="1033"/>
      <c r="B267" s="1034"/>
      <c r="C267" s="1039"/>
      <c r="D267" s="652"/>
      <c r="E267" s="761" t="s">
        <v>5</v>
      </c>
      <c r="F267" s="691"/>
      <c r="G267" s="673">
        <f>경비집계표!H37</f>
        <v>0</v>
      </c>
      <c r="H267" s="674"/>
      <c r="I267" s="673"/>
      <c r="J267" s="674"/>
      <c r="K267" s="759"/>
      <c r="L267" s="810"/>
    </row>
    <row r="268" spans="1:12" ht="18.95" hidden="1" customHeight="1">
      <c r="A268" s="1033"/>
      <c r="B268" s="1034"/>
      <c r="C268" s="1040" t="s">
        <v>303</v>
      </c>
      <c r="D268" s="652"/>
      <c r="E268" s="691" t="s">
        <v>32</v>
      </c>
      <c r="F268" s="691"/>
      <c r="G268" s="673">
        <f>경비집계표!H38</f>
        <v>0</v>
      </c>
      <c r="H268" s="674"/>
      <c r="I268" s="673"/>
      <c r="J268" s="674"/>
      <c r="K268" s="759"/>
      <c r="L268" s="810"/>
    </row>
    <row r="269" spans="1:12" ht="18.95" hidden="1" customHeight="1">
      <c r="A269" s="1033"/>
      <c r="B269" s="1034"/>
      <c r="C269" s="1041"/>
      <c r="D269" s="652"/>
      <c r="E269" s="691" t="s">
        <v>465</v>
      </c>
      <c r="F269" s="691"/>
      <c r="G269" s="673">
        <f>경비집계표!H39</f>
        <v>0</v>
      </c>
      <c r="H269" s="674"/>
      <c r="I269" s="673"/>
      <c r="J269" s="674"/>
      <c r="K269" s="759"/>
      <c r="L269" s="810"/>
    </row>
    <row r="270" spans="1:12" ht="18.95" hidden="1" customHeight="1">
      <c r="A270" s="1033"/>
      <c r="B270" s="1034"/>
      <c r="C270" s="1041"/>
      <c r="D270" s="652"/>
      <c r="E270" s="691" t="s">
        <v>462</v>
      </c>
      <c r="F270" s="691"/>
      <c r="G270" s="673">
        <f>경비집계표!H40</f>
        <v>0</v>
      </c>
      <c r="H270" s="674"/>
      <c r="I270" s="673"/>
      <c r="J270" s="674"/>
      <c r="K270" s="759"/>
      <c r="L270" s="810"/>
    </row>
    <row r="271" spans="1:12" ht="18.95" hidden="1" customHeight="1">
      <c r="A271" s="1033"/>
      <c r="B271" s="1034"/>
      <c r="C271" s="1042"/>
      <c r="D271" s="652"/>
      <c r="E271" s="761" t="s">
        <v>5</v>
      </c>
      <c r="F271" s="691"/>
      <c r="G271" s="673">
        <f>경비집계표!H41</f>
        <v>0</v>
      </c>
      <c r="H271" s="674"/>
      <c r="I271" s="673"/>
      <c r="J271" s="674"/>
      <c r="K271" s="759"/>
      <c r="L271" s="810"/>
    </row>
    <row r="272" spans="1:12" ht="18.95" hidden="1" customHeight="1">
      <c r="A272" s="1033"/>
      <c r="B272" s="1034"/>
      <c r="C272" s="1037" t="s">
        <v>260</v>
      </c>
      <c r="D272" s="652"/>
      <c r="E272" s="691" t="s">
        <v>262</v>
      </c>
      <c r="F272" s="691"/>
      <c r="G272" s="673">
        <f>경비집계표!H42</f>
        <v>0</v>
      </c>
      <c r="H272" s="674"/>
      <c r="I272" s="673"/>
      <c r="J272" s="674"/>
      <c r="K272" s="759"/>
      <c r="L272" s="810"/>
    </row>
    <row r="273" spans="1:13" ht="18.95" hidden="1" customHeight="1">
      <c r="A273" s="1033"/>
      <c r="B273" s="1034"/>
      <c r="C273" s="1039"/>
      <c r="D273" s="652"/>
      <c r="E273" s="691" t="s">
        <v>261</v>
      </c>
      <c r="F273" s="691"/>
      <c r="G273" s="673">
        <f>경비집계표!H43</f>
        <v>0</v>
      </c>
      <c r="H273" s="674"/>
      <c r="I273" s="673"/>
      <c r="J273" s="674"/>
      <c r="K273" s="759"/>
      <c r="L273" s="810"/>
    </row>
    <row r="274" spans="1:13" ht="18.95" hidden="1" customHeight="1">
      <c r="A274" s="1035"/>
      <c r="B274" s="1036"/>
      <c r="C274" s="1027" t="s">
        <v>14</v>
      </c>
      <c r="D274" s="1028"/>
      <c r="E274" s="1028"/>
      <c r="F274" s="1029"/>
      <c r="G274" s="673">
        <f>경비집계표!H44</f>
        <v>0</v>
      </c>
      <c r="H274" s="674"/>
      <c r="I274" s="763" t="e">
        <f>ROUNDUP(G274/$G$278*100,2)</f>
        <v>#DIV/0!</v>
      </c>
      <c r="J274" s="674"/>
      <c r="K274" s="759"/>
      <c r="L274" s="810" t="str">
        <f>경비집계표!$A$1&amp;"참조"</f>
        <v>&lt; 표 : 11 &gt; 참조</v>
      </c>
    </row>
    <row r="275" spans="1:13" ht="18.95" hidden="1" customHeight="1">
      <c r="A275" s="765"/>
      <c r="B275" s="1010" t="s">
        <v>182</v>
      </c>
      <c r="C275" s="1010"/>
      <c r="D275" s="1010"/>
      <c r="E275" s="1010"/>
      <c r="F275" s="766"/>
      <c r="G275" s="673">
        <f>SUM(G260,G274)</f>
        <v>0</v>
      </c>
      <c r="H275" s="674"/>
      <c r="I275" s="763" t="e">
        <f>TRUNC(G275/$G$278*100,2)</f>
        <v>#DIV/0!</v>
      </c>
      <c r="J275" s="674"/>
      <c r="K275" s="759"/>
      <c r="L275" s="810" t="s">
        <v>281</v>
      </c>
    </row>
    <row r="276" spans="1:13" ht="18.95" hidden="1" customHeight="1">
      <c r="A276" s="767"/>
      <c r="B276" s="1009" t="s">
        <v>555</v>
      </c>
      <c r="C276" s="1009"/>
      <c r="D276" s="1009"/>
      <c r="E276" s="1009"/>
      <c r="F276" s="768"/>
      <c r="G276" s="673">
        <f>TRUNC(G275*4%,0)</f>
        <v>0</v>
      </c>
      <c r="H276" s="674"/>
      <c r="I276" s="763" t="e">
        <f>TRUNC(G276/$G$278*100,2)</f>
        <v>#DIV/0!</v>
      </c>
      <c r="J276" s="674"/>
      <c r="K276" s="759"/>
      <c r="L276" s="817" t="s">
        <v>557</v>
      </c>
    </row>
    <row r="277" spans="1:13" ht="18.95" hidden="1" customHeight="1">
      <c r="A277" s="767"/>
      <c r="B277" s="1009" t="s">
        <v>556</v>
      </c>
      <c r="C277" s="1009"/>
      <c r="D277" s="1009"/>
      <c r="E277" s="1009"/>
      <c r="F277" s="768"/>
      <c r="G277" s="673">
        <f>TRUNC(SUM(G260,G274,G276)*6%,0)</f>
        <v>0</v>
      </c>
      <c r="H277" s="674"/>
      <c r="I277" s="763" t="e">
        <f>TRUNC(G277/$G$278*100,2)</f>
        <v>#DIV/0!</v>
      </c>
      <c r="J277" s="674"/>
      <c r="K277" s="759"/>
      <c r="L277" s="817" t="s">
        <v>558</v>
      </c>
      <c r="M277" s="769"/>
    </row>
    <row r="278" spans="1:13" ht="18.95" hidden="1" customHeight="1">
      <c r="A278" s="767"/>
      <c r="B278" s="1010" t="s">
        <v>294</v>
      </c>
      <c r="C278" s="1010"/>
      <c r="D278" s="1010"/>
      <c r="E278" s="1010"/>
      <c r="F278" s="768"/>
      <c r="G278" s="673">
        <f>SUM(G275:G277)</f>
        <v>0</v>
      </c>
      <c r="H278" s="674"/>
      <c r="I278" s="763" t="e">
        <f>TRUNC(G278/$G$278*100,2)</f>
        <v>#DIV/0!</v>
      </c>
      <c r="J278" s="674"/>
      <c r="K278" s="759"/>
      <c r="L278" s="810" t="s">
        <v>271</v>
      </c>
    </row>
    <row r="279" spans="1:13" ht="18.95" hidden="1" customHeight="1">
      <c r="A279" s="767"/>
      <c r="B279" s="1030" t="s">
        <v>298</v>
      </c>
      <c r="C279" s="1030"/>
      <c r="D279" s="1030"/>
      <c r="E279" s="1030"/>
      <c r="F279" s="768"/>
      <c r="G279" s="770">
        <f>TRUNC(G278*10%)</f>
        <v>0</v>
      </c>
      <c r="H279" s="771"/>
      <c r="I279" s="772"/>
      <c r="J279" s="771"/>
      <c r="K279" s="773"/>
      <c r="L279" s="811" t="s">
        <v>300</v>
      </c>
    </row>
    <row r="280" spans="1:13" ht="18.95" hidden="1" customHeight="1">
      <c r="A280" s="767"/>
      <c r="B280" s="1030" t="s">
        <v>299</v>
      </c>
      <c r="C280" s="1030"/>
      <c r="D280" s="1030"/>
      <c r="E280" s="1030"/>
      <c r="F280" s="768"/>
      <c r="G280" s="770">
        <f>SUM(G278:G279)</f>
        <v>0</v>
      </c>
      <c r="H280" s="771"/>
      <c r="I280" s="772"/>
      <c r="J280" s="771"/>
      <c r="K280" s="773"/>
      <c r="L280" s="811" t="s">
        <v>301</v>
      </c>
    </row>
    <row r="281" spans="1:13" ht="20.100000000000001" customHeight="1">
      <c r="A281" s="739"/>
      <c r="B281" s="739"/>
      <c r="C281" s="739"/>
      <c r="D281" s="739"/>
      <c r="E281" s="614"/>
      <c r="F281" s="614"/>
      <c r="G281" s="614"/>
      <c r="I281" s="688"/>
      <c r="L281" s="805"/>
      <c r="M281" s="688"/>
    </row>
    <row r="282" spans="1:13" s="617" customFormat="1" ht="39.950000000000003" customHeight="1">
      <c r="A282" s="615" t="s">
        <v>475</v>
      </c>
      <c r="B282" s="616"/>
      <c r="C282" s="741"/>
      <c r="D282" s="741"/>
      <c r="E282" s="740"/>
      <c r="F282" s="740"/>
      <c r="G282" s="745"/>
      <c r="H282" s="742"/>
      <c r="I282" s="746"/>
      <c r="J282" s="743"/>
      <c r="K282" s="746"/>
      <c r="L282" s="806"/>
    </row>
    <row r="283" spans="1:13" ht="20.100000000000001" customHeight="1">
      <c r="A283" s="747"/>
      <c r="B283" s="748"/>
      <c r="C283" s="747"/>
      <c r="D283" s="747"/>
      <c r="E283" s="748"/>
      <c r="F283" s="748"/>
      <c r="G283" s="749"/>
      <c r="H283" s="750"/>
      <c r="I283" s="751"/>
      <c r="J283" s="752"/>
      <c r="K283" s="751"/>
      <c r="L283" s="807"/>
      <c r="M283" s="617"/>
    </row>
    <row r="284" spans="1:13" ht="20.100000000000001" customHeight="1">
      <c r="A284" s="654" t="str">
        <f>"구 분 : "&amp;월기본급!B17&amp;"                       직종명 : "&amp;월기본급!F17&amp;""</f>
        <v>구 분 : 다산홀운영                       직종명 : 전기기능사</v>
      </c>
      <c r="B284" s="610"/>
      <c r="C284" s="654"/>
      <c r="D284" s="654"/>
      <c r="G284" s="685"/>
      <c r="H284" s="685"/>
      <c r="I284" s="685"/>
      <c r="L284" s="808" t="s">
        <v>15</v>
      </c>
      <c r="M284" s="617"/>
    </row>
    <row r="285" spans="1:13" ht="20.100000000000001" customHeight="1">
      <c r="A285" s="753"/>
      <c r="B285" s="754"/>
      <c r="C285" s="754"/>
      <c r="D285" s="754"/>
      <c r="E285" s="755" t="s">
        <v>16</v>
      </c>
      <c r="F285" s="755"/>
      <c r="G285" s="1043" t="s">
        <v>17</v>
      </c>
      <c r="H285" s="1044"/>
      <c r="I285" s="1043" t="s">
        <v>18</v>
      </c>
      <c r="J285" s="1044"/>
      <c r="K285" s="774"/>
      <c r="L285" s="1047" t="s">
        <v>19</v>
      </c>
      <c r="M285" s="617"/>
    </row>
    <row r="286" spans="1:13" ht="20.100000000000001" customHeight="1">
      <c r="A286" s="756" t="s">
        <v>20</v>
      </c>
      <c r="B286" s="757"/>
      <c r="C286" s="758"/>
      <c r="D286" s="758"/>
      <c r="E286" s="758"/>
      <c r="F286" s="758"/>
      <c r="G286" s="1045"/>
      <c r="H286" s="1046"/>
      <c r="I286" s="1045"/>
      <c r="J286" s="1046"/>
      <c r="K286" s="775"/>
      <c r="L286" s="1048"/>
    </row>
    <row r="287" spans="1:13" ht="18.95" customHeight="1">
      <c r="A287" s="1031" t="s">
        <v>204</v>
      </c>
      <c r="B287" s="1032"/>
      <c r="C287" s="1027" t="s">
        <v>21</v>
      </c>
      <c r="D287" s="1028"/>
      <c r="E287" s="1028"/>
      <c r="F287" s="1029"/>
      <c r="G287" s="673">
        <f>단위당인건비!E158</f>
        <v>2246244</v>
      </c>
      <c r="H287" s="674"/>
      <c r="I287" s="673"/>
      <c r="J287" s="674"/>
      <c r="K287" s="759"/>
      <c r="L287" s="809"/>
    </row>
    <row r="288" spans="1:13" ht="18.95" customHeight="1">
      <c r="A288" s="1033"/>
      <c r="B288" s="1034"/>
      <c r="C288" s="1037" t="s">
        <v>213</v>
      </c>
      <c r="D288" s="652"/>
      <c r="E288" s="691" t="s">
        <v>0</v>
      </c>
      <c r="F288" s="652"/>
      <c r="G288" s="673">
        <f>단위당인건비!E159</f>
        <v>559733</v>
      </c>
      <c r="H288" s="674"/>
      <c r="I288" s="673"/>
      <c r="J288" s="674"/>
      <c r="K288" s="759"/>
      <c r="L288" s="809"/>
    </row>
    <row r="289" spans="1:13" ht="18.95" customHeight="1">
      <c r="A289" s="1033"/>
      <c r="B289" s="1034"/>
      <c r="C289" s="1038"/>
      <c r="D289" s="652"/>
      <c r="E289" s="691" t="s">
        <v>209</v>
      </c>
      <c r="F289" s="760"/>
      <c r="G289" s="673">
        <f>단위당인건비!E160</f>
        <v>0</v>
      </c>
      <c r="H289" s="674"/>
      <c r="I289" s="673"/>
      <c r="J289" s="674"/>
      <c r="K289" s="759"/>
      <c r="L289" s="809"/>
    </row>
    <row r="290" spans="1:13" ht="18.95" customHeight="1">
      <c r="A290" s="1033"/>
      <c r="B290" s="1034"/>
      <c r="C290" s="1038"/>
      <c r="D290" s="652"/>
      <c r="E290" s="691" t="s">
        <v>4</v>
      </c>
      <c r="F290" s="760"/>
      <c r="G290" s="673">
        <f>단위당인건비!E161</f>
        <v>107475</v>
      </c>
      <c r="H290" s="674"/>
      <c r="I290" s="673"/>
      <c r="J290" s="674"/>
      <c r="K290" s="759"/>
      <c r="L290" s="809"/>
    </row>
    <row r="291" spans="1:13" ht="18.95" customHeight="1">
      <c r="A291" s="1033"/>
      <c r="B291" s="1034"/>
      <c r="C291" s="1038"/>
      <c r="D291" s="652"/>
      <c r="E291" s="691" t="s">
        <v>257</v>
      </c>
      <c r="F291" s="760"/>
      <c r="G291" s="673">
        <f>단위당인건비!E162</f>
        <v>0</v>
      </c>
      <c r="H291" s="674"/>
      <c r="I291" s="673"/>
      <c r="J291" s="674"/>
      <c r="K291" s="759"/>
      <c r="L291" s="809"/>
    </row>
    <row r="292" spans="1:13" ht="18.95" customHeight="1">
      <c r="A292" s="1033"/>
      <c r="B292" s="1034"/>
      <c r="C292" s="1039"/>
      <c r="D292" s="652"/>
      <c r="E292" s="761" t="s">
        <v>5</v>
      </c>
      <c r="F292" s="761"/>
      <c r="G292" s="673">
        <f>단위당인건비!E163</f>
        <v>667208</v>
      </c>
      <c r="H292" s="674"/>
      <c r="I292" s="762"/>
      <c r="J292" s="674"/>
      <c r="K292" s="759"/>
      <c r="L292" s="810"/>
    </row>
    <row r="293" spans="1:13" ht="18.95" customHeight="1">
      <c r="A293" s="1033"/>
      <c r="B293" s="1034"/>
      <c r="C293" s="1027" t="s">
        <v>24</v>
      </c>
      <c r="D293" s="1028"/>
      <c r="E293" s="1028"/>
      <c r="F293" s="1029"/>
      <c r="G293" s="673">
        <f>단위당인건비!E164</f>
        <v>93593</v>
      </c>
      <c r="H293" s="674"/>
      <c r="I293" s="762"/>
      <c r="J293" s="674"/>
      <c r="K293" s="759"/>
      <c r="L293" s="815"/>
    </row>
    <row r="294" spans="1:13" ht="18.95" customHeight="1">
      <c r="A294" s="1033"/>
      <c r="B294" s="1034"/>
      <c r="C294" s="1027" t="s">
        <v>25</v>
      </c>
      <c r="D294" s="1028"/>
      <c r="E294" s="1028"/>
      <c r="F294" s="1029"/>
      <c r="G294" s="673">
        <f>단위당인건비!E165</f>
        <v>250587</v>
      </c>
      <c r="H294" s="674"/>
      <c r="I294" s="762"/>
      <c r="J294" s="674"/>
      <c r="K294" s="759"/>
      <c r="L294" s="815"/>
    </row>
    <row r="295" spans="1:13" ht="18.95" customHeight="1">
      <c r="A295" s="1035"/>
      <c r="B295" s="1036"/>
      <c r="C295" s="1051" t="s">
        <v>14</v>
      </c>
      <c r="D295" s="1052"/>
      <c r="E295" s="1052"/>
      <c r="F295" s="1053"/>
      <c r="G295" s="864">
        <f>단위당인건비!E166</f>
        <v>3257632</v>
      </c>
      <c r="H295" s="863"/>
      <c r="I295" s="862">
        <f>TRUNC(G295/$G$313*100,2)</f>
        <v>82.26</v>
      </c>
      <c r="J295" s="863"/>
      <c r="K295" s="861"/>
      <c r="L295" s="860" t="str">
        <f>단위당인건비!$A$1&amp;"참조"</f>
        <v>&lt; 표 : 4 &gt; 참조</v>
      </c>
      <c r="M295" s="859"/>
    </row>
    <row r="296" spans="1:13" ht="18.95" customHeight="1">
      <c r="A296" s="1031" t="s">
        <v>212</v>
      </c>
      <c r="B296" s="1032"/>
      <c r="C296" s="1037" t="s">
        <v>3</v>
      </c>
      <c r="D296" s="652"/>
      <c r="E296" s="691" t="s">
        <v>27</v>
      </c>
      <c r="F296" s="691"/>
      <c r="G296" s="896">
        <f>경비집계표!E55</f>
        <v>57133</v>
      </c>
      <c r="H296" s="674"/>
      <c r="I296" s="673"/>
      <c r="J296" s="674"/>
      <c r="K296" s="759"/>
      <c r="L296" s="810"/>
    </row>
    <row r="297" spans="1:13" ht="18.95" customHeight="1">
      <c r="A297" s="1033"/>
      <c r="B297" s="1034"/>
      <c r="C297" s="1038"/>
      <c r="D297" s="652"/>
      <c r="E297" s="691" t="s">
        <v>28</v>
      </c>
      <c r="F297" s="691"/>
      <c r="G297" s="673">
        <f>경비집계표!E56</f>
        <v>135317</v>
      </c>
      <c r="H297" s="674"/>
      <c r="I297" s="673"/>
      <c r="J297" s="674"/>
      <c r="K297" s="759"/>
      <c r="L297" s="810"/>
    </row>
    <row r="298" spans="1:13" ht="18.95" customHeight="1">
      <c r="A298" s="1033"/>
      <c r="B298" s="1034"/>
      <c r="C298" s="1038"/>
      <c r="D298" s="652"/>
      <c r="E298" s="691" t="s">
        <v>29</v>
      </c>
      <c r="F298" s="691"/>
      <c r="G298" s="673">
        <f>경비집계표!E57</f>
        <v>27063</v>
      </c>
      <c r="H298" s="674"/>
      <c r="I298" s="673"/>
      <c r="J298" s="674"/>
      <c r="K298" s="759"/>
      <c r="L298" s="810"/>
    </row>
    <row r="299" spans="1:13" ht="18.95" customHeight="1">
      <c r="A299" s="1033"/>
      <c r="B299" s="1034"/>
      <c r="C299" s="1038"/>
      <c r="D299" s="652"/>
      <c r="E299" s="691" t="s">
        <v>30</v>
      </c>
      <c r="F299" s="691"/>
      <c r="G299" s="896">
        <f>경비집계표!E58</f>
        <v>92015</v>
      </c>
      <c r="H299" s="674"/>
      <c r="I299" s="673"/>
      <c r="J299" s="674"/>
      <c r="K299" s="759"/>
      <c r="L299" s="810"/>
    </row>
    <row r="300" spans="1:13" ht="18.95" customHeight="1">
      <c r="A300" s="1033"/>
      <c r="B300" s="1034"/>
      <c r="C300" s="1038"/>
      <c r="D300" s="652"/>
      <c r="E300" s="719" t="s">
        <v>237</v>
      </c>
      <c r="F300" s="691"/>
      <c r="G300" s="896">
        <f>경비집계표!E59</f>
        <v>6026</v>
      </c>
      <c r="H300" s="674"/>
      <c r="I300" s="673"/>
      <c r="J300" s="674"/>
      <c r="K300" s="759"/>
      <c r="L300" s="810"/>
    </row>
    <row r="301" spans="1:13" ht="18.95" customHeight="1">
      <c r="A301" s="1033"/>
      <c r="B301" s="1034"/>
      <c r="C301" s="1038"/>
      <c r="D301" s="652"/>
      <c r="E301" s="691" t="s">
        <v>31</v>
      </c>
      <c r="F301" s="691"/>
      <c r="G301" s="896">
        <f>경비집계표!E60</f>
        <v>1804</v>
      </c>
      <c r="H301" s="674"/>
      <c r="I301" s="673"/>
      <c r="J301" s="674"/>
      <c r="K301" s="759"/>
      <c r="L301" s="810"/>
    </row>
    <row r="302" spans="1:13" ht="18.95" customHeight="1">
      <c r="A302" s="1033"/>
      <c r="B302" s="1034"/>
      <c r="C302" s="1039"/>
      <c r="D302" s="652"/>
      <c r="E302" s="761" t="s">
        <v>5</v>
      </c>
      <c r="F302" s="691"/>
      <c r="G302" s="896">
        <f>경비집계표!E61</f>
        <v>319358</v>
      </c>
      <c r="H302" s="674"/>
      <c r="I302" s="673"/>
      <c r="J302" s="674"/>
      <c r="K302" s="759"/>
      <c r="L302" s="810"/>
    </row>
    <row r="303" spans="1:13" ht="18.95" customHeight="1">
      <c r="A303" s="1033"/>
      <c r="B303" s="1034"/>
      <c r="C303" s="1040" t="s">
        <v>303</v>
      </c>
      <c r="D303" s="652"/>
      <c r="E303" s="691" t="s">
        <v>32</v>
      </c>
      <c r="F303" s="691"/>
      <c r="G303" s="673">
        <f>경비집계표!E62</f>
        <v>0</v>
      </c>
      <c r="H303" s="674"/>
      <c r="I303" s="673"/>
      <c r="J303" s="674"/>
      <c r="K303" s="759"/>
      <c r="L303" s="810"/>
    </row>
    <row r="304" spans="1:13" ht="18.95" customHeight="1">
      <c r="A304" s="1033"/>
      <c r="B304" s="1034"/>
      <c r="C304" s="1041"/>
      <c r="D304" s="652"/>
      <c r="E304" s="691" t="s">
        <v>465</v>
      </c>
      <c r="F304" s="691"/>
      <c r="G304" s="673">
        <f>경비집계표!E63</f>
        <v>0</v>
      </c>
      <c r="H304" s="674"/>
      <c r="I304" s="673"/>
      <c r="J304" s="674"/>
      <c r="K304" s="759"/>
      <c r="L304" s="810"/>
    </row>
    <row r="305" spans="1:13" ht="18.95" customHeight="1">
      <c r="A305" s="1033"/>
      <c r="B305" s="1034"/>
      <c r="C305" s="1041"/>
      <c r="D305" s="652"/>
      <c r="E305" s="691" t="s">
        <v>462</v>
      </c>
      <c r="F305" s="691"/>
      <c r="G305" s="673">
        <f>경비집계표!E64</f>
        <v>0</v>
      </c>
      <c r="H305" s="674"/>
      <c r="I305" s="673"/>
      <c r="J305" s="674"/>
      <c r="K305" s="759"/>
      <c r="L305" s="810"/>
    </row>
    <row r="306" spans="1:13" ht="18.95" customHeight="1">
      <c r="A306" s="1033"/>
      <c r="B306" s="1034"/>
      <c r="C306" s="1042"/>
      <c r="D306" s="652"/>
      <c r="E306" s="761" t="s">
        <v>5</v>
      </c>
      <c r="F306" s="691"/>
      <c r="G306" s="673">
        <f>경비집계표!E65</f>
        <v>0</v>
      </c>
      <c r="H306" s="674"/>
      <c r="I306" s="673"/>
      <c r="J306" s="674"/>
      <c r="K306" s="759"/>
      <c r="L306" s="810"/>
    </row>
    <row r="307" spans="1:13" ht="18.95" customHeight="1">
      <c r="A307" s="1033"/>
      <c r="B307" s="1034"/>
      <c r="C307" s="1037" t="s">
        <v>260</v>
      </c>
      <c r="D307" s="652"/>
      <c r="E307" s="691" t="s">
        <v>262</v>
      </c>
      <c r="F307" s="691"/>
      <c r="G307" s="673">
        <f>경비집계표!E66</f>
        <v>15035</v>
      </c>
      <c r="H307" s="674"/>
      <c r="I307" s="673"/>
      <c r="J307" s="674"/>
      <c r="K307" s="759"/>
      <c r="L307" s="810"/>
    </row>
    <row r="308" spans="1:13" ht="18.95" customHeight="1">
      <c r="A308" s="1033"/>
      <c r="B308" s="1034"/>
      <c r="C308" s="1039"/>
      <c r="D308" s="652"/>
      <c r="E308" s="691" t="s">
        <v>261</v>
      </c>
      <c r="F308" s="691"/>
      <c r="G308" s="673">
        <f>경비집계표!E67</f>
        <v>0</v>
      </c>
      <c r="H308" s="674"/>
      <c r="I308" s="673"/>
      <c r="J308" s="674"/>
      <c r="K308" s="759"/>
      <c r="L308" s="810"/>
    </row>
    <row r="309" spans="1:13" ht="18.95" customHeight="1">
      <c r="A309" s="1035"/>
      <c r="B309" s="1036"/>
      <c r="C309" s="1027" t="s">
        <v>14</v>
      </c>
      <c r="D309" s="1028"/>
      <c r="E309" s="1028"/>
      <c r="F309" s="1029"/>
      <c r="G309" s="896">
        <f>경비집계표!E68</f>
        <v>334393</v>
      </c>
      <c r="H309" s="674"/>
      <c r="I309" s="763">
        <f>TRUNC(G309/$G$313*100,2)</f>
        <v>8.44</v>
      </c>
      <c r="J309" s="674"/>
      <c r="K309" s="759"/>
      <c r="L309" s="810" t="str">
        <f>경비집계표!$A$1&amp;"참조"</f>
        <v>&lt; 표 : 11 &gt; 참조</v>
      </c>
    </row>
    <row r="310" spans="1:13" ht="18.95" customHeight="1">
      <c r="A310" s="765"/>
      <c r="B310" s="1010" t="s">
        <v>182</v>
      </c>
      <c r="C310" s="1010"/>
      <c r="D310" s="1010"/>
      <c r="E310" s="1010"/>
      <c r="F310" s="766"/>
      <c r="G310" s="896">
        <f>SUM(G295,G309)</f>
        <v>3592025</v>
      </c>
      <c r="H310" s="674"/>
      <c r="I310" s="763">
        <f>TRUNC(G310/$G$313*100,2)</f>
        <v>90.71</v>
      </c>
      <c r="J310" s="674"/>
      <c r="K310" s="759"/>
      <c r="L310" s="810" t="s">
        <v>281</v>
      </c>
    </row>
    <row r="311" spans="1:13" ht="18.95" customHeight="1">
      <c r="A311" s="767"/>
      <c r="B311" s="1009" t="s">
        <v>631</v>
      </c>
      <c r="C311" s="1010"/>
      <c r="D311" s="1010"/>
      <c r="E311" s="1010"/>
      <c r="F311" s="768"/>
      <c r="G311" s="896">
        <f>TRUNC(G310*4%,0)</f>
        <v>143681</v>
      </c>
      <c r="H311" s="674"/>
      <c r="I311" s="763">
        <f>TRUNC(G311/$G$313*100,2)</f>
        <v>3.62</v>
      </c>
      <c r="J311" s="674"/>
      <c r="K311" s="759"/>
      <c r="L311" s="817" t="s">
        <v>630</v>
      </c>
    </row>
    <row r="312" spans="1:13" ht="18.95" customHeight="1">
      <c r="A312" s="767"/>
      <c r="B312" s="1009" t="s">
        <v>556</v>
      </c>
      <c r="C312" s="1010"/>
      <c r="D312" s="1010"/>
      <c r="E312" s="1010"/>
      <c r="F312" s="768"/>
      <c r="G312" s="896">
        <f>TRUNC(SUM(G295,G309,G311)*6%,0)</f>
        <v>224142</v>
      </c>
      <c r="H312" s="674"/>
      <c r="I312" s="763">
        <f>TRUNC(G312/$G$313*100,2)</f>
        <v>5.66</v>
      </c>
      <c r="J312" s="674"/>
      <c r="K312" s="759"/>
      <c r="L312" s="817" t="s">
        <v>558</v>
      </c>
      <c r="M312" s="769"/>
    </row>
    <row r="313" spans="1:13" ht="18.95" customHeight="1">
      <c r="A313" s="767"/>
      <c r="B313" s="1010" t="s">
        <v>294</v>
      </c>
      <c r="C313" s="1010"/>
      <c r="D313" s="1010"/>
      <c r="E313" s="1010"/>
      <c r="F313" s="768"/>
      <c r="G313" s="896">
        <f>SUM(G310:G312)</f>
        <v>3959848</v>
      </c>
      <c r="H313" s="674"/>
      <c r="I313" s="763">
        <f>TRUNC(G313/$G$313*100,2)</f>
        <v>100</v>
      </c>
      <c r="J313" s="674"/>
      <c r="K313" s="759"/>
      <c r="L313" s="810" t="s">
        <v>271</v>
      </c>
    </row>
    <row r="314" spans="1:13" ht="18.95" customHeight="1">
      <c r="A314" s="767"/>
      <c r="B314" s="1030" t="s">
        <v>298</v>
      </c>
      <c r="C314" s="1030"/>
      <c r="D314" s="1030"/>
      <c r="E314" s="1030"/>
      <c r="F314" s="768"/>
      <c r="G314" s="896">
        <f>TRUNC(G313*10%)</f>
        <v>395984</v>
      </c>
      <c r="H314" s="771"/>
      <c r="I314" s="772"/>
      <c r="J314" s="771"/>
      <c r="K314" s="773"/>
      <c r="L314" s="811" t="s">
        <v>300</v>
      </c>
    </row>
    <row r="315" spans="1:13" ht="18.95" customHeight="1">
      <c r="A315" s="767"/>
      <c r="B315" s="1030" t="s">
        <v>299</v>
      </c>
      <c r="C315" s="1030"/>
      <c r="D315" s="1030"/>
      <c r="E315" s="1030"/>
      <c r="F315" s="768"/>
      <c r="G315" s="896">
        <f>SUM(G313:G314)</f>
        <v>4355832</v>
      </c>
      <c r="H315" s="771"/>
      <c r="I315" s="772"/>
      <c r="J315" s="771"/>
      <c r="K315" s="773"/>
      <c r="L315" s="811" t="s">
        <v>301</v>
      </c>
    </row>
    <row r="316" spans="1:13" ht="20.100000000000001" customHeight="1">
      <c r="A316" s="739"/>
      <c r="B316" s="739"/>
      <c r="C316" s="739"/>
      <c r="D316" s="739"/>
      <c r="E316" s="614"/>
      <c r="F316" s="614"/>
      <c r="G316" s="614"/>
      <c r="I316" s="688"/>
      <c r="L316" s="805"/>
      <c r="M316" s="688"/>
    </row>
    <row r="317" spans="1:13" s="617" customFormat="1" ht="39.950000000000003" customHeight="1">
      <c r="A317" s="615" t="s">
        <v>475</v>
      </c>
      <c r="B317" s="616"/>
      <c r="C317" s="741"/>
      <c r="D317" s="741"/>
      <c r="E317" s="740"/>
      <c r="F317" s="740"/>
      <c r="G317" s="745"/>
      <c r="H317" s="742"/>
      <c r="I317" s="746"/>
      <c r="J317" s="743"/>
      <c r="K317" s="746"/>
      <c r="L317" s="806"/>
    </row>
    <row r="318" spans="1:13" ht="20.100000000000001" customHeight="1">
      <c r="A318" s="747"/>
      <c r="B318" s="748"/>
      <c r="C318" s="747"/>
      <c r="D318" s="747"/>
      <c r="E318" s="748"/>
      <c r="F318" s="748"/>
      <c r="G318" s="749"/>
      <c r="H318" s="750"/>
      <c r="I318" s="751"/>
      <c r="J318" s="752"/>
      <c r="K318" s="751"/>
      <c r="L318" s="807"/>
      <c r="M318" s="617"/>
    </row>
    <row r="319" spans="1:13" ht="20.100000000000001" customHeight="1">
      <c r="A319" s="654" t="str">
        <f>"구 분 : "&amp;월기본급!B18&amp;"                       직종명 : "&amp;월기본급!F18&amp;""</f>
        <v>구 분 : 운 전 원                       직종명 : 단순노무종사원</v>
      </c>
      <c r="B319" s="610"/>
      <c r="C319" s="654"/>
      <c r="D319" s="654"/>
      <c r="G319" s="685"/>
      <c r="H319" s="685"/>
      <c r="I319" s="685"/>
      <c r="L319" s="808" t="s">
        <v>15</v>
      </c>
      <c r="M319" s="617"/>
    </row>
    <row r="320" spans="1:13" ht="20.100000000000001" customHeight="1">
      <c r="A320" s="753"/>
      <c r="B320" s="754"/>
      <c r="C320" s="754"/>
      <c r="D320" s="754"/>
      <c r="E320" s="755" t="s">
        <v>16</v>
      </c>
      <c r="F320" s="755"/>
      <c r="G320" s="1043" t="s">
        <v>17</v>
      </c>
      <c r="H320" s="1044"/>
      <c r="I320" s="1043" t="s">
        <v>18</v>
      </c>
      <c r="J320" s="1044"/>
      <c r="K320" s="774"/>
      <c r="L320" s="1047" t="s">
        <v>19</v>
      </c>
      <c r="M320" s="617"/>
    </row>
    <row r="321" spans="1:12" ht="20.100000000000001" customHeight="1">
      <c r="A321" s="756" t="s">
        <v>20</v>
      </c>
      <c r="B321" s="757"/>
      <c r="C321" s="758"/>
      <c r="D321" s="758"/>
      <c r="E321" s="758"/>
      <c r="F321" s="758"/>
      <c r="G321" s="1045"/>
      <c r="H321" s="1046"/>
      <c r="I321" s="1045"/>
      <c r="J321" s="1046"/>
      <c r="K321" s="775"/>
      <c r="L321" s="1048"/>
    </row>
    <row r="322" spans="1:12" ht="18.95" customHeight="1">
      <c r="A322" s="1031" t="s">
        <v>204</v>
      </c>
      <c r="B322" s="1032"/>
      <c r="C322" s="1027" t="s">
        <v>21</v>
      </c>
      <c r="D322" s="1028"/>
      <c r="E322" s="1028"/>
      <c r="F322" s="1029"/>
      <c r="G322" s="673">
        <f>단위당인건비!E177</f>
        <v>1732380</v>
      </c>
      <c r="H322" s="674"/>
      <c r="I322" s="673"/>
      <c r="J322" s="674"/>
      <c r="K322" s="759"/>
      <c r="L322" s="809"/>
    </row>
    <row r="323" spans="1:12" ht="18.95" customHeight="1">
      <c r="A323" s="1033"/>
      <c r="B323" s="1034"/>
      <c r="C323" s="1037" t="s">
        <v>213</v>
      </c>
      <c r="D323" s="652"/>
      <c r="E323" s="691" t="s">
        <v>0</v>
      </c>
      <c r="F323" s="652"/>
      <c r="G323" s="673">
        <f>단위당인건비!E178</f>
        <v>431685</v>
      </c>
      <c r="H323" s="674"/>
      <c r="I323" s="673"/>
      <c r="J323" s="674"/>
      <c r="K323" s="759"/>
      <c r="L323" s="809"/>
    </row>
    <row r="324" spans="1:12" ht="18.95" customHeight="1">
      <c r="A324" s="1033"/>
      <c r="B324" s="1034"/>
      <c r="C324" s="1038"/>
      <c r="D324" s="652"/>
      <c r="E324" s="691" t="s">
        <v>209</v>
      </c>
      <c r="F324" s="760"/>
      <c r="G324" s="673">
        <f>단위당인건비!E179</f>
        <v>0</v>
      </c>
      <c r="H324" s="674"/>
      <c r="I324" s="673"/>
      <c r="J324" s="674"/>
      <c r="K324" s="759"/>
      <c r="L324" s="809"/>
    </row>
    <row r="325" spans="1:12" ht="18.95" customHeight="1">
      <c r="A325" s="1033"/>
      <c r="B325" s="1034"/>
      <c r="C325" s="1038"/>
      <c r="D325" s="652"/>
      <c r="E325" s="691" t="s">
        <v>4</v>
      </c>
      <c r="F325" s="760"/>
      <c r="G325" s="673">
        <f>단위당인건비!E180</f>
        <v>82888</v>
      </c>
      <c r="H325" s="674"/>
      <c r="I325" s="673"/>
      <c r="J325" s="674"/>
      <c r="K325" s="759"/>
      <c r="L325" s="809"/>
    </row>
    <row r="326" spans="1:12" ht="18.95" customHeight="1">
      <c r="A326" s="1033"/>
      <c r="B326" s="1034"/>
      <c r="C326" s="1038"/>
      <c r="D326" s="652"/>
      <c r="E326" s="691" t="s">
        <v>257</v>
      </c>
      <c r="F326" s="760"/>
      <c r="G326" s="673">
        <f>단위당인건비!E181</f>
        <v>0</v>
      </c>
      <c r="H326" s="674"/>
      <c r="I326" s="673"/>
      <c r="J326" s="674"/>
      <c r="K326" s="1049"/>
      <c r="L326" s="1050"/>
    </row>
    <row r="327" spans="1:12" ht="18.95" customHeight="1">
      <c r="A327" s="1033"/>
      <c r="B327" s="1034"/>
      <c r="C327" s="1039"/>
      <c r="D327" s="652"/>
      <c r="E327" s="761" t="s">
        <v>5</v>
      </c>
      <c r="F327" s="761"/>
      <c r="G327" s="673">
        <f>단위당인건비!E182</f>
        <v>514573</v>
      </c>
      <c r="H327" s="674"/>
      <c r="I327" s="762"/>
      <c r="J327" s="674"/>
      <c r="K327" s="816"/>
      <c r="L327" s="815"/>
    </row>
    <row r="328" spans="1:12" ht="18.95" customHeight="1">
      <c r="A328" s="1033"/>
      <c r="B328" s="1034"/>
      <c r="C328" s="1027" t="s">
        <v>24</v>
      </c>
      <c r="D328" s="1028"/>
      <c r="E328" s="1028"/>
      <c r="F328" s="1029"/>
      <c r="G328" s="825">
        <f>단위당인건비!E183</f>
        <v>577460</v>
      </c>
      <c r="H328" s="674"/>
      <c r="I328" s="762"/>
      <c r="J328" s="674"/>
      <c r="K328" s="816"/>
      <c r="L328" s="815"/>
    </row>
    <row r="329" spans="1:12" ht="18.95" customHeight="1">
      <c r="A329" s="1033"/>
      <c r="B329" s="1034"/>
      <c r="C329" s="1027" t="s">
        <v>25</v>
      </c>
      <c r="D329" s="1028"/>
      <c r="E329" s="1028"/>
      <c r="F329" s="1029"/>
      <c r="G329" s="673">
        <f>단위당인건비!E184</f>
        <v>235367</v>
      </c>
      <c r="H329" s="674"/>
      <c r="I329" s="762"/>
      <c r="J329" s="674"/>
      <c r="K329" s="816"/>
      <c r="L329" s="815"/>
    </row>
    <row r="330" spans="1:12" ht="18.95" customHeight="1">
      <c r="A330" s="1035"/>
      <c r="B330" s="1036"/>
      <c r="C330" s="1027" t="s">
        <v>14</v>
      </c>
      <c r="D330" s="1028"/>
      <c r="E330" s="1028"/>
      <c r="F330" s="1029"/>
      <c r="G330" s="864">
        <f>단위당인건비!E185</f>
        <v>3059780</v>
      </c>
      <c r="H330" s="863"/>
      <c r="I330" s="862">
        <f>TRUNC(G330/$G$348*100,2)</f>
        <v>82.26</v>
      </c>
      <c r="J330" s="863"/>
      <c r="K330" s="861"/>
      <c r="L330" s="860" t="str">
        <f>단위당인건비!$A$1&amp;"참조"</f>
        <v>&lt; 표 : 4 &gt; 참조</v>
      </c>
    </row>
    <row r="331" spans="1:12" ht="18.95" customHeight="1">
      <c r="A331" s="1031" t="s">
        <v>212</v>
      </c>
      <c r="B331" s="1032"/>
      <c r="C331" s="1037" t="s">
        <v>3</v>
      </c>
      <c r="D331" s="652"/>
      <c r="E331" s="691" t="s">
        <v>27</v>
      </c>
      <c r="F331" s="691"/>
      <c r="G331" s="896">
        <f>경비집계표!F55</f>
        <v>53663</v>
      </c>
      <c r="H331" s="674"/>
      <c r="I331" s="673"/>
      <c r="J331" s="674"/>
      <c r="K331" s="759"/>
      <c r="L331" s="810"/>
    </row>
    <row r="332" spans="1:12" ht="18.95" customHeight="1">
      <c r="A332" s="1033"/>
      <c r="B332" s="1034"/>
      <c r="C332" s="1038"/>
      <c r="D332" s="652"/>
      <c r="E332" s="691" t="s">
        <v>28</v>
      </c>
      <c r="F332" s="691"/>
      <c r="G332" s="673">
        <f>경비집계표!F56</f>
        <v>127098</v>
      </c>
      <c r="H332" s="674"/>
      <c r="I332" s="673"/>
      <c r="J332" s="674"/>
      <c r="K332" s="759"/>
      <c r="L332" s="810"/>
    </row>
    <row r="333" spans="1:12" ht="18.95" customHeight="1">
      <c r="A333" s="1033"/>
      <c r="B333" s="1034"/>
      <c r="C333" s="1038"/>
      <c r="D333" s="652"/>
      <c r="E333" s="691" t="s">
        <v>29</v>
      </c>
      <c r="F333" s="691"/>
      <c r="G333" s="673">
        <f>경비집계표!F57</f>
        <v>25419</v>
      </c>
      <c r="H333" s="674"/>
      <c r="I333" s="673"/>
      <c r="J333" s="674"/>
      <c r="K333" s="759"/>
      <c r="L333" s="810"/>
    </row>
    <row r="334" spans="1:12" ht="18.95" customHeight="1">
      <c r="A334" s="1033"/>
      <c r="B334" s="1034"/>
      <c r="C334" s="1038"/>
      <c r="D334" s="652"/>
      <c r="E334" s="691" t="s">
        <v>30</v>
      </c>
      <c r="F334" s="691"/>
      <c r="G334" s="896">
        <f>경비집계표!F58</f>
        <v>86427</v>
      </c>
      <c r="H334" s="674"/>
      <c r="I334" s="673"/>
      <c r="J334" s="674"/>
      <c r="K334" s="759"/>
      <c r="L334" s="810"/>
    </row>
    <row r="335" spans="1:12" ht="18.95" customHeight="1">
      <c r="A335" s="1033"/>
      <c r="B335" s="1034"/>
      <c r="C335" s="1038"/>
      <c r="D335" s="652"/>
      <c r="E335" s="719" t="s">
        <v>237</v>
      </c>
      <c r="F335" s="691"/>
      <c r="G335" s="896">
        <f>경비집계표!F59</f>
        <v>5660</v>
      </c>
      <c r="H335" s="674"/>
      <c r="I335" s="673"/>
      <c r="J335" s="674"/>
      <c r="K335" s="759"/>
      <c r="L335" s="810"/>
    </row>
    <row r="336" spans="1:12" ht="18.95" customHeight="1">
      <c r="A336" s="1033"/>
      <c r="B336" s="1034"/>
      <c r="C336" s="1038"/>
      <c r="D336" s="652"/>
      <c r="E336" s="691" t="s">
        <v>31</v>
      </c>
      <c r="F336" s="691"/>
      <c r="G336" s="896">
        <f>경비집계표!F60</f>
        <v>1694</v>
      </c>
      <c r="H336" s="674"/>
      <c r="I336" s="673"/>
      <c r="J336" s="674"/>
      <c r="K336" s="759"/>
      <c r="L336" s="810"/>
    </row>
    <row r="337" spans="1:13" ht="18.95" customHeight="1">
      <c r="A337" s="1033"/>
      <c r="B337" s="1034"/>
      <c r="C337" s="1039"/>
      <c r="D337" s="652"/>
      <c r="E337" s="761" t="s">
        <v>5</v>
      </c>
      <c r="F337" s="691"/>
      <c r="G337" s="896">
        <f>경비집계표!F61</f>
        <v>299961</v>
      </c>
      <c r="H337" s="674"/>
      <c r="I337" s="673"/>
      <c r="J337" s="674"/>
      <c r="K337" s="759"/>
      <c r="L337" s="810"/>
    </row>
    <row r="338" spans="1:13" ht="18.95" customHeight="1">
      <c r="A338" s="1033"/>
      <c r="B338" s="1034"/>
      <c r="C338" s="1040" t="s">
        <v>303</v>
      </c>
      <c r="D338" s="652"/>
      <c r="E338" s="691" t="s">
        <v>32</v>
      </c>
      <c r="F338" s="691"/>
      <c r="G338" s="673">
        <f>경비집계표!F62</f>
        <v>0</v>
      </c>
      <c r="H338" s="674"/>
      <c r="I338" s="673"/>
      <c r="J338" s="674"/>
      <c r="K338" s="759"/>
      <c r="L338" s="810"/>
    </row>
    <row r="339" spans="1:13" ht="18.95" customHeight="1">
      <c r="A339" s="1033"/>
      <c r="B339" s="1034"/>
      <c r="C339" s="1041"/>
      <c r="D339" s="652"/>
      <c r="E339" s="691" t="s">
        <v>465</v>
      </c>
      <c r="F339" s="691"/>
      <c r="G339" s="673">
        <f>경비집계표!F63</f>
        <v>0</v>
      </c>
      <c r="H339" s="674"/>
      <c r="I339" s="673"/>
      <c r="J339" s="674"/>
      <c r="K339" s="759"/>
      <c r="L339" s="810"/>
    </row>
    <row r="340" spans="1:13" ht="18.95" customHeight="1">
      <c r="A340" s="1033"/>
      <c r="B340" s="1034"/>
      <c r="C340" s="1041"/>
      <c r="D340" s="652"/>
      <c r="E340" s="691" t="s">
        <v>462</v>
      </c>
      <c r="F340" s="691"/>
      <c r="G340" s="673">
        <f>경비집계표!F64</f>
        <v>0</v>
      </c>
      <c r="H340" s="674"/>
      <c r="I340" s="673"/>
      <c r="J340" s="674"/>
      <c r="K340" s="759"/>
      <c r="L340" s="810"/>
    </row>
    <row r="341" spans="1:13" ht="18.95" customHeight="1">
      <c r="A341" s="1033"/>
      <c r="B341" s="1034"/>
      <c r="C341" s="1042"/>
      <c r="D341" s="652"/>
      <c r="E341" s="761" t="s">
        <v>5</v>
      </c>
      <c r="F341" s="691"/>
      <c r="G341" s="673">
        <f>경비집계표!F65</f>
        <v>0</v>
      </c>
      <c r="H341" s="674"/>
      <c r="I341" s="673"/>
      <c r="J341" s="674"/>
      <c r="K341" s="759"/>
      <c r="L341" s="810"/>
    </row>
    <row r="342" spans="1:13" ht="18.95" customHeight="1">
      <c r="A342" s="1033"/>
      <c r="B342" s="1034"/>
      <c r="C342" s="1037" t="s">
        <v>260</v>
      </c>
      <c r="D342" s="652"/>
      <c r="E342" s="691" t="s">
        <v>262</v>
      </c>
      <c r="F342" s="691"/>
      <c r="G342" s="673">
        <f>경비집계표!F66</f>
        <v>14122</v>
      </c>
      <c r="H342" s="674"/>
      <c r="I342" s="673"/>
      <c r="J342" s="674"/>
      <c r="K342" s="759"/>
      <c r="L342" s="810"/>
    </row>
    <row r="343" spans="1:13" ht="18.95" customHeight="1">
      <c r="A343" s="1033"/>
      <c r="B343" s="1034"/>
      <c r="C343" s="1039"/>
      <c r="D343" s="652"/>
      <c r="E343" s="691" t="s">
        <v>261</v>
      </c>
      <c r="F343" s="691"/>
      <c r="G343" s="673">
        <f>경비집계표!F67</f>
        <v>0</v>
      </c>
      <c r="H343" s="674"/>
      <c r="I343" s="673"/>
      <c r="J343" s="674"/>
      <c r="K343" s="759"/>
      <c r="L343" s="810"/>
    </row>
    <row r="344" spans="1:13" ht="18.95" customHeight="1">
      <c r="A344" s="1035"/>
      <c r="B344" s="1036"/>
      <c r="C344" s="1027" t="s">
        <v>14</v>
      </c>
      <c r="D344" s="1028"/>
      <c r="E344" s="1028"/>
      <c r="F344" s="1029"/>
      <c r="G344" s="896">
        <f>경비집계표!F68</f>
        <v>314083</v>
      </c>
      <c r="H344" s="674"/>
      <c r="I344" s="763">
        <f>TRUNC(G344/$G$348*100,2)</f>
        <v>8.44</v>
      </c>
      <c r="J344" s="674"/>
      <c r="K344" s="759"/>
      <c r="L344" s="810" t="str">
        <f>경비집계표!$A$1&amp;"참조"</f>
        <v>&lt; 표 : 11 &gt; 참조</v>
      </c>
    </row>
    <row r="345" spans="1:13" ht="18.95" customHeight="1">
      <c r="A345" s="765"/>
      <c r="B345" s="1010" t="s">
        <v>182</v>
      </c>
      <c r="C345" s="1010"/>
      <c r="D345" s="1010"/>
      <c r="E345" s="1010"/>
      <c r="F345" s="766"/>
      <c r="G345" s="896">
        <f>SUM(G330,G344)</f>
        <v>3373863</v>
      </c>
      <c r="H345" s="674"/>
      <c r="I345" s="763">
        <f>TRUNC(G345/$G$348*100,2)</f>
        <v>90.71</v>
      </c>
      <c r="J345" s="674"/>
      <c r="K345" s="759"/>
      <c r="L345" s="810" t="s">
        <v>281</v>
      </c>
    </row>
    <row r="346" spans="1:13" ht="18.95" customHeight="1">
      <c r="A346" s="767"/>
      <c r="B346" s="1009" t="s">
        <v>631</v>
      </c>
      <c r="C346" s="1010"/>
      <c r="D346" s="1010"/>
      <c r="E346" s="1010"/>
      <c r="F346" s="768"/>
      <c r="G346" s="896">
        <f>TRUNC(G345*4%,0)</f>
        <v>134954</v>
      </c>
      <c r="H346" s="674"/>
      <c r="I346" s="763">
        <f>TRUNC(G346/$G$348*100,2)</f>
        <v>3.62</v>
      </c>
      <c r="J346" s="674"/>
      <c r="K346" s="759"/>
      <c r="L346" s="817" t="s">
        <v>630</v>
      </c>
    </row>
    <row r="347" spans="1:13" ht="18.95" customHeight="1">
      <c r="A347" s="767"/>
      <c r="B347" s="1009" t="s">
        <v>556</v>
      </c>
      <c r="C347" s="1010"/>
      <c r="D347" s="1010"/>
      <c r="E347" s="1010"/>
      <c r="F347" s="768"/>
      <c r="G347" s="896">
        <f>TRUNC(SUM(G330,G344,G346)*6%,0)</f>
        <v>210529</v>
      </c>
      <c r="H347" s="674"/>
      <c r="I347" s="763">
        <f>TRUNC(G347/$G$348*100,2)</f>
        <v>5.66</v>
      </c>
      <c r="J347" s="674"/>
      <c r="K347" s="759"/>
      <c r="L347" s="817" t="s">
        <v>558</v>
      </c>
      <c r="M347" s="769"/>
    </row>
    <row r="348" spans="1:13" ht="18.95" customHeight="1">
      <c r="A348" s="767"/>
      <c r="B348" s="1010" t="s">
        <v>294</v>
      </c>
      <c r="C348" s="1010"/>
      <c r="D348" s="1010"/>
      <c r="E348" s="1010"/>
      <c r="F348" s="768"/>
      <c r="G348" s="896">
        <f>SUM(G345:G347)</f>
        <v>3719346</v>
      </c>
      <c r="H348" s="674"/>
      <c r="I348" s="763">
        <f>TRUNC(G348/$G$348*100,2)</f>
        <v>100</v>
      </c>
      <c r="J348" s="674"/>
      <c r="K348" s="759"/>
      <c r="L348" s="810" t="s">
        <v>271</v>
      </c>
    </row>
    <row r="349" spans="1:13" ht="18.95" customHeight="1">
      <c r="A349" s="767"/>
      <c r="B349" s="1030" t="s">
        <v>298</v>
      </c>
      <c r="C349" s="1030"/>
      <c r="D349" s="1030"/>
      <c r="E349" s="1030"/>
      <c r="F349" s="768"/>
      <c r="G349" s="896">
        <f>TRUNC(G348*10%)</f>
        <v>371934</v>
      </c>
      <c r="H349" s="771"/>
      <c r="I349" s="772"/>
      <c r="J349" s="771"/>
      <c r="K349" s="773"/>
      <c r="L349" s="811" t="s">
        <v>300</v>
      </c>
    </row>
    <row r="350" spans="1:13" ht="18.95" customHeight="1">
      <c r="A350" s="767"/>
      <c r="B350" s="1030" t="s">
        <v>299</v>
      </c>
      <c r="C350" s="1030"/>
      <c r="D350" s="1030"/>
      <c r="E350" s="1030"/>
      <c r="F350" s="768"/>
      <c r="G350" s="896">
        <f>SUM(G348:G349)</f>
        <v>4091280</v>
      </c>
      <c r="H350" s="771"/>
      <c r="I350" s="772"/>
      <c r="J350" s="771"/>
      <c r="K350" s="773"/>
      <c r="L350" s="811" t="s">
        <v>301</v>
      </c>
    </row>
    <row r="351" spans="1:13" ht="20.100000000000001" customHeight="1">
      <c r="A351" s="739"/>
      <c r="B351" s="739"/>
      <c r="C351" s="739"/>
      <c r="D351" s="739"/>
      <c r="E351" s="614"/>
      <c r="F351" s="614"/>
      <c r="G351" s="614"/>
      <c r="I351" s="688"/>
      <c r="L351" s="805"/>
      <c r="M351" s="688"/>
    </row>
    <row r="352" spans="1:13" s="617" customFormat="1" ht="39.950000000000003" customHeight="1">
      <c r="A352" s="615" t="s">
        <v>475</v>
      </c>
      <c r="B352" s="616"/>
      <c r="C352" s="741"/>
      <c r="D352" s="741"/>
      <c r="E352" s="740"/>
      <c r="F352" s="740"/>
      <c r="G352" s="745"/>
      <c r="H352" s="742"/>
      <c r="I352" s="746"/>
      <c r="J352" s="743"/>
      <c r="K352" s="746"/>
      <c r="L352" s="806"/>
    </row>
    <row r="353" spans="1:13" ht="20.100000000000001" customHeight="1">
      <c r="A353" s="747"/>
      <c r="B353" s="748"/>
      <c r="C353" s="747"/>
      <c r="D353" s="747"/>
      <c r="E353" s="748"/>
      <c r="F353" s="748"/>
      <c r="G353" s="749"/>
      <c r="H353" s="750"/>
      <c r="I353" s="751"/>
      <c r="J353" s="752"/>
      <c r="K353" s="751"/>
      <c r="L353" s="807"/>
      <c r="M353" s="617"/>
    </row>
    <row r="354" spans="1:13" ht="20.100000000000001" customHeight="1">
      <c r="A354" s="654" t="str">
        <f>"구 분 : "&amp;월기본급!B19&amp;"                       직종명 : "&amp;월기본급!F19&amp;""</f>
        <v>구 분 : 사무보조원                       직종명 : 단순노무종사원</v>
      </c>
      <c r="B354" s="610"/>
      <c r="C354" s="654"/>
      <c r="D354" s="654"/>
      <c r="G354" s="685"/>
      <c r="H354" s="685"/>
      <c r="I354" s="685"/>
      <c r="L354" s="808" t="s">
        <v>15</v>
      </c>
      <c r="M354" s="617"/>
    </row>
    <row r="355" spans="1:13" ht="20.100000000000001" customHeight="1">
      <c r="A355" s="753"/>
      <c r="B355" s="754"/>
      <c r="C355" s="754"/>
      <c r="D355" s="754"/>
      <c r="E355" s="755" t="s">
        <v>16</v>
      </c>
      <c r="F355" s="755"/>
      <c r="G355" s="1043" t="s">
        <v>17</v>
      </c>
      <c r="H355" s="1044"/>
      <c r="I355" s="1043" t="s">
        <v>18</v>
      </c>
      <c r="J355" s="1044"/>
      <c r="K355" s="774"/>
      <c r="L355" s="1047" t="s">
        <v>19</v>
      </c>
      <c r="M355" s="617"/>
    </row>
    <row r="356" spans="1:13" ht="20.100000000000001" customHeight="1">
      <c r="A356" s="756" t="s">
        <v>20</v>
      </c>
      <c r="B356" s="757"/>
      <c r="C356" s="758"/>
      <c r="D356" s="758"/>
      <c r="E356" s="758"/>
      <c r="F356" s="758"/>
      <c r="G356" s="1045"/>
      <c r="H356" s="1046"/>
      <c r="I356" s="1045"/>
      <c r="J356" s="1046"/>
      <c r="K356" s="775"/>
      <c r="L356" s="1048"/>
    </row>
    <row r="357" spans="1:13" ht="18.95" customHeight="1">
      <c r="A357" s="1031" t="s">
        <v>204</v>
      </c>
      <c r="B357" s="1032"/>
      <c r="C357" s="1027" t="s">
        <v>21</v>
      </c>
      <c r="D357" s="1028"/>
      <c r="E357" s="1028"/>
      <c r="F357" s="1029"/>
      <c r="G357" s="673">
        <f>단위당인건비!E196</f>
        <v>1732380</v>
      </c>
      <c r="H357" s="674"/>
      <c r="I357" s="673"/>
      <c r="J357" s="674"/>
      <c r="K357" s="759"/>
      <c r="L357" s="809"/>
    </row>
    <row r="358" spans="1:13" ht="18.95" customHeight="1">
      <c r="A358" s="1033"/>
      <c r="B358" s="1034"/>
      <c r="C358" s="1037" t="s">
        <v>213</v>
      </c>
      <c r="D358" s="652"/>
      <c r="E358" s="691" t="s">
        <v>0</v>
      </c>
      <c r="F358" s="652"/>
      <c r="G358" s="673">
        <f>단위당인건비!E197</f>
        <v>431685</v>
      </c>
      <c r="H358" s="674"/>
      <c r="I358" s="673"/>
      <c r="J358" s="674"/>
      <c r="K358" s="759"/>
      <c r="L358" s="809"/>
    </row>
    <row r="359" spans="1:13" ht="18.95" customHeight="1">
      <c r="A359" s="1033"/>
      <c r="B359" s="1034"/>
      <c r="C359" s="1038"/>
      <c r="D359" s="652"/>
      <c r="E359" s="691" t="s">
        <v>209</v>
      </c>
      <c r="F359" s="760"/>
      <c r="G359" s="673">
        <f>단위당인건비!E198</f>
        <v>99466</v>
      </c>
      <c r="H359" s="674"/>
      <c r="I359" s="673"/>
      <c r="J359" s="674"/>
      <c r="K359" s="759"/>
      <c r="L359" s="809"/>
    </row>
    <row r="360" spans="1:13" ht="18.95" customHeight="1">
      <c r="A360" s="1033"/>
      <c r="B360" s="1034"/>
      <c r="C360" s="1038"/>
      <c r="D360" s="652"/>
      <c r="E360" s="691" t="s">
        <v>4</v>
      </c>
      <c r="F360" s="760"/>
      <c r="G360" s="673">
        <f>단위당인건비!E199</f>
        <v>82888</v>
      </c>
      <c r="H360" s="674"/>
      <c r="I360" s="673"/>
      <c r="J360" s="674"/>
      <c r="K360" s="759"/>
      <c r="L360" s="809"/>
    </row>
    <row r="361" spans="1:13" ht="18.95" customHeight="1">
      <c r="A361" s="1033"/>
      <c r="B361" s="1034"/>
      <c r="C361" s="1038"/>
      <c r="D361" s="652"/>
      <c r="E361" s="691" t="s">
        <v>257</v>
      </c>
      <c r="F361" s="760"/>
      <c r="G361" s="673">
        <f>단위당인건비!E200</f>
        <v>0</v>
      </c>
      <c r="H361" s="674"/>
      <c r="I361" s="673"/>
      <c r="J361" s="674"/>
      <c r="K361" s="759"/>
      <c r="L361" s="809"/>
    </row>
    <row r="362" spans="1:13" ht="18.95" customHeight="1">
      <c r="A362" s="1033"/>
      <c r="B362" s="1034"/>
      <c r="C362" s="1039"/>
      <c r="D362" s="652"/>
      <c r="E362" s="761" t="s">
        <v>5</v>
      </c>
      <c r="F362" s="761"/>
      <c r="G362" s="673">
        <f>단위당인건비!E201</f>
        <v>614039</v>
      </c>
      <c r="H362" s="674"/>
      <c r="I362" s="762"/>
      <c r="J362" s="674"/>
      <c r="K362" s="759"/>
      <c r="L362" s="810"/>
    </row>
    <row r="363" spans="1:13" ht="18.95" customHeight="1">
      <c r="A363" s="1033"/>
      <c r="B363" s="1034"/>
      <c r="C363" s="1027" t="s">
        <v>24</v>
      </c>
      <c r="D363" s="1028"/>
      <c r="E363" s="1028"/>
      <c r="F363" s="1029"/>
      <c r="G363" s="825">
        <f>단위당인건비!E202</f>
        <v>577460</v>
      </c>
      <c r="H363" s="674"/>
      <c r="I363" s="762"/>
      <c r="J363" s="674"/>
      <c r="K363" s="759"/>
      <c r="L363" s="815"/>
    </row>
    <row r="364" spans="1:13" ht="18.95" customHeight="1">
      <c r="A364" s="1033"/>
      <c r="B364" s="1034"/>
      <c r="C364" s="1027" t="s">
        <v>25</v>
      </c>
      <c r="D364" s="1028"/>
      <c r="E364" s="1028"/>
      <c r="F364" s="1029"/>
      <c r="G364" s="673">
        <f>단위당인건비!E203</f>
        <v>243656</v>
      </c>
      <c r="H364" s="674"/>
      <c r="I364" s="762"/>
      <c r="J364" s="674"/>
      <c r="K364" s="759"/>
      <c r="L364" s="815"/>
    </row>
    <row r="365" spans="1:13" ht="18.95" customHeight="1">
      <c r="A365" s="1035"/>
      <c r="B365" s="1036"/>
      <c r="C365" s="1027" t="s">
        <v>14</v>
      </c>
      <c r="D365" s="1028"/>
      <c r="E365" s="1028"/>
      <c r="F365" s="1029"/>
      <c r="G365" s="673">
        <f>단위당인건비!E204</f>
        <v>3167535</v>
      </c>
      <c r="H365" s="674"/>
      <c r="I365" s="763">
        <f>TRUNC(G365/$G$383*100,2)</f>
        <v>82.26</v>
      </c>
      <c r="J365" s="674"/>
      <c r="K365" s="759"/>
      <c r="L365" s="810" t="str">
        <f>단위당인건비!$A$1&amp;"참조"</f>
        <v>&lt; 표 : 4 &gt; 참조</v>
      </c>
    </row>
    <row r="366" spans="1:13" ht="18.95" customHeight="1">
      <c r="A366" s="1031" t="s">
        <v>212</v>
      </c>
      <c r="B366" s="1032"/>
      <c r="C366" s="1037" t="s">
        <v>3</v>
      </c>
      <c r="D366" s="652"/>
      <c r="E366" s="691" t="s">
        <v>27</v>
      </c>
      <c r="F366" s="691"/>
      <c r="G366" s="896">
        <f>경비집계표!G55</f>
        <v>55553</v>
      </c>
      <c r="H366" s="674"/>
      <c r="I366" s="673"/>
      <c r="J366" s="674"/>
      <c r="K366" s="759"/>
      <c r="L366" s="810"/>
    </row>
    <row r="367" spans="1:13" ht="18.95" customHeight="1">
      <c r="A367" s="1033"/>
      <c r="B367" s="1034"/>
      <c r="C367" s="1038"/>
      <c r="D367" s="652"/>
      <c r="E367" s="691" t="s">
        <v>28</v>
      </c>
      <c r="F367" s="691"/>
      <c r="G367" s="673">
        <f>경비집계표!G56</f>
        <v>131574</v>
      </c>
      <c r="H367" s="674"/>
      <c r="I367" s="673"/>
      <c r="J367" s="674"/>
      <c r="K367" s="759"/>
      <c r="L367" s="810"/>
    </row>
    <row r="368" spans="1:13" ht="18.95" customHeight="1">
      <c r="A368" s="1033"/>
      <c r="B368" s="1034"/>
      <c r="C368" s="1038"/>
      <c r="D368" s="652"/>
      <c r="E368" s="691" t="s">
        <v>29</v>
      </c>
      <c r="F368" s="691"/>
      <c r="G368" s="673">
        <f>경비집계표!G57</f>
        <v>26314</v>
      </c>
      <c r="H368" s="674"/>
      <c r="I368" s="673"/>
      <c r="J368" s="674"/>
      <c r="K368" s="759"/>
      <c r="L368" s="810"/>
    </row>
    <row r="369" spans="1:13" ht="18.95" customHeight="1">
      <c r="A369" s="1033"/>
      <c r="B369" s="1034"/>
      <c r="C369" s="1038"/>
      <c r="D369" s="652"/>
      <c r="E369" s="691" t="s">
        <v>30</v>
      </c>
      <c r="F369" s="691"/>
      <c r="G369" s="896">
        <f>경비집계표!G58</f>
        <v>89470</v>
      </c>
      <c r="H369" s="674"/>
      <c r="I369" s="673"/>
      <c r="J369" s="674"/>
      <c r="K369" s="759"/>
      <c r="L369" s="810"/>
    </row>
    <row r="370" spans="1:13" ht="18.95" customHeight="1">
      <c r="A370" s="1033"/>
      <c r="B370" s="1034"/>
      <c r="C370" s="1038"/>
      <c r="D370" s="652"/>
      <c r="E370" s="719" t="s">
        <v>237</v>
      </c>
      <c r="F370" s="691"/>
      <c r="G370" s="896">
        <f>경비집계표!G59</f>
        <v>5860</v>
      </c>
      <c r="H370" s="674"/>
      <c r="I370" s="673"/>
      <c r="J370" s="674"/>
      <c r="K370" s="759"/>
      <c r="L370" s="810"/>
    </row>
    <row r="371" spans="1:13" ht="18.95" customHeight="1">
      <c r="A371" s="1033"/>
      <c r="B371" s="1034"/>
      <c r="C371" s="1038"/>
      <c r="D371" s="652"/>
      <c r="E371" s="691" t="s">
        <v>31</v>
      </c>
      <c r="F371" s="691"/>
      <c r="G371" s="896">
        <f>경비집계표!G60</f>
        <v>1754</v>
      </c>
      <c r="H371" s="674"/>
      <c r="I371" s="673"/>
      <c r="J371" s="674"/>
      <c r="K371" s="759"/>
      <c r="L371" s="810"/>
    </row>
    <row r="372" spans="1:13" ht="18.95" customHeight="1">
      <c r="A372" s="1033"/>
      <c r="B372" s="1034"/>
      <c r="C372" s="1039"/>
      <c r="D372" s="652"/>
      <c r="E372" s="761" t="s">
        <v>5</v>
      </c>
      <c r="F372" s="691"/>
      <c r="G372" s="896">
        <f>경비집계표!G61</f>
        <v>310525</v>
      </c>
      <c r="H372" s="674"/>
      <c r="I372" s="673"/>
      <c r="J372" s="674"/>
      <c r="K372" s="759"/>
      <c r="L372" s="810"/>
    </row>
    <row r="373" spans="1:13" ht="18.95" customHeight="1">
      <c r="A373" s="1033"/>
      <c r="B373" s="1034"/>
      <c r="C373" s="1040" t="s">
        <v>303</v>
      </c>
      <c r="D373" s="652"/>
      <c r="E373" s="691" t="s">
        <v>32</v>
      </c>
      <c r="F373" s="691"/>
      <c r="G373" s="673">
        <f>경비집계표!G62</f>
        <v>0</v>
      </c>
      <c r="H373" s="674"/>
      <c r="I373" s="673"/>
      <c r="J373" s="674"/>
      <c r="K373" s="759"/>
      <c r="L373" s="810"/>
    </row>
    <row r="374" spans="1:13" ht="18.95" customHeight="1">
      <c r="A374" s="1033"/>
      <c r="B374" s="1034"/>
      <c r="C374" s="1041"/>
      <c r="D374" s="652"/>
      <c r="E374" s="691" t="s">
        <v>465</v>
      </c>
      <c r="F374" s="691"/>
      <c r="G374" s="673">
        <f>경비집계표!G63</f>
        <v>0</v>
      </c>
      <c r="H374" s="674"/>
      <c r="I374" s="673"/>
      <c r="J374" s="674"/>
      <c r="K374" s="759"/>
      <c r="L374" s="810"/>
    </row>
    <row r="375" spans="1:13" ht="18.95" customHeight="1">
      <c r="A375" s="1033"/>
      <c r="B375" s="1034"/>
      <c r="C375" s="1041"/>
      <c r="D375" s="652"/>
      <c r="E375" s="691" t="s">
        <v>462</v>
      </c>
      <c r="F375" s="691"/>
      <c r="G375" s="673">
        <f>경비집계표!G64</f>
        <v>0</v>
      </c>
      <c r="H375" s="674"/>
      <c r="I375" s="673"/>
      <c r="J375" s="674"/>
      <c r="K375" s="759"/>
      <c r="L375" s="810"/>
    </row>
    <row r="376" spans="1:13" ht="18.95" customHeight="1">
      <c r="A376" s="1033"/>
      <c r="B376" s="1034"/>
      <c r="C376" s="1042"/>
      <c r="D376" s="652"/>
      <c r="E376" s="761" t="s">
        <v>5</v>
      </c>
      <c r="F376" s="691"/>
      <c r="G376" s="673">
        <f>경비집계표!G65</f>
        <v>0</v>
      </c>
      <c r="H376" s="674"/>
      <c r="I376" s="673"/>
      <c r="J376" s="674"/>
      <c r="K376" s="759"/>
      <c r="L376" s="810"/>
    </row>
    <row r="377" spans="1:13" ht="18.95" customHeight="1">
      <c r="A377" s="1033"/>
      <c r="B377" s="1034"/>
      <c r="C377" s="1037" t="s">
        <v>260</v>
      </c>
      <c r="D377" s="652"/>
      <c r="E377" s="691" t="s">
        <v>262</v>
      </c>
      <c r="F377" s="691"/>
      <c r="G377" s="673">
        <f>경비집계표!G66</f>
        <v>14619</v>
      </c>
      <c r="H377" s="674"/>
      <c r="I377" s="673"/>
      <c r="J377" s="674"/>
      <c r="K377" s="759"/>
      <c r="L377" s="810"/>
    </row>
    <row r="378" spans="1:13" ht="18.95" customHeight="1">
      <c r="A378" s="1033"/>
      <c r="B378" s="1034"/>
      <c r="C378" s="1039"/>
      <c r="D378" s="652"/>
      <c r="E378" s="691" t="s">
        <v>261</v>
      </c>
      <c r="F378" s="691"/>
      <c r="G378" s="673">
        <f>경비집계표!G67</f>
        <v>0</v>
      </c>
      <c r="H378" s="674"/>
      <c r="I378" s="673"/>
      <c r="J378" s="674"/>
      <c r="K378" s="759"/>
      <c r="L378" s="810"/>
    </row>
    <row r="379" spans="1:13" ht="18.95" customHeight="1">
      <c r="A379" s="1035"/>
      <c r="B379" s="1036"/>
      <c r="C379" s="1027" t="s">
        <v>14</v>
      </c>
      <c r="D379" s="1028"/>
      <c r="E379" s="1028"/>
      <c r="F379" s="1029"/>
      <c r="G379" s="896">
        <f>경비집계표!G68</f>
        <v>325144</v>
      </c>
      <c r="H379" s="674"/>
      <c r="I379" s="763">
        <f>TRUNC(G379/$G$383*100,2)</f>
        <v>8.44</v>
      </c>
      <c r="J379" s="674"/>
      <c r="K379" s="759"/>
      <c r="L379" s="810" t="str">
        <f>경비집계표!$A$1&amp;"참조"</f>
        <v>&lt; 표 : 11 &gt; 참조</v>
      </c>
    </row>
    <row r="380" spans="1:13" ht="18.95" customHeight="1">
      <c r="A380" s="765"/>
      <c r="B380" s="1010" t="s">
        <v>182</v>
      </c>
      <c r="C380" s="1010"/>
      <c r="D380" s="1010"/>
      <c r="E380" s="1010"/>
      <c r="F380" s="766"/>
      <c r="G380" s="896">
        <f>SUM(G365,G379)</f>
        <v>3492679</v>
      </c>
      <c r="H380" s="674"/>
      <c r="I380" s="763">
        <f>TRUNC(G380/$G$383*100,2)</f>
        <v>90.71</v>
      </c>
      <c r="J380" s="674"/>
      <c r="K380" s="759"/>
      <c r="L380" s="810" t="s">
        <v>550</v>
      </c>
    </row>
    <row r="381" spans="1:13" ht="18.95" customHeight="1">
      <c r="A381" s="767"/>
      <c r="B381" s="1009" t="s">
        <v>631</v>
      </c>
      <c r="C381" s="1010"/>
      <c r="D381" s="1010"/>
      <c r="E381" s="1010"/>
      <c r="F381" s="768"/>
      <c r="G381" s="896">
        <f>TRUNC(G380*4%,0)</f>
        <v>139707</v>
      </c>
      <c r="H381" s="674"/>
      <c r="I381" s="763">
        <f>TRUNC(G381/$G$383*100,2)</f>
        <v>3.62</v>
      </c>
      <c r="J381" s="674"/>
      <c r="K381" s="759"/>
      <c r="L381" s="817" t="s">
        <v>630</v>
      </c>
    </row>
    <row r="382" spans="1:13" ht="18.95" customHeight="1">
      <c r="A382" s="767"/>
      <c r="B382" s="1009" t="s">
        <v>556</v>
      </c>
      <c r="C382" s="1010"/>
      <c r="D382" s="1010"/>
      <c r="E382" s="1010"/>
      <c r="F382" s="768"/>
      <c r="G382" s="896">
        <f>TRUNC(SUM(G365,G379,G381)*6%,0)</f>
        <v>217943</v>
      </c>
      <c r="H382" s="674"/>
      <c r="I382" s="763">
        <f>TRUNC(G382/$G$383*100,2)</f>
        <v>5.66</v>
      </c>
      <c r="J382" s="674"/>
      <c r="K382" s="759"/>
      <c r="L382" s="817" t="s">
        <v>558</v>
      </c>
      <c r="M382" s="769"/>
    </row>
    <row r="383" spans="1:13" ht="18.95" customHeight="1">
      <c r="A383" s="767"/>
      <c r="B383" s="1010" t="s">
        <v>294</v>
      </c>
      <c r="C383" s="1010"/>
      <c r="D383" s="1010"/>
      <c r="E383" s="1010"/>
      <c r="F383" s="768"/>
      <c r="G383" s="896">
        <f>SUM(G380:G382)</f>
        <v>3850329</v>
      </c>
      <c r="H383" s="674"/>
      <c r="I383" s="763">
        <f>TRUNC(G383/$G$383*100,2)</f>
        <v>100</v>
      </c>
      <c r="J383" s="674"/>
      <c r="K383" s="759"/>
      <c r="L383" s="810" t="s">
        <v>271</v>
      </c>
    </row>
    <row r="384" spans="1:13" ht="18.95" customHeight="1">
      <c r="A384" s="767"/>
      <c r="B384" s="1030" t="s">
        <v>298</v>
      </c>
      <c r="C384" s="1030"/>
      <c r="D384" s="1030"/>
      <c r="E384" s="1030"/>
      <c r="F384" s="768"/>
      <c r="G384" s="896">
        <f>TRUNC(G383*10%)</f>
        <v>385032</v>
      </c>
      <c r="H384" s="771"/>
      <c r="I384" s="772"/>
      <c r="J384" s="771"/>
      <c r="K384" s="773"/>
      <c r="L384" s="811" t="s">
        <v>300</v>
      </c>
    </row>
    <row r="385" spans="1:12" ht="18.95" customHeight="1">
      <c r="A385" s="767"/>
      <c r="B385" s="1030" t="s">
        <v>299</v>
      </c>
      <c r="C385" s="1030"/>
      <c r="D385" s="1030"/>
      <c r="E385" s="1030"/>
      <c r="F385" s="768"/>
      <c r="G385" s="896">
        <f>SUM(G383:G384)</f>
        <v>4235361</v>
      </c>
      <c r="H385" s="771"/>
      <c r="I385" s="772"/>
      <c r="J385" s="771"/>
      <c r="K385" s="773"/>
      <c r="L385" s="811" t="s">
        <v>301</v>
      </c>
    </row>
  </sheetData>
  <mergeCells count="221">
    <mergeCell ref="B208:E208"/>
    <mergeCell ref="B207:E207"/>
    <mergeCell ref="B206:E206"/>
    <mergeCell ref="B205:E205"/>
    <mergeCell ref="C204:F204"/>
    <mergeCell ref="C198:C201"/>
    <mergeCell ref="C191:C197"/>
    <mergeCell ref="A191:B204"/>
    <mergeCell ref="C169:F169"/>
    <mergeCell ref="B174:E174"/>
    <mergeCell ref="B175:E175"/>
    <mergeCell ref="B170:E170"/>
    <mergeCell ref="B171:E171"/>
    <mergeCell ref="B172:E172"/>
    <mergeCell ref="B173:E173"/>
    <mergeCell ref="A156:B169"/>
    <mergeCell ref="C156:C162"/>
    <mergeCell ref="C202:C203"/>
    <mergeCell ref="C167:C168"/>
    <mergeCell ref="C163:C166"/>
    <mergeCell ref="B280:E280"/>
    <mergeCell ref="B279:E279"/>
    <mergeCell ref="B278:E278"/>
    <mergeCell ref="B277:E277"/>
    <mergeCell ref="B276:E276"/>
    <mergeCell ref="B243:E243"/>
    <mergeCell ref="B242:E242"/>
    <mergeCell ref="C226:C232"/>
    <mergeCell ref="A226:B239"/>
    <mergeCell ref="B244:E244"/>
    <mergeCell ref="B245:E245"/>
    <mergeCell ref="K5:L6"/>
    <mergeCell ref="B32:E32"/>
    <mergeCell ref="B33:E33"/>
    <mergeCell ref="A16:B29"/>
    <mergeCell ref="C14:F14"/>
    <mergeCell ref="C8:C12"/>
    <mergeCell ref="G5:H6"/>
    <mergeCell ref="I5:J6"/>
    <mergeCell ref="C15:F15"/>
    <mergeCell ref="A7:B15"/>
    <mergeCell ref="C7:F7"/>
    <mergeCell ref="C13:F13"/>
    <mergeCell ref="B31:E31"/>
    <mergeCell ref="C27:C28"/>
    <mergeCell ref="C16:C22"/>
    <mergeCell ref="C23:C26"/>
    <mergeCell ref="C29:F29"/>
    <mergeCell ref="B30:E30"/>
    <mergeCell ref="I75:J76"/>
    <mergeCell ref="B34:E34"/>
    <mergeCell ref="B35:E35"/>
    <mergeCell ref="L75:L76"/>
    <mergeCell ref="C58:C61"/>
    <mergeCell ref="C64:F64"/>
    <mergeCell ref="C62:C63"/>
    <mergeCell ref="L40:L41"/>
    <mergeCell ref="G40:H41"/>
    <mergeCell ref="I40:J41"/>
    <mergeCell ref="G75:H76"/>
    <mergeCell ref="A42:B50"/>
    <mergeCell ref="C42:F42"/>
    <mergeCell ref="C43:C47"/>
    <mergeCell ref="C48:F48"/>
    <mergeCell ref="C49:F49"/>
    <mergeCell ref="C50:F50"/>
    <mergeCell ref="A51:B64"/>
    <mergeCell ref="C51:C57"/>
    <mergeCell ref="L145:L146"/>
    <mergeCell ref="G145:H146"/>
    <mergeCell ref="I145:J146"/>
    <mergeCell ref="A121:B134"/>
    <mergeCell ref="C121:C127"/>
    <mergeCell ref="A77:B85"/>
    <mergeCell ref="C77:F77"/>
    <mergeCell ref="C78:C82"/>
    <mergeCell ref="C83:F83"/>
    <mergeCell ref="C84:F84"/>
    <mergeCell ref="C85:F85"/>
    <mergeCell ref="L110:L111"/>
    <mergeCell ref="A112:B120"/>
    <mergeCell ref="C112:F112"/>
    <mergeCell ref="C113:C117"/>
    <mergeCell ref="C118:F118"/>
    <mergeCell ref="C119:F119"/>
    <mergeCell ref="C120:F120"/>
    <mergeCell ref="G110:H111"/>
    <mergeCell ref="I110:J111"/>
    <mergeCell ref="C128:C131"/>
    <mergeCell ref="C134:F134"/>
    <mergeCell ref="C132:C133"/>
    <mergeCell ref="B135:E135"/>
    <mergeCell ref="L180:L181"/>
    <mergeCell ref="G180:H181"/>
    <mergeCell ref="I180:J181"/>
    <mergeCell ref="A182:B190"/>
    <mergeCell ref="C182:F182"/>
    <mergeCell ref="C183:C187"/>
    <mergeCell ref="C188:F188"/>
    <mergeCell ref="C189:F189"/>
    <mergeCell ref="C190:F190"/>
    <mergeCell ref="L215:L216"/>
    <mergeCell ref="G215:H216"/>
    <mergeCell ref="I215:J216"/>
    <mergeCell ref="A217:B225"/>
    <mergeCell ref="C217:F217"/>
    <mergeCell ref="C218:C222"/>
    <mergeCell ref="C223:F223"/>
    <mergeCell ref="C224:F224"/>
    <mergeCell ref="C225:F225"/>
    <mergeCell ref="B103:E103"/>
    <mergeCell ref="B100:E100"/>
    <mergeCell ref="B104:E104"/>
    <mergeCell ref="B105:E105"/>
    <mergeCell ref="B69:E69"/>
    <mergeCell ref="B70:E70"/>
    <mergeCell ref="B65:E65"/>
    <mergeCell ref="B66:E66"/>
    <mergeCell ref="B67:E67"/>
    <mergeCell ref="B68:E68"/>
    <mergeCell ref="B101:E101"/>
    <mergeCell ref="B102:E102"/>
    <mergeCell ref="A86:B99"/>
    <mergeCell ref="C86:C92"/>
    <mergeCell ref="C93:C96"/>
    <mergeCell ref="C99:F99"/>
    <mergeCell ref="C97:C98"/>
    <mergeCell ref="A147:B155"/>
    <mergeCell ref="C147:F147"/>
    <mergeCell ref="C148:C152"/>
    <mergeCell ref="C153:F153"/>
    <mergeCell ref="C154:F154"/>
    <mergeCell ref="C155:F155"/>
    <mergeCell ref="B136:E136"/>
    <mergeCell ref="B137:E137"/>
    <mergeCell ref="B138:E138"/>
    <mergeCell ref="B139:E139"/>
    <mergeCell ref="B140:E140"/>
    <mergeCell ref="B209:E209"/>
    <mergeCell ref="B210:E210"/>
    <mergeCell ref="B240:E240"/>
    <mergeCell ref="B241:E241"/>
    <mergeCell ref="C233:C236"/>
    <mergeCell ref="C239:F239"/>
    <mergeCell ref="C237:C238"/>
    <mergeCell ref="I285:J286"/>
    <mergeCell ref="L285:L286"/>
    <mergeCell ref="A261:B274"/>
    <mergeCell ref="C261:C267"/>
    <mergeCell ref="C268:C271"/>
    <mergeCell ref="C272:C273"/>
    <mergeCell ref="C274:F274"/>
    <mergeCell ref="B275:E275"/>
    <mergeCell ref="G250:H251"/>
    <mergeCell ref="I250:J251"/>
    <mergeCell ref="L250:L251"/>
    <mergeCell ref="A252:B260"/>
    <mergeCell ref="C252:F252"/>
    <mergeCell ref="C253:C257"/>
    <mergeCell ref="C258:F258"/>
    <mergeCell ref="C259:F259"/>
    <mergeCell ref="C260:F260"/>
    <mergeCell ref="A287:B295"/>
    <mergeCell ref="C287:F287"/>
    <mergeCell ref="C288:C292"/>
    <mergeCell ref="C293:F293"/>
    <mergeCell ref="C294:F294"/>
    <mergeCell ref="C295:F295"/>
    <mergeCell ref="G285:H286"/>
    <mergeCell ref="B311:E311"/>
    <mergeCell ref="B312:E312"/>
    <mergeCell ref="B313:E313"/>
    <mergeCell ref="B314:E314"/>
    <mergeCell ref="B315:E315"/>
    <mergeCell ref="G320:H321"/>
    <mergeCell ref="A296:B309"/>
    <mergeCell ref="C296:C302"/>
    <mergeCell ref="C303:C306"/>
    <mergeCell ref="C307:C308"/>
    <mergeCell ref="C309:F309"/>
    <mergeCell ref="B310:E310"/>
    <mergeCell ref="I320:J321"/>
    <mergeCell ref="L320:L321"/>
    <mergeCell ref="A322:B330"/>
    <mergeCell ref="C322:F322"/>
    <mergeCell ref="C323:C327"/>
    <mergeCell ref="C328:F328"/>
    <mergeCell ref="C329:F329"/>
    <mergeCell ref="C330:F330"/>
    <mergeCell ref="K326:L326"/>
    <mergeCell ref="I355:J356"/>
    <mergeCell ref="L355:L356"/>
    <mergeCell ref="A357:B365"/>
    <mergeCell ref="C357:F357"/>
    <mergeCell ref="C358:C362"/>
    <mergeCell ref="C363:F363"/>
    <mergeCell ref="C364:F364"/>
    <mergeCell ref="C365:F365"/>
    <mergeCell ref="G355:H356"/>
    <mergeCell ref="B346:E346"/>
    <mergeCell ref="B347:E347"/>
    <mergeCell ref="B348:E348"/>
    <mergeCell ref="B349:E349"/>
    <mergeCell ref="B350:E350"/>
    <mergeCell ref="A331:B344"/>
    <mergeCell ref="C331:C337"/>
    <mergeCell ref="C338:C341"/>
    <mergeCell ref="C342:C343"/>
    <mergeCell ref="C344:F344"/>
    <mergeCell ref="B345:E345"/>
    <mergeCell ref="B381:E381"/>
    <mergeCell ref="B382:E382"/>
    <mergeCell ref="B383:E383"/>
    <mergeCell ref="B384:E384"/>
    <mergeCell ref="B385:E385"/>
    <mergeCell ref="A366:B379"/>
    <mergeCell ref="C366:C372"/>
    <mergeCell ref="C373:C376"/>
    <mergeCell ref="C377:C378"/>
    <mergeCell ref="C379:F379"/>
    <mergeCell ref="B380:E380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13" orientation="portrait" r:id="rId1"/>
  <headerFooter alignWithMargins="0">
    <oddFooter>&amp;C- &amp;P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D21"/>
  <sheetViews>
    <sheetView showGridLines="0" showZeros="0" view="pageBreakPreview" zoomScale="85" zoomScaleNormal="60" zoomScaleSheetLayoutView="85" workbookViewId="0">
      <selection sqref="A1:D1"/>
    </sheetView>
  </sheetViews>
  <sheetFormatPr defaultColWidth="8.140625" defaultRowHeight="30" customHeight="1"/>
  <cols>
    <col min="1" max="1" width="11.5703125" style="86" customWidth="1"/>
    <col min="2" max="2" width="24.5703125" style="86" customWidth="1"/>
    <col min="3" max="3" width="15.85546875" style="86" bestFit="1" customWidth="1"/>
    <col min="4" max="4" width="42.5703125" style="86" customWidth="1"/>
    <col min="5" max="16384" width="8.140625" style="86"/>
  </cols>
  <sheetData>
    <row r="1" spans="1:4" ht="39.950000000000003" customHeight="1">
      <c r="A1" s="1003" t="str">
        <f>간지!$A$1</f>
        <v>[ 경기문화재단 2017년도 파견용역 ]</v>
      </c>
      <c r="B1" s="1003"/>
      <c r="C1" s="1003"/>
      <c r="D1" s="1003"/>
    </row>
    <row r="2" spans="1:4" s="89" customFormat="1" ht="30" customHeight="1">
      <c r="A2" s="87"/>
      <c r="B2" s="88"/>
      <c r="C2" s="88"/>
      <c r="D2" s="88"/>
    </row>
    <row r="3" spans="1:4" s="91" customFormat="1" ht="30" customHeight="1">
      <c r="A3" s="90"/>
      <c r="B3" s="90"/>
      <c r="C3" s="90"/>
      <c r="D3" s="90"/>
    </row>
    <row r="4" spans="1:4" ht="30" customHeight="1">
      <c r="A4" s="90"/>
      <c r="B4" s="93"/>
      <c r="C4" s="93"/>
      <c r="D4" s="93"/>
    </row>
    <row r="5" spans="1:4" ht="39.950000000000003" customHeight="1">
      <c r="A5" s="94"/>
      <c r="B5" s="95"/>
      <c r="C5" s="1004" t="s">
        <v>498</v>
      </c>
      <c r="D5" s="1004"/>
    </row>
    <row r="6" spans="1:4" ht="32.25" customHeight="1">
      <c r="A6" s="94"/>
      <c r="B6" s="95"/>
      <c r="C6" s="96"/>
      <c r="D6" s="99"/>
    </row>
    <row r="7" spans="1:4" ht="32.25" customHeight="1">
      <c r="A7" s="94"/>
      <c r="B7" s="95"/>
      <c r="C7" s="100" t="s">
        <v>438</v>
      </c>
      <c r="D7" s="101" t="str">
        <f>인집!A2</f>
        <v>단위당인건비집계표</v>
      </c>
    </row>
    <row r="8" spans="1:4" ht="32.25" customHeight="1">
      <c r="A8" s="94"/>
      <c r="B8" s="95"/>
      <c r="C8" s="100" t="s">
        <v>439</v>
      </c>
      <c r="D8" s="101" t="str">
        <f>단위당인건비!A2</f>
        <v>단위(1인)당인건비산출표</v>
      </c>
    </row>
    <row r="9" spans="1:4" ht="32.25" customHeight="1">
      <c r="A9" s="94"/>
      <c r="B9" s="95"/>
      <c r="C9" s="100" t="s">
        <v>440</v>
      </c>
      <c r="D9" s="101" t="str">
        <f>월기본급!A2</f>
        <v>M/M당기본급산출표</v>
      </c>
    </row>
    <row r="10" spans="1:4" ht="32.25" customHeight="1">
      <c r="A10" s="94"/>
      <c r="B10" s="95"/>
      <c r="C10" s="100" t="s">
        <v>441</v>
      </c>
      <c r="D10" s="101" t="str">
        <f>연장근로!A2</f>
        <v>연장근로시간산출표</v>
      </c>
    </row>
    <row r="11" spans="1:4" ht="32.25" customHeight="1">
      <c r="A11" s="94"/>
      <c r="B11" s="95"/>
      <c r="C11" s="100" t="s">
        <v>442</v>
      </c>
      <c r="D11" s="101" t="str">
        <f>휴일근로!A2</f>
        <v>휴일근로시간산출표</v>
      </c>
    </row>
    <row r="12" spans="1:4" ht="32.25" customHeight="1">
      <c r="A12" s="94"/>
      <c r="B12" s="95"/>
      <c r="C12" s="100" t="s">
        <v>443</v>
      </c>
      <c r="D12" s="101" t="str">
        <f>산정기준!A2</f>
        <v>인건비산정기준 및 관련법규</v>
      </c>
    </row>
    <row r="13" spans="1:4" ht="32.25" customHeight="1">
      <c r="A13" s="94"/>
      <c r="B13" s="95"/>
      <c r="C13" s="100" t="s">
        <v>444</v>
      </c>
      <c r="D13" s="101" t="e">
        <f>#REF!</f>
        <v>#REF!</v>
      </c>
    </row>
    <row r="14" spans="1:4" ht="32.25" customHeight="1">
      <c r="A14" s="94"/>
      <c r="B14" s="95"/>
      <c r="C14" s="100" t="s">
        <v>445</v>
      </c>
      <c r="D14" s="101" t="str">
        <f>투입인원!A2</f>
        <v>적용직종 및 소요인원산정표</v>
      </c>
    </row>
    <row r="15" spans="1:4" ht="32.25" customHeight="1">
      <c r="A15" s="94"/>
      <c r="B15" s="95"/>
      <c r="C15" s="100"/>
      <c r="D15" s="101"/>
    </row>
    <row r="16" spans="1:4" ht="32.25" customHeight="1">
      <c r="A16" s="94"/>
      <c r="B16" s="95"/>
      <c r="C16" s="100"/>
      <c r="D16" s="101"/>
    </row>
    <row r="17" spans="1:4" ht="32.25" customHeight="1">
      <c r="A17" s="94"/>
      <c r="B17" s="95"/>
      <c r="C17" s="100"/>
      <c r="D17" s="101"/>
    </row>
    <row r="18" spans="1:4" ht="32.25" customHeight="1">
      <c r="A18" s="94"/>
      <c r="B18" s="95"/>
      <c r="C18" s="100"/>
      <c r="D18" s="101"/>
    </row>
    <row r="19" spans="1:4" ht="32.25" customHeight="1">
      <c r="A19" s="94"/>
      <c r="B19" s="95"/>
      <c r="C19" s="100"/>
      <c r="D19" s="101"/>
    </row>
    <row r="20" spans="1:4" ht="32.25" customHeight="1">
      <c r="A20" s="94"/>
      <c r="B20" s="95"/>
      <c r="C20" s="102"/>
      <c r="D20" s="103"/>
    </row>
    <row r="21" spans="1:4" ht="39.950000000000003" customHeight="1">
      <c r="A21" s="98"/>
      <c r="B21" s="98"/>
      <c r="C21" s="98"/>
      <c r="D21" s="98"/>
    </row>
  </sheetData>
  <mergeCells count="2">
    <mergeCell ref="A1:D1"/>
    <mergeCell ref="C5:D5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24" orientation="portrait" useFirstPageNumber="1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M19"/>
  <sheetViews>
    <sheetView showGridLines="0" showZeros="0" view="pageBreakPreview" zoomScaleNormal="100" workbookViewId="0">
      <selection activeCell="N42" sqref="N42"/>
    </sheetView>
  </sheetViews>
  <sheetFormatPr defaultRowHeight="12"/>
  <cols>
    <col min="1" max="1" width="1.7109375" style="116" customWidth="1"/>
    <col min="2" max="2" width="13.7109375" style="116" customWidth="1"/>
    <col min="3" max="3" width="1.7109375" style="116" customWidth="1"/>
    <col min="4" max="4" width="1.7109375" style="105" customWidth="1"/>
    <col min="5" max="5" width="15.28515625" style="105" customWidth="1"/>
    <col min="6" max="6" width="1.7109375" style="105" customWidth="1"/>
    <col min="7" max="10" width="11.7109375" style="106" customWidth="1"/>
    <col min="11" max="11" width="12.7109375" style="106" customWidth="1"/>
    <col min="12" max="12" width="13" style="106" bestFit="1" customWidth="1"/>
    <col min="13" max="16384" width="9.140625" style="105"/>
  </cols>
  <sheetData>
    <row r="1" spans="1:13" ht="20.100000000000001" customHeight="1">
      <c r="A1" s="104" t="s">
        <v>307</v>
      </c>
      <c r="B1" s="104"/>
      <c r="C1" s="104"/>
    </row>
    <row r="2" spans="1:13" s="76" customFormat="1" ht="39.950000000000003" customHeight="1">
      <c r="A2" s="107" t="s">
        <v>35</v>
      </c>
      <c r="B2" s="107"/>
      <c r="C2" s="107"/>
      <c r="D2" s="108"/>
      <c r="E2" s="108"/>
      <c r="F2" s="108"/>
      <c r="G2" s="364"/>
      <c r="H2" s="364"/>
      <c r="I2" s="364"/>
      <c r="J2" s="364"/>
      <c r="K2" s="364"/>
      <c r="L2" s="548"/>
    </row>
    <row r="3" spans="1:13" s="76" customFormat="1" ht="20.100000000000001" customHeight="1">
      <c r="A3" s="107"/>
      <c r="B3" s="107"/>
      <c r="C3" s="107"/>
      <c r="D3" s="108"/>
      <c r="E3" s="108"/>
      <c r="F3" s="108"/>
      <c r="G3" s="364"/>
      <c r="H3" s="364"/>
      <c r="I3" s="364"/>
      <c r="J3" s="364"/>
      <c r="K3" s="364"/>
      <c r="L3" s="548"/>
    </row>
    <row r="4" spans="1:13" ht="20.100000000000001" customHeight="1">
      <c r="A4" s="114"/>
      <c r="B4" s="114"/>
      <c r="C4" s="114"/>
      <c r="D4" s="115"/>
      <c r="E4" s="115"/>
      <c r="F4" s="115"/>
      <c r="K4" s="118" t="s">
        <v>36</v>
      </c>
    </row>
    <row r="5" spans="1:13" s="377" customFormat="1" ht="50.1" customHeight="1">
      <c r="A5" s="494"/>
      <c r="B5" s="128" t="s">
        <v>37</v>
      </c>
      <c r="C5" s="495"/>
      <c r="D5" s="494"/>
      <c r="E5" s="482" t="s">
        <v>38</v>
      </c>
      <c r="F5" s="495"/>
      <c r="G5" s="580" t="s">
        <v>39</v>
      </c>
      <c r="H5" s="580" t="s">
        <v>40</v>
      </c>
      <c r="I5" s="580" t="s">
        <v>41</v>
      </c>
      <c r="J5" s="580" t="s">
        <v>42</v>
      </c>
      <c r="K5" s="580" t="s">
        <v>14</v>
      </c>
      <c r="L5" s="490"/>
    </row>
    <row r="6" spans="1:13" ht="37.5" hidden="1" customHeight="1">
      <c r="A6" s="553"/>
      <c r="B6" s="492">
        <f>월기본급!B9</f>
        <v>0</v>
      </c>
      <c r="C6" s="379"/>
      <c r="D6" s="370"/>
      <c r="E6" s="556">
        <f>월기본급!F9</f>
        <v>0</v>
      </c>
      <c r="F6" s="371"/>
      <c r="G6" s="255">
        <f>단위당인건비!E6</f>
        <v>0</v>
      </c>
      <c r="H6" s="255">
        <f>단위당인건비!E11</f>
        <v>0</v>
      </c>
      <c r="I6" s="255">
        <f>단위당인건비!E12</f>
        <v>0</v>
      </c>
      <c r="J6" s="255">
        <f>단위당인건비!E13</f>
        <v>0</v>
      </c>
      <c r="K6" s="255">
        <f t="shared" ref="K6:K15" si="0">SUM(G6:J6)</f>
        <v>0</v>
      </c>
      <c r="L6" s="581"/>
      <c r="M6" s="582"/>
    </row>
    <row r="7" spans="1:13" ht="37.5" hidden="1" customHeight="1">
      <c r="A7" s="553"/>
      <c r="B7" s="492">
        <f>월기본급!B10</f>
        <v>0</v>
      </c>
      <c r="C7" s="379"/>
      <c r="D7" s="370"/>
      <c r="E7" s="556">
        <f>월기본급!F10</f>
        <v>0</v>
      </c>
      <c r="F7" s="371"/>
      <c r="G7" s="255">
        <f>단위당인건비!E25</f>
        <v>0</v>
      </c>
      <c r="H7" s="255">
        <f>단위당인건비!E30</f>
        <v>0</v>
      </c>
      <c r="I7" s="255">
        <f>단위당인건비!E31</f>
        <v>0</v>
      </c>
      <c r="J7" s="255">
        <f>단위당인건비!E32</f>
        <v>0</v>
      </c>
      <c r="K7" s="255">
        <f t="shared" si="0"/>
        <v>0</v>
      </c>
      <c r="L7" s="581"/>
      <c r="M7" s="582"/>
    </row>
    <row r="8" spans="1:13" ht="37.5" hidden="1" customHeight="1">
      <c r="A8" s="553"/>
      <c r="B8" s="492">
        <f>월기본급!B11</f>
        <v>0</v>
      </c>
      <c r="C8" s="379"/>
      <c r="D8" s="370"/>
      <c r="E8" s="556">
        <f>월기본급!F11</f>
        <v>0</v>
      </c>
      <c r="F8" s="371"/>
      <c r="G8" s="255">
        <f>단위당인건비!E44</f>
        <v>0</v>
      </c>
      <c r="H8" s="255">
        <f>단위당인건비!E49</f>
        <v>0</v>
      </c>
      <c r="I8" s="255">
        <f>단위당인건비!E50</f>
        <v>0</v>
      </c>
      <c r="J8" s="255">
        <f>단위당인건비!E51</f>
        <v>0</v>
      </c>
      <c r="K8" s="255">
        <f t="shared" si="0"/>
        <v>0</v>
      </c>
      <c r="L8" s="581"/>
      <c r="M8" s="582"/>
    </row>
    <row r="9" spans="1:13" ht="37.5" hidden="1" customHeight="1">
      <c r="A9" s="553"/>
      <c r="B9" s="492">
        <f>월기본급!B12</f>
        <v>0</v>
      </c>
      <c r="C9" s="379"/>
      <c r="D9" s="370"/>
      <c r="E9" s="253">
        <f>월기본급!F12</f>
        <v>0</v>
      </c>
      <c r="F9" s="371"/>
      <c r="G9" s="255">
        <f>단위당인건비!E63</f>
        <v>0</v>
      </c>
      <c r="H9" s="255">
        <f>단위당인건비!E68</f>
        <v>0</v>
      </c>
      <c r="I9" s="255">
        <f>단위당인건비!E69</f>
        <v>0</v>
      </c>
      <c r="J9" s="255">
        <f>단위당인건비!E70</f>
        <v>0</v>
      </c>
      <c r="K9" s="255">
        <f t="shared" si="0"/>
        <v>0</v>
      </c>
      <c r="L9" s="581"/>
      <c r="M9" s="582"/>
    </row>
    <row r="10" spans="1:13" ht="37.5" hidden="1" customHeight="1">
      <c r="A10" s="553"/>
      <c r="B10" s="492">
        <f>월기본급!B13</f>
        <v>0</v>
      </c>
      <c r="C10" s="379"/>
      <c r="D10" s="370"/>
      <c r="E10" s="253">
        <f>월기본급!F13</f>
        <v>0</v>
      </c>
      <c r="F10" s="371"/>
      <c r="G10" s="255">
        <f>단위당인건비!E82</f>
        <v>0</v>
      </c>
      <c r="H10" s="255">
        <f>단위당인건비!E87</f>
        <v>0</v>
      </c>
      <c r="I10" s="255">
        <f>단위당인건비!E88</f>
        <v>0</v>
      </c>
      <c r="J10" s="255">
        <f>단위당인건비!E89</f>
        <v>0</v>
      </c>
      <c r="K10" s="255">
        <f t="shared" si="0"/>
        <v>0</v>
      </c>
      <c r="L10" s="581"/>
      <c r="M10" s="582"/>
    </row>
    <row r="11" spans="1:13" ht="37.5" hidden="1" customHeight="1">
      <c r="A11" s="553"/>
      <c r="B11" s="492">
        <f>월기본급!B14</f>
        <v>0</v>
      </c>
      <c r="C11" s="379"/>
      <c r="D11" s="370"/>
      <c r="E11" s="253">
        <f>월기본급!F14</f>
        <v>0</v>
      </c>
      <c r="F11" s="371"/>
      <c r="G11" s="255">
        <f>단위당인건비!E101</f>
        <v>0</v>
      </c>
      <c r="H11" s="255">
        <f>단위당인건비!E106</f>
        <v>0</v>
      </c>
      <c r="I11" s="255">
        <f>단위당인건비!E107</f>
        <v>0</v>
      </c>
      <c r="J11" s="255">
        <f>단위당인건비!E108</f>
        <v>0</v>
      </c>
      <c r="K11" s="255">
        <f t="shared" si="0"/>
        <v>0</v>
      </c>
      <c r="L11" s="581"/>
      <c r="M11" s="582"/>
    </row>
    <row r="12" spans="1:13" ht="37.5" hidden="1" customHeight="1">
      <c r="A12" s="553"/>
      <c r="B12" s="492">
        <f>월기본급!B15</f>
        <v>0</v>
      </c>
      <c r="C12" s="379"/>
      <c r="D12" s="370"/>
      <c r="E12" s="253">
        <f>월기본급!F15</f>
        <v>0</v>
      </c>
      <c r="F12" s="371"/>
      <c r="G12" s="255">
        <f>단위당인건비!E120</f>
        <v>0</v>
      </c>
      <c r="H12" s="255">
        <f>단위당인건비!E125</f>
        <v>0</v>
      </c>
      <c r="I12" s="255">
        <f>단위당인건비!E126</f>
        <v>0</v>
      </c>
      <c r="J12" s="255">
        <f>단위당인건비!E127</f>
        <v>0</v>
      </c>
      <c r="K12" s="255">
        <f t="shared" si="0"/>
        <v>0</v>
      </c>
      <c r="L12" s="581"/>
      <c r="M12" s="582"/>
    </row>
    <row r="13" spans="1:13" ht="37.5" hidden="1" customHeight="1">
      <c r="A13" s="553"/>
      <c r="B13" s="492">
        <f>월기본급!B16</f>
        <v>0</v>
      </c>
      <c r="C13" s="379"/>
      <c r="D13" s="370"/>
      <c r="E13" s="253">
        <f>월기본급!F16</f>
        <v>0</v>
      </c>
      <c r="F13" s="371"/>
      <c r="G13" s="255">
        <f>단위당인건비!E139</f>
        <v>0</v>
      </c>
      <c r="H13" s="255">
        <f>단위당인건비!E144</f>
        <v>0</v>
      </c>
      <c r="I13" s="255">
        <f>단위당인건비!E145</f>
        <v>0</v>
      </c>
      <c r="J13" s="255">
        <f>단위당인건비!E146</f>
        <v>0</v>
      </c>
      <c r="K13" s="255">
        <f>SUM(G13:J13)</f>
        <v>0</v>
      </c>
      <c r="L13" s="581"/>
      <c r="M13" s="582"/>
    </row>
    <row r="14" spans="1:13" ht="37.5" customHeight="1">
      <c r="A14" s="553"/>
      <c r="B14" s="492" t="str">
        <f>월기본급!B17</f>
        <v>다산홀운영</v>
      </c>
      <c r="C14" s="379"/>
      <c r="D14" s="370"/>
      <c r="E14" s="253" t="str">
        <f>월기본급!F17</f>
        <v>전기기능사</v>
      </c>
      <c r="F14" s="371"/>
      <c r="G14" s="255">
        <f>단위당인건비!E158</f>
        <v>2246244</v>
      </c>
      <c r="H14" s="255">
        <f>단위당인건비!E163</f>
        <v>667208</v>
      </c>
      <c r="I14" s="255">
        <f>단위당인건비!E164</f>
        <v>93593</v>
      </c>
      <c r="J14" s="255">
        <f>단위당인건비!E165</f>
        <v>250587</v>
      </c>
      <c r="K14" s="255">
        <f t="shared" si="0"/>
        <v>3257632</v>
      </c>
      <c r="L14" s="581"/>
      <c r="M14" s="582"/>
    </row>
    <row r="15" spans="1:13" ht="37.5" customHeight="1">
      <c r="A15" s="553"/>
      <c r="B15" s="492" t="str">
        <f>월기본급!B18</f>
        <v>운 전 원</v>
      </c>
      <c r="C15" s="379"/>
      <c r="D15" s="370"/>
      <c r="E15" s="253" t="str">
        <f>월기본급!F18</f>
        <v>단순노무종사원</v>
      </c>
      <c r="F15" s="371"/>
      <c r="G15" s="255">
        <f>단위당인건비!E177</f>
        <v>1732380</v>
      </c>
      <c r="H15" s="255">
        <f>단위당인건비!E182</f>
        <v>514573</v>
      </c>
      <c r="I15" s="255">
        <f>단위당인건비!E183</f>
        <v>577460</v>
      </c>
      <c r="J15" s="255">
        <f>단위당인건비!E184</f>
        <v>235367</v>
      </c>
      <c r="K15" s="255">
        <f t="shared" si="0"/>
        <v>3059780</v>
      </c>
      <c r="L15" s="581"/>
      <c r="M15" s="582"/>
    </row>
    <row r="16" spans="1:13" ht="37.5" customHeight="1">
      <c r="A16" s="553"/>
      <c r="B16" s="492" t="str">
        <f>월기본급!B19</f>
        <v>사무보조원</v>
      </c>
      <c r="C16" s="379"/>
      <c r="D16" s="370"/>
      <c r="E16" s="253" t="str">
        <f>월기본급!F19</f>
        <v>단순노무종사원</v>
      </c>
      <c r="F16" s="371"/>
      <c r="G16" s="255">
        <f>단위당인건비!E196</f>
        <v>1732380</v>
      </c>
      <c r="H16" s="255">
        <f>단위당인건비!E201</f>
        <v>614039</v>
      </c>
      <c r="I16" s="255">
        <f>단위당인건비!E202</f>
        <v>577460</v>
      </c>
      <c r="J16" s="255">
        <f>단위당인건비!E203</f>
        <v>243656</v>
      </c>
      <c r="K16" s="255">
        <f>SUM(G16:J16)</f>
        <v>3167535</v>
      </c>
      <c r="L16" s="581"/>
      <c r="M16" s="582"/>
    </row>
    <row r="17" spans="1:12" ht="9.9499999999999993" customHeight="1">
      <c r="A17" s="561"/>
      <c r="B17" s="493"/>
      <c r="C17" s="385"/>
      <c r="D17" s="382"/>
      <c r="E17" s="259"/>
      <c r="F17" s="549"/>
      <c r="G17" s="314"/>
      <c r="H17" s="314"/>
      <c r="I17" s="314"/>
      <c r="J17" s="314"/>
      <c r="K17" s="314"/>
      <c r="L17" s="581"/>
    </row>
    <row r="18" spans="1:12" ht="24.95" customHeight="1">
      <c r="A18" s="114" t="str">
        <f>"주) 금액 : "&amp;단위당인건비!A1&amp;단위당인건비!A2&amp;" 참조"</f>
        <v>주) 금액 : &lt; 표 : 4 &gt; 단위(1인)당인건비산출표 참조</v>
      </c>
    </row>
    <row r="19" spans="1:12" ht="24.95" customHeight="1"/>
  </sheetData>
  <phoneticPr fontId="5" type="noConversion"/>
  <pageMargins left="0.78740157480314965" right="0.78740157480314965" top="0.98425196850393704" bottom="0.78740157480314965" header="0.51181102362204722" footer="0.51181102362204722"/>
  <pageSetup paperSize="9" firstPageNumber="29" orientation="portrait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L215"/>
  <sheetViews>
    <sheetView showGridLines="0" showZeros="0" view="pageBreakPreview" topLeftCell="A168" zoomScaleNormal="100" zoomScaleSheetLayoutView="100" workbookViewId="0">
      <selection activeCell="K183" sqref="K183"/>
    </sheetView>
  </sheetViews>
  <sheetFormatPr defaultRowHeight="12"/>
  <cols>
    <col min="1" max="1" width="6.7109375" style="491" customWidth="1"/>
    <col min="2" max="2" width="1.7109375" style="477" customWidth="1"/>
    <col min="3" max="3" width="20.85546875" style="477" customWidth="1"/>
    <col min="4" max="4" width="1.7109375" style="477" customWidth="1"/>
    <col min="5" max="5" width="18.42578125" style="85" customWidth="1"/>
    <col min="6" max="6" width="2.7109375" style="85" customWidth="1"/>
    <col min="7" max="7" width="0.85546875" style="85" customWidth="1"/>
    <col min="8" max="8" width="25.28515625" style="85" bestFit="1" customWidth="1"/>
    <col min="9" max="9" width="0.85546875" style="85" customWidth="1"/>
    <col min="10" max="10" width="15.85546875" style="106" customWidth="1"/>
    <col min="11" max="11" width="10.28515625" style="105" customWidth="1"/>
    <col min="12" max="12" width="16.7109375" style="115" customWidth="1"/>
    <col min="13" max="16384" width="9.140625" style="105"/>
  </cols>
  <sheetData>
    <row r="1" spans="1:12" ht="20.100000000000001" hidden="1" customHeight="1">
      <c r="A1" s="74" t="s">
        <v>481</v>
      </c>
      <c r="B1" s="377"/>
      <c r="C1" s="377"/>
      <c r="D1" s="377"/>
    </row>
    <row r="2" spans="1:12" s="76" customFormat="1" ht="39.950000000000003" hidden="1" customHeight="1">
      <c r="A2" s="75" t="s">
        <v>43</v>
      </c>
      <c r="B2" s="107"/>
      <c r="C2" s="107"/>
      <c r="D2" s="107"/>
      <c r="E2" s="110"/>
      <c r="F2" s="110"/>
      <c r="G2" s="110"/>
      <c r="H2" s="564"/>
      <c r="I2" s="564"/>
      <c r="J2" s="476"/>
      <c r="L2" s="565"/>
    </row>
    <row r="3" spans="1:12" s="76" customFormat="1" ht="20.100000000000001" hidden="1" customHeight="1">
      <c r="A3" s="75"/>
      <c r="B3" s="107"/>
      <c r="C3" s="107"/>
      <c r="D3" s="107"/>
      <c r="E3" s="110"/>
      <c r="F3" s="110"/>
      <c r="G3" s="110"/>
      <c r="H3" s="564"/>
      <c r="I3" s="564"/>
      <c r="J3" s="476"/>
      <c r="L3" s="565"/>
    </row>
    <row r="4" spans="1:12" ht="20.100000000000001" hidden="1" customHeight="1">
      <c r="A4" s="115" t="str">
        <f>"구 분 : "&amp;월기본급!B9&amp;"                       직종명 : "&amp;월기본급!F9&amp;""</f>
        <v xml:space="preserve">구 분 :                        직종명 : </v>
      </c>
      <c r="B4" s="114"/>
      <c r="C4" s="114"/>
      <c r="D4" s="114"/>
      <c r="E4" s="486"/>
      <c r="F4" s="486"/>
      <c r="G4" s="486"/>
      <c r="J4" s="118" t="s">
        <v>36</v>
      </c>
      <c r="K4" s="105">
        <v>209</v>
      </c>
      <c r="L4" s="115" t="s">
        <v>44</v>
      </c>
    </row>
    <row r="5" spans="1:12" ht="50.1" hidden="1" customHeight="1">
      <c r="A5" s="1012" t="s">
        <v>45</v>
      </c>
      <c r="B5" s="1013"/>
      <c r="C5" s="1013"/>
      <c r="D5" s="1014"/>
      <c r="E5" s="1062" t="s">
        <v>46</v>
      </c>
      <c r="F5" s="1063"/>
      <c r="G5" s="369" t="s">
        <v>181</v>
      </c>
      <c r="H5" s="367"/>
      <c r="I5" s="369" t="s">
        <v>47</v>
      </c>
      <c r="J5" s="367"/>
    </row>
    <row r="6" spans="1:12" ht="33.950000000000003" hidden="1" customHeight="1">
      <c r="A6" s="1012" t="s">
        <v>48</v>
      </c>
      <c r="B6" s="1013"/>
      <c r="C6" s="1013"/>
      <c r="D6" s="1014"/>
      <c r="E6" s="566">
        <f>월기본급!J9</f>
        <v>0</v>
      </c>
      <c r="F6" s="567"/>
      <c r="G6" s="84"/>
      <c r="H6" s="568" t="s">
        <v>377</v>
      </c>
      <c r="I6" s="499"/>
      <c r="J6" s="569" t="s">
        <v>49</v>
      </c>
    </row>
    <row r="7" spans="1:12" ht="33.950000000000003" hidden="1" customHeight="1">
      <c r="A7" s="1021" t="s">
        <v>258</v>
      </c>
      <c r="B7" s="587"/>
      <c r="C7" s="586" t="s">
        <v>0</v>
      </c>
      <c r="D7" s="589"/>
      <c r="E7" s="692">
        <f>TRUNC((E6/K4*($L$7*4.34)*1.5),0)</f>
        <v>0</v>
      </c>
      <c r="F7" s="567"/>
      <c r="G7" s="84"/>
      <c r="H7" s="570" t="s">
        <v>203</v>
      </c>
      <c r="I7" s="571"/>
      <c r="J7" s="569" t="s">
        <v>10</v>
      </c>
      <c r="K7" s="572"/>
      <c r="L7" s="115">
        <f>연장근로!D8</f>
        <v>8</v>
      </c>
    </row>
    <row r="8" spans="1:12" ht="33.950000000000003" hidden="1" customHeight="1">
      <c r="A8" s="1022"/>
      <c r="B8" s="587"/>
      <c r="C8" s="586" t="s">
        <v>229</v>
      </c>
      <c r="D8" s="589"/>
      <c r="E8" s="573">
        <f>TRUNC(E6/K4*K8*1.5,0)</f>
        <v>0</v>
      </c>
      <c r="F8" s="567"/>
      <c r="G8" s="84"/>
      <c r="H8" s="570" t="s">
        <v>203</v>
      </c>
      <c r="I8" s="571"/>
      <c r="J8" s="569" t="s">
        <v>11</v>
      </c>
      <c r="K8" s="572">
        <f>휴일근로!$F$10</f>
        <v>8</v>
      </c>
      <c r="L8" s="115">
        <f>연장근로!D9</f>
        <v>8</v>
      </c>
    </row>
    <row r="9" spans="1:12" ht="33.950000000000003" hidden="1" customHeight="1">
      <c r="A9" s="1022"/>
      <c r="B9" s="587"/>
      <c r="C9" s="586" t="s">
        <v>50</v>
      </c>
      <c r="D9" s="589"/>
      <c r="E9" s="566">
        <f>TRUNC(((E6/K4)*8*15)/12,0)</f>
        <v>0</v>
      </c>
      <c r="F9" s="567"/>
      <c r="G9" s="84"/>
      <c r="H9" s="570" t="s">
        <v>202</v>
      </c>
      <c r="I9" s="571"/>
      <c r="J9" s="569" t="s">
        <v>12</v>
      </c>
      <c r="L9" s="115">
        <f>휴일근로!F10</f>
        <v>8</v>
      </c>
    </row>
    <row r="10" spans="1:12" ht="33.950000000000003" hidden="1" customHeight="1">
      <c r="A10" s="1022"/>
      <c r="B10" s="587"/>
      <c r="C10" s="586" t="s">
        <v>257</v>
      </c>
      <c r="D10" s="589"/>
      <c r="E10" s="566"/>
      <c r="F10" s="567"/>
      <c r="G10" s="84"/>
      <c r="H10" s="570" t="s">
        <v>378</v>
      </c>
      <c r="I10" s="571"/>
      <c r="J10" s="569" t="s">
        <v>13</v>
      </c>
    </row>
    <row r="11" spans="1:12" ht="33.950000000000003" hidden="1" customHeight="1">
      <c r="A11" s="1023"/>
      <c r="B11" s="587"/>
      <c r="C11" s="586" t="s">
        <v>51</v>
      </c>
      <c r="D11" s="589"/>
      <c r="E11" s="566">
        <f>SUM(E7:E10)</f>
        <v>0</v>
      </c>
      <c r="F11" s="567"/>
      <c r="G11" s="84"/>
      <c r="H11" s="570"/>
      <c r="I11" s="571"/>
      <c r="J11" s="569"/>
    </row>
    <row r="12" spans="1:12" ht="33.950000000000003" hidden="1" customHeight="1">
      <c r="A12" s="1012" t="s">
        <v>52</v>
      </c>
      <c r="B12" s="1013"/>
      <c r="C12" s="1013"/>
      <c r="D12" s="1014"/>
      <c r="E12" s="566">
        <f>TRUNC(E6*0.7/12,0)</f>
        <v>0</v>
      </c>
      <c r="F12" s="567"/>
      <c r="G12" s="84"/>
      <c r="H12" s="574" t="s">
        <v>432</v>
      </c>
      <c r="I12" s="575"/>
      <c r="J12" s="569" t="s">
        <v>267</v>
      </c>
    </row>
    <row r="13" spans="1:12" ht="33.950000000000003" hidden="1" customHeight="1">
      <c r="A13" s="1012" t="s">
        <v>53</v>
      </c>
      <c r="B13" s="1013"/>
      <c r="C13" s="1013"/>
      <c r="D13" s="1014"/>
      <c r="E13" s="566">
        <f>TRUNC(SUM(E6,E11,E12)/12,0)</f>
        <v>0</v>
      </c>
      <c r="F13" s="567"/>
      <c r="G13" s="84"/>
      <c r="H13" s="570" t="s">
        <v>54</v>
      </c>
      <c r="I13" s="571"/>
      <c r="J13" s="569" t="s">
        <v>268</v>
      </c>
    </row>
    <row r="14" spans="1:12" ht="45" hidden="1" customHeight="1">
      <c r="A14" s="1012" t="s">
        <v>55</v>
      </c>
      <c r="B14" s="1013"/>
      <c r="C14" s="1013"/>
      <c r="D14" s="1014"/>
      <c r="E14" s="566">
        <f>SUM(E6,E11,E12,E13)</f>
        <v>0</v>
      </c>
      <c r="F14" s="567"/>
      <c r="G14" s="84"/>
      <c r="H14" s="592"/>
      <c r="I14" s="590"/>
      <c r="J14" s="591"/>
    </row>
    <row r="15" spans="1:12" s="484" customFormat="1" ht="24.95" hidden="1" customHeight="1">
      <c r="A15" s="483" t="str">
        <f>"주 1) 기본급 : "&amp;월기본급!$A$1&amp;월기본급!$A$2&amp;" 참조"</f>
        <v>주 1) 기본급 : &lt; 표 : 5 &gt; M/M당기본급산출표 참조</v>
      </c>
      <c r="B15" s="483"/>
      <c r="C15" s="483"/>
      <c r="D15" s="483"/>
      <c r="E15" s="485"/>
      <c r="F15" s="485"/>
      <c r="G15" s="485"/>
      <c r="H15" s="485"/>
      <c r="I15" s="485"/>
      <c r="J15" s="485"/>
      <c r="L15" s="488"/>
    </row>
    <row r="16" spans="1:12" s="484" customFormat="1" ht="24.95" hidden="1" customHeight="1">
      <c r="A16" s="487" t="str">
        <f>"   2) 연장근로수당 : "&amp;FIXED(E6,0)&amp;"(기본급)÷"&amp;K4&amp;"시간(월근로시간)×("&amp;(연장근로!$D$8)&amp;"시간×"&amp;(연장근로!$E$8)&amp;"주)×1.5(할증)"</f>
        <v xml:space="preserve">   2) 연장근로수당 : 0(기본급)÷209시간(월근로시간)×(8시간×4.34주)×1.5(할증)</v>
      </c>
      <c r="B16" s="483"/>
      <c r="C16" s="483"/>
      <c r="D16" s="483"/>
      <c r="E16" s="485"/>
      <c r="F16" s="485"/>
      <c r="G16" s="485"/>
      <c r="H16" s="485"/>
      <c r="I16" s="485"/>
      <c r="J16" s="485"/>
      <c r="L16" s="488"/>
    </row>
    <row r="17" spans="1:12" s="484" customFormat="1" ht="24.95" hidden="1" customHeight="1">
      <c r="A17" s="115" t="s">
        <v>275</v>
      </c>
      <c r="B17" s="483"/>
      <c r="C17" s="483"/>
      <c r="D17" s="483"/>
      <c r="E17" s="485"/>
      <c r="F17" s="485"/>
      <c r="G17" s="485"/>
      <c r="H17" s="485"/>
      <c r="I17" s="485"/>
      <c r="J17" s="485"/>
      <c r="L17" s="488"/>
    </row>
    <row r="18" spans="1:12" s="484" customFormat="1" ht="24.95" hidden="1" customHeight="1">
      <c r="A18" s="487" t="str">
        <f>"   3) 휴일근로수당 : "&amp;FIXED(E6,0)&amp;"(기본급)÷"&amp;K4&amp;"(월근로시간)×"&amp;K8&amp;"시간(휴일근로시간)×1.5(할증)"</f>
        <v xml:space="preserve">   3) 휴일근로수당 : 0(기본급)÷209(월근로시간)×8시간(휴일근로시간)×1.5(할증)</v>
      </c>
      <c r="B18" s="483"/>
      <c r="C18" s="483"/>
      <c r="D18" s="483"/>
      <c r="E18" s="485"/>
      <c r="F18" s="485"/>
      <c r="G18" s="485"/>
      <c r="H18" s="485"/>
      <c r="I18" s="485"/>
      <c r="J18" s="485"/>
      <c r="L18" s="488"/>
    </row>
    <row r="19" spans="1:12" s="484" customFormat="1" ht="24.95" hidden="1" customHeight="1">
      <c r="A19" s="487" t="str">
        <f>"   4) 년차수당 : "&amp;FIXED(E6,0)&amp;"(기본급)÷"&amp;K4&amp;"(월근로시간)×8시간(일근로시간)×15일/년÷12개월"</f>
        <v xml:space="preserve">   4) 년차수당 : 0(기본급)÷209(월근로시간)×8시간(일근로시간)×15일/년÷12개월</v>
      </c>
      <c r="B19" s="576"/>
      <c r="C19" s="576"/>
      <c r="D19" s="576"/>
      <c r="E19" s="486"/>
      <c r="F19" s="486"/>
      <c r="G19" s="486"/>
      <c r="H19" s="486"/>
      <c r="I19" s="486"/>
      <c r="J19" s="117"/>
      <c r="L19" s="488"/>
    </row>
    <row r="20" spans="1:12" s="484" customFormat="1" ht="24.95" hidden="1" customHeight="1">
      <c r="A20" s="487" t="s">
        <v>269</v>
      </c>
      <c r="B20" s="576"/>
      <c r="C20" s="576"/>
      <c r="D20" s="576"/>
      <c r="E20" s="486"/>
      <c r="F20" s="486"/>
      <c r="G20" s="486"/>
      <c r="H20" s="486"/>
      <c r="I20" s="486"/>
      <c r="J20" s="117"/>
      <c r="L20" s="488"/>
    </row>
    <row r="21" spans="1:12" ht="24.95" hidden="1" customHeight="1">
      <c r="A21" s="487" t="str">
        <f>"   6) 상여금 : "&amp;FIXED(E6,0)&amp;"(기본급)×0.7개월(년 70%적용)÷12개월"</f>
        <v xml:space="preserve">   6) 상여금 : 0(기본급)×0.7개월(년 70%적용)÷12개월</v>
      </c>
      <c r="J21" s="85"/>
    </row>
    <row r="22" spans="1:12" ht="24.95" hidden="1" customHeight="1">
      <c r="A22" s="487" t="str">
        <f>"   7) 퇴직급여충당금 : {"&amp;FIXED(E6,0)&amp;"(기본급)+"&amp;FIXED(E11,0)&amp;"(제수당)+"&amp;FIXED(E12,0)&amp;"(상여금)}÷12개월"</f>
        <v xml:space="preserve">   7) 퇴직급여충당금 : {0(기본급)+0(제수당)+0(상여금)}÷12개월</v>
      </c>
      <c r="J22" s="85"/>
    </row>
    <row r="23" spans="1:12" ht="20.100000000000001" hidden="1" customHeight="1">
      <c r="A23" s="115" t="str">
        <f>"구 분 : "&amp;월기본급!B10&amp;"                       직종명 : "&amp;월기본급!F10&amp;""</f>
        <v xml:space="preserve">구 분 :                        직종명 : </v>
      </c>
      <c r="B23" s="114"/>
      <c r="C23" s="114"/>
      <c r="D23" s="114"/>
      <c r="E23" s="486"/>
      <c r="F23" s="486"/>
      <c r="G23" s="486"/>
      <c r="J23" s="118" t="s">
        <v>36</v>
      </c>
      <c r="K23" s="105">
        <v>209</v>
      </c>
      <c r="L23" s="115" t="s">
        <v>44</v>
      </c>
    </row>
    <row r="24" spans="1:12" ht="50.1" hidden="1" customHeight="1">
      <c r="A24" s="1012" t="s">
        <v>45</v>
      </c>
      <c r="B24" s="1013"/>
      <c r="C24" s="1013"/>
      <c r="D24" s="1014"/>
      <c r="E24" s="1062" t="s">
        <v>46</v>
      </c>
      <c r="F24" s="1063"/>
      <c r="G24" s="369" t="s">
        <v>181</v>
      </c>
      <c r="H24" s="367"/>
      <c r="I24" s="369" t="s">
        <v>47</v>
      </c>
      <c r="J24" s="367"/>
    </row>
    <row r="25" spans="1:12" ht="36" hidden="1" customHeight="1">
      <c r="A25" s="1012" t="s">
        <v>48</v>
      </c>
      <c r="B25" s="1013"/>
      <c r="C25" s="1013"/>
      <c r="D25" s="1014"/>
      <c r="E25" s="573">
        <f>월기본급!J10</f>
        <v>0</v>
      </c>
      <c r="F25" s="577"/>
      <c r="G25" s="578"/>
      <c r="H25" s="568" t="s">
        <v>377</v>
      </c>
      <c r="I25" s="499"/>
      <c r="J25" s="569" t="s">
        <v>49</v>
      </c>
    </row>
    <row r="26" spans="1:12" ht="36" hidden="1" customHeight="1">
      <c r="A26" s="1021" t="s">
        <v>258</v>
      </c>
      <c r="B26" s="587"/>
      <c r="C26" s="586" t="s">
        <v>0</v>
      </c>
      <c r="D26" s="589"/>
      <c r="E26" s="692">
        <f>TRUNC((E25/K23*($L$7*4.34)*1.5),0)</f>
        <v>0</v>
      </c>
      <c r="F26" s="577"/>
      <c r="G26" s="578"/>
      <c r="H26" s="570" t="s">
        <v>203</v>
      </c>
      <c r="I26" s="571"/>
      <c r="J26" s="569" t="s">
        <v>10</v>
      </c>
      <c r="K26" s="105" t="e">
        <f>연장근로!#REF!</f>
        <v>#REF!</v>
      </c>
    </row>
    <row r="27" spans="1:12" ht="36" hidden="1" customHeight="1">
      <c r="A27" s="1022"/>
      <c r="B27" s="587"/>
      <c r="C27" s="586" t="s">
        <v>229</v>
      </c>
      <c r="D27" s="589"/>
      <c r="E27" s="573">
        <f>TRUNC(E25/K23*K27*1.5,0)</f>
        <v>0</v>
      </c>
      <c r="F27" s="577"/>
      <c r="G27" s="578"/>
      <c r="H27" s="570" t="s">
        <v>203</v>
      </c>
      <c r="I27" s="571"/>
      <c r="J27" s="569" t="s">
        <v>11</v>
      </c>
      <c r="K27" s="105">
        <f>휴일근로!$F$10</f>
        <v>8</v>
      </c>
    </row>
    <row r="28" spans="1:12" ht="36" hidden="1" customHeight="1">
      <c r="A28" s="1022"/>
      <c r="B28" s="587"/>
      <c r="C28" s="586" t="s">
        <v>50</v>
      </c>
      <c r="D28" s="589"/>
      <c r="E28" s="573">
        <f>TRUNC(E25/K23*8*15/12,0)</f>
        <v>0</v>
      </c>
      <c r="F28" s="577"/>
      <c r="G28" s="578"/>
      <c r="H28" s="570" t="s">
        <v>202</v>
      </c>
      <c r="I28" s="571"/>
      <c r="J28" s="569" t="s">
        <v>12</v>
      </c>
    </row>
    <row r="29" spans="1:12" ht="36" hidden="1" customHeight="1">
      <c r="A29" s="1022"/>
      <c r="B29" s="587"/>
      <c r="C29" s="586" t="s">
        <v>257</v>
      </c>
      <c r="D29" s="589"/>
      <c r="E29" s="566"/>
      <c r="F29" s="577"/>
      <c r="G29" s="578"/>
      <c r="H29" s="570" t="s">
        <v>378</v>
      </c>
      <c r="I29" s="571"/>
      <c r="J29" s="569" t="s">
        <v>13</v>
      </c>
    </row>
    <row r="30" spans="1:12" ht="36" hidden="1" customHeight="1">
      <c r="A30" s="1023"/>
      <c r="B30" s="587"/>
      <c r="C30" s="586" t="s">
        <v>51</v>
      </c>
      <c r="D30" s="589"/>
      <c r="E30" s="573">
        <f>SUM(E26:E29)</f>
        <v>0</v>
      </c>
      <c r="F30" s="577"/>
      <c r="G30" s="578"/>
      <c r="H30" s="570"/>
      <c r="I30" s="571"/>
      <c r="J30" s="569"/>
    </row>
    <row r="31" spans="1:12" ht="36" hidden="1" customHeight="1">
      <c r="A31" s="1012" t="s">
        <v>52</v>
      </c>
      <c r="B31" s="1013"/>
      <c r="C31" s="1013"/>
      <c r="D31" s="1014"/>
      <c r="E31" s="566">
        <f>TRUNC(E25*0.7/12,0)</f>
        <v>0</v>
      </c>
      <c r="F31" s="567"/>
      <c r="G31" s="84"/>
      <c r="H31" s="574" t="s">
        <v>432</v>
      </c>
      <c r="I31" s="575"/>
      <c r="J31" s="569" t="s">
        <v>267</v>
      </c>
    </row>
    <row r="32" spans="1:12" ht="36" hidden="1" customHeight="1">
      <c r="A32" s="1012" t="s">
        <v>53</v>
      </c>
      <c r="B32" s="1013"/>
      <c r="C32" s="1013"/>
      <c r="D32" s="1014"/>
      <c r="E32" s="573">
        <f>TRUNC(SUM(E25,E30,E31)/12,0)</f>
        <v>0</v>
      </c>
      <c r="F32" s="577"/>
      <c r="G32" s="578"/>
      <c r="H32" s="570" t="s">
        <v>54</v>
      </c>
      <c r="I32" s="571"/>
      <c r="J32" s="569" t="s">
        <v>268</v>
      </c>
    </row>
    <row r="33" spans="1:12" ht="45" hidden="1" customHeight="1">
      <c r="A33" s="1012" t="s">
        <v>55</v>
      </c>
      <c r="B33" s="1013"/>
      <c r="C33" s="1013"/>
      <c r="D33" s="1014"/>
      <c r="E33" s="573">
        <f>SUM(E25,E30,E31,E32)</f>
        <v>0</v>
      </c>
      <c r="F33" s="577"/>
      <c r="G33" s="578"/>
      <c r="H33" s="592"/>
      <c r="I33" s="590"/>
      <c r="J33" s="591"/>
    </row>
    <row r="34" spans="1:12" s="484" customFormat="1" ht="24.95" hidden="1" customHeight="1">
      <c r="A34" s="483" t="str">
        <f>"주 1) 기본급 : "&amp;월기본급!$A$1&amp;월기본급!$A$2&amp;" 참조"</f>
        <v>주 1) 기본급 : &lt; 표 : 5 &gt; M/M당기본급산출표 참조</v>
      </c>
      <c r="B34" s="483"/>
      <c r="C34" s="483"/>
      <c r="D34" s="483"/>
      <c r="E34" s="485"/>
      <c r="F34" s="485"/>
      <c r="G34" s="485"/>
      <c r="H34" s="485"/>
      <c r="I34" s="485"/>
      <c r="J34" s="485"/>
      <c r="L34" s="488"/>
    </row>
    <row r="35" spans="1:12" s="484" customFormat="1" ht="24.95" hidden="1" customHeight="1">
      <c r="A35" s="487" t="str">
        <f>"   2) 연장근로수당 : "&amp;FIXED(E25,0)&amp;"(기본급)÷"&amp;K23&amp;"시간(월근로시간)×("&amp;(연장근로!$D$8)&amp;"시간×"&amp;(연장근로!$E$8)&amp;"주)×1.5(할증)"</f>
        <v xml:space="preserve">   2) 연장근로수당 : 0(기본급)÷209시간(월근로시간)×(8시간×4.34주)×1.5(할증)</v>
      </c>
      <c r="B35" s="483"/>
      <c r="C35" s="483"/>
      <c r="D35" s="483"/>
      <c r="E35" s="485"/>
      <c r="F35" s="485"/>
      <c r="G35" s="485"/>
      <c r="H35" s="485"/>
      <c r="I35" s="485"/>
      <c r="J35" s="485"/>
      <c r="L35" s="488"/>
    </row>
    <row r="36" spans="1:12" s="484" customFormat="1" ht="24.95" hidden="1" customHeight="1">
      <c r="A36" s="115" t="s">
        <v>270</v>
      </c>
      <c r="B36" s="483"/>
      <c r="C36" s="483"/>
      <c r="D36" s="483"/>
      <c r="E36" s="485"/>
      <c r="F36" s="485"/>
      <c r="G36" s="485"/>
      <c r="H36" s="485"/>
      <c r="I36" s="485"/>
      <c r="J36" s="485"/>
      <c r="L36" s="488"/>
    </row>
    <row r="37" spans="1:12" s="484" customFormat="1" ht="24.95" hidden="1" customHeight="1">
      <c r="A37" s="487" t="str">
        <f>"   3) 휴일근로수당 : "&amp;FIXED(E25,0)&amp;"(기본급)÷"&amp;K23&amp;"(월근로시간)×"&amp;K27&amp;"시간(휴일근로시간)×1.5(할증)"</f>
        <v xml:space="preserve">   3) 휴일근로수당 : 0(기본급)÷209(월근로시간)×8시간(휴일근로시간)×1.5(할증)</v>
      </c>
      <c r="B37" s="483"/>
      <c r="C37" s="483"/>
      <c r="D37" s="483"/>
      <c r="E37" s="485"/>
      <c r="F37" s="485"/>
      <c r="G37" s="485"/>
      <c r="H37" s="485"/>
      <c r="I37" s="485"/>
      <c r="J37" s="485"/>
      <c r="L37" s="488"/>
    </row>
    <row r="38" spans="1:12" s="484" customFormat="1" ht="24.95" hidden="1" customHeight="1">
      <c r="A38" s="487" t="str">
        <f>"   4) 년차수당 : "&amp;FIXED(E25,0)&amp;"(기본급)÷"&amp;K23&amp;"(월근로시간)×8시간(일근로시간)×15일/년÷12개월"</f>
        <v xml:space="preserve">   4) 년차수당 : 0(기본급)÷209(월근로시간)×8시간(일근로시간)×15일/년÷12개월</v>
      </c>
      <c r="B38" s="576"/>
      <c r="C38" s="576"/>
      <c r="D38" s="576"/>
      <c r="E38" s="486"/>
      <c r="F38" s="486"/>
      <c r="G38" s="486"/>
      <c r="H38" s="486"/>
      <c r="I38" s="486"/>
      <c r="J38" s="117"/>
      <c r="L38" s="488"/>
    </row>
    <row r="39" spans="1:12" s="484" customFormat="1" ht="24.95" hidden="1" customHeight="1">
      <c r="A39" s="487" t="s">
        <v>269</v>
      </c>
      <c r="B39" s="576"/>
      <c r="C39" s="576"/>
      <c r="D39" s="576"/>
      <c r="E39" s="486"/>
      <c r="F39" s="486"/>
      <c r="G39" s="486"/>
      <c r="H39" s="486"/>
      <c r="I39" s="486"/>
      <c r="J39" s="117"/>
      <c r="L39" s="488"/>
    </row>
    <row r="40" spans="1:12" ht="24.95" hidden="1" customHeight="1">
      <c r="A40" s="487" t="str">
        <f>"   6) 상여금 : "&amp;FIXED(E25,0)&amp;"(기본급)×0.7개월(년 70%적용)÷12개월"</f>
        <v xml:space="preserve">   6) 상여금 : 0(기본급)×0.7개월(년 70%적용)÷12개월</v>
      </c>
      <c r="J40" s="85"/>
    </row>
    <row r="41" spans="1:12" ht="24.95" hidden="1" customHeight="1">
      <c r="A41" s="487" t="str">
        <f>"   7) 퇴직급여충당금 : {"&amp;FIXED(E25,0)&amp;"(기본급)+"&amp;FIXED(E30,0)&amp;"(제수당)+"&amp;FIXED(E31,0)&amp;"(상여금)}÷12개월"</f>
        <v xml:space="preserve">   7) 퇴직급여충당금 : {0(기본급)+0(제수당)+0(상여금)}÷12개월</v>
      </c>
      <c r="J41" s="85"/>
    </row>
    <row r="42" spans="1:12" ht="20.100000000000001" hidden="1" customHeight="1">
      <c r="A42" s="115" t="str">
        <f>"구 분 : "&amp;월기본급!B11&amp;"                       직종명 : "&amp;월기본급!F11&amp;""</f>
        <v xml:space="preserve">구 분 :                        직종명 : </v>
      </c>
      <c r="B42" s="114"/>
      <c r="C42" s="114"/>
      <c r="D42" s="114"/>
      <c r="E42" s="486"/>
      <c r="F42" s="486"/>
      <c r="G42" s="486"/>
      <c r="J42" s="118" t="s">
        <v>36</v>
      </c>
      <c r="K42" s="105">
        <v>209</v>
      </c>
      <c r="L42" s="115" t="s">
        <v>44</v>
      </c>
    </row>
    <row r="43" spans="1:12" ht="50.1" hidden="1" customHeight="1">
      <c r="A43" s="1012" t="s">
        <v>45</v>
      </c>
      <c r="B43" s="1013"/>
      <c r="C43" s="1013"/>
      <c r="D43" s="1014"/>
      <c r="E43" s="1062" t="s">
        <v>46</v>
      </c>
      <c r="F43" s="1063"/>
      <c r="G43" s="369" t="s">
        <v>181</v>
      </c>
      <c r="H43" s="367"/>
      <c r="I43" s="369" t="s">
        <v>47</v>
      </c>
      <c r="J43" s="367"/>
    </row>
    <row r="44" spans="1:12" ht="36" hidden="1" customHeight="1">
      <c r="A44" s="1012" t="s">
        <v>48</v>
      </c>
      <c r="B44" s="1013"/>
      <c r="C44" s="1013"/>
      <c r="D44" s="1014"/>
      <c r="E44" s="573">
        <f>월기본급!J11</f>
        <v>0</v>
      </c>
      <c r="F44" s="577"/>
      <c r="G44" s="578"/>
      <c r="H44" s="568" t="s">
        <v>377</v>
      </c>
      <c r="I44" s="499"/>
      <c r="J44" s="569" t="s">
        <v>49</v>
      </c>
    </row>
    <row r="45" spans="1:12" ht="36" hidden="1" customHeight="1">
      <c r="A45" s="1021" t="s">
        <v>258</v>
      </c>
      <c r="B45" s="587"/>
      <c r="C45" s="586" t="s">
        <v>0</v>
      </c>
      <c r="D45" s="589"/>
      <c r="E45" s="692">
        <f>TRUNC((E44/K42*($L$7*4.34)*1.5),0)</f>
        <v>0</v>
      </c>
      <c r="F45" s="577"/>
      <c r="G45" s="578"/>
      <c r="H45" s="570" t="s">
        <v>203</v>
      </c>
      <c r="I45" s="571"/>
      <c r="J45" s="569" t="s">
        <v>10</v>
      </c>
    </row>
    <row r="46" spans="1:12" ht="36" hidden="1" customHeight="1">
      <c r="A46" s="1022"/>
      <c r="B46" s="587"/>
      <c r="C46" s="586" t="s">
        <v>229</v>
      </c>
      <c r="D46" s="589"/>
      <c r="E46" s="573">
        <f>TRUNC(E44/K42*K46*1.5,0)</f>
        <v>0</v>
      </c>
      <c r="F46" s="577"/>
      <c r="G46" s="578"/>
      <c r="H46" s="570" t="s">
        <v>203</v>
      </c>
      <c r="I46" s="571"/>
      <c r="J46" s="569" t="s">
        <v>11</v>
      </c>
      <c r="K46" s="105">
        <f>휴일근로!$F$10</f>
        <v>8</v>
      </c>
    </row>
    <row r="47" spans="1:12" ht="36" hidden="1" customHeight="1">
      <c r="A47" s="1022"/>
      <c r="B47" s="587"/>
      <c r="C47" s="586" t="s">
        <v>50</v>
      </c>
      <c r="D47" s="589"/>
      <c r="E47" s="573">
        <f>TRUNC(E44/K42*8*15/12,0)</f>
        <v>0</v>
      </c>
      <c r="F47" s="577"/>
      <c r="G47" s="578"/>
      <c r="H47" s="570" t="s">
        <v>202</v>
      </c>
      <c r="I47" s="571"/>
      <c r="J47" s="569" t="s">
        <v>12</v>
      </c>
    </row>
    <row r="48" spans="1:12" ht="36" hidden="1" customHeight="1">
      <c r="A48" s="1022"/>
      <c r="B48" s="587"/>
      <c r="C48" s="586" t="s">
        <v>257</v>
      </c>
      <c r="D48" s="589"/>
      <c r="E48" s="566"/>
      <c r="F48" s="567"/>
      <c r="G48" s="84"/>
      <c r="H48" s="570" t="s">
        <v>378</v>
      </c>
      <c r="I48" s="571"/>
      <c r="J48" s="569" t="s">
        <v>13</v>
      </c>
    </row>
    <row r="49" spans="1:12" ht="36" hidden="1" customHeight="1">
      <c r="A49" s="1023"/>
      <c r="B49" s="587"/>
      <c r="C49" s="586" t="s">
        <v>51</v>
      </c>
      <c r="D49" s="589"/>
      <c r="E49" s="573">
        <f>SUM(E45:E48)</f>
        <v>0</v>
      </c>
      <c r="F49" s="577"/>
      <c r="G49" s="578"/>
      <c r="H49" s="570"/>
      <c r="I49" s="571"/>
      <c r="J49" s="569"/>
    </row>
    <row r="50" spans="1:12" ht="36" hidden="1" customHeight="1">
      <c r="A50" s="1012" t="s">
        <v>52</v>
      </c>
      <c r="B50" s="1013"/>
      <c r="C50" s="1013"/>
      <c r="D50" s="1014"/>
      <c r="E50" s="566">
        <f>TRUNC(E44*0.7/12,0)</f>
        <v>0</v>
      </c>
      <c r="F50" s="567"/>
      <c r="G50" s="84"/>
      <c r="H50" s="574" t="s">
        <v>432</v>
      </c>
      <c r="I50" s="575"/>
      <c r="J50" s="569" t="s">
        <v>267</v>
      </c>
    </row>
    <row r="51" spans="1:12" ht="36" hidden="1" customHeight="1">
      <c r="A51" s="1012" t="s">
        <v>53</v>
      </c>
      <c r="B51" s="1013"/>
      <c r="C51" s="1013"/>
      <c r="D51" s="1014"/>
      <c r="E51" s="573">
        <f>TRUNC(SUM(E44,E49,E50)/12,0)</f>
        <v>0</v>
      </c>
      <c r="F51" s="577"/>
      <c r="G51" s="578"/>
      <c r="H51" s="570" t="s">
        <v>54</v>
      </c>
      <c r="I51" s="571"/>
      <c r="J51" s="569" t="s">
        <v>268</v>
      </c>
    </row>
    <row r="52" spans="1:12" ht="45" hidden="1" customHeight="1">
      <c r="A52" s="1012" t="s">
        <v>55</v>
      </c>
      <c r="B52" s="1013"/>
      <c r="C52" s="1013"/>
      <c r="D52" s="1014"/>
      <c r="E52" s="573">
        <f>SUM(E44,E49,E50,E51)</f>
        <v>0</v>
      </c>
      <c r="F52" s="577"/>
      <c r="G52" s="578"/>
      <c r="H52" s="592"/>
      <c r="I52" s="590"/>
      <c r="J52" s="591"/>
    </row>
    <row r="53" spans="1:12" s="484" customFormat="1" ht="24.95" hidden="1" customHeight="1">
      <c r="A53" s="483" t="str">
        <f>"주 1) 기본급 : "&amp;월기본급!$A$1&amp;월기본급!$A$2&amp;" 참조"</f>
        <v>주 1) 기본급 : &lt; 표 : 5 &gt; M/M당기본급산출표 참조</v>
      </c>
      <c r="B53" s="483"/>
      <c r="C53" s="483"/>
      <c r="D53" s="483"/>
      <c r="E53" s="485"/>
      <c r="F53" s="485"/>
      <c r="G53" s="485"/>
      <c r="H53" s="485"/>
      <c r="I53" s="485"/>
      <c r="J53" s="485"/>
      <c r="L53" s="488"/>
    </row>
    <row r="54" spans="1:12" s="484" customFormat="1" ht="24.95" hidden="1" customHeight="1">
      <c r="A54" s="487" t="str">
        <f>"   2) 연장근로수당 : "&amp;FIXED(E44,0)&amp;"(기본급)÷"&amp;K42&amp;"시간(월근로시간)×("&amp;(연장근로!$D$8)&amp;"시간×"&amp;(연장근로!$E$8)&amp;"주)×1.5(할증)"</f>
        <v xml:space="preserve">   2) 연장근로수당 : 0(기본급)÷209시간(월근로시간)×(8시간×4.34주)×1.5(할증)</v>
      </c>
      <c r="B54" s="483"/>
      <c r="C54" s="483"/>
      <c r="D54" s="483"/>
      <c r="E54" s="485"/>
      <c r="F54" s="485"/>
      <c r="G54" s="485"/>
      <c r="H54" s="485"/>
      <c r="I54" s="485"/>
      <c r="J54" s="485"/>
      <c r="L54" s="488"/>
    </row>
    <row r="55" spans="1:12" s="484" customFormat="1" ht="24.95" hidden="1" customHeight="1">
      <c r="A55" s="115" t="s">
        <v>270</v>
      </c>
      <c r="B55" s="483"/>
      <c r="C55" s="483"/>
      <c r="D55" s="483"/>
      <c r="E55" s="485"/>
      <c r="F55" s="485"/>
      <c r="G55" s="485"/>
      <c r="H55" s="485"/>
      <c r="I55" s="485"/>
      <c r="J55" s="485"/>
      <c r="L55" s="488"/>
    </row>
    <row r="56" spans="1:12" s="484" customFormat="1" ht="24.95" hidden="1" customHeight="1">
      <c r="A56" s="487" t="str">
        <f>"   3) 휴일근로수당 : "&amp;FIXED(E44,0)&amp;"(기본급)÷"&amp;K42&amp;"(월근로시간)×"&amp;K46&amp;"시간(휴일근로시간)×1.5(할증)"</f>
        <v xml:space="preserve">   3) 휴일근로수당 : 0(기본급)÷209(월근로시간)×8시간(휴일근로시간)×1.5(할증)</v>
      </c>
      <c r="B56" s="483"/>
      <c r="C56" s="483"/>
      <c r="D56" s="483"/>
      <c r="E56" s="485"/>
      <c r="F56" s="485"/>
      <c r="G56" s="485"/>
      <c r="H56" s="485"/>
      <c r="I56" s="485"/>
      <c r="J56" s="485"/>
      <c r="L56" s="488"/>
    </row>
    <row r="57" spans="1:12" s="484" customFormat="1" ht="24.95" hidden="1" customHeight="1">
      <c r="A57" s="487" t="str">
        <f>"   4) 년차수당 : "&amp;FIXED(E44,0)&amp;"(기본급)÷"&amp;K42&amp;"(월근로시간)×8시간(일근로시간)×15일/년÷12개월"</f>
        <v xml:space="preserve">   4) 년차수당 : 0(기본급)÷209(월근로시간)×8시간(일근로시간)×15일/년÷12개월</v>
      </c>
      <c r="B57" s="576"/>
      <c r="C57" s="576"/>
      <c r="D57" s="576"/>
      <c r="E57" s="486"/>
      <c r="F57" s="486"/>
      <c r="G57" s="486"/>
      <c r="H57" s="486"/>
      <c r="I57" s="486"/>
      <c r="J57" s="117"/>
      <c r="L57" s="488"/>
    </row>
    <row r="58" spans="1:12" s="484" customFormat="1" ht="24.95" hidden="1" customHeight="1">
      <c r="A58" s="487" t="s">
        <v>269</v>
      </c>
      <c r="B58" s="576"/>
      <c r="C58" s="576"/>
      <c r="D58" s="576"/>
      <c r="E58" s="486"/>
      <c r="F58" s="486"/>
      <c r="G58" s="486"/>
      <c r="H58" s="486"/>
      <c r="I58" s="486"/>
      <c r="J58" s="117"/>
      <c r="L58" s="488"/>
    </row>
    <row r="59" spans="1:12" ht="24.95" hidden="1" customHeight="1">
      <c r="A59" s="487" t="str">
        <f>"   6) 상여금 : "&amp;FIXED(E44,0)&amp;"(기본급)×0.7개월(년 70%적용)÷12개월"</f>
        <v xml:space="preserve">   6) 상여금 : 0(기본급)×0.7개월(년 70%적용)÷12개월</v>
      </c>
      <c r="J59" s="85"/>
    </row>
    <row r="60" spans="1:12" ht="24.95" hidden="1" customHeight="1">
      <c r="A60" s="487" t="str">
        <f>"   7) 퇴직급여충당금 : {"&amp;FIXED(E44,0)&amp;"(기본급)+"&amp;FIXED(E49,0)&amp;"(제수당)+"&amp;FIXED(E50,0)&amp;"(상여금)}÷12개월"</f>
        <v xml:space="preserve">   7) 퇴직급여충당금 : {0(기본급)+0(제수당)+0(상여금)}÷12개월</v>
      </c>
      <c r="J60" s="85"/>
    </row>
    <row r="61" spans="1:12" ht="20.100000000000001" hidden="1" customHeight="1">
      <c r="A61" s="115" t="str">
        <f>"구 분 : "&amp;월기본급!B12&amp;"                       직종명 : "&amp;월기본급!F12&amp;""</f>
        <v xml:space="preserve">구 분 :                        직종명 : </v>
      </c>
      <c r="B61" s="114"/>
      <c r="C61" s="114"/>
      <c r="D61" s="114"/>
      <c r="E61" s="486"/>
      <c r="F61" s="486"/>
      <c r="G61" s="486"/>
      <c r="J61" s="118" t="s">
        <v>36</v>
      </c>
      <c r="K61" s="105">
        <v>209</v>
      </c>
      <c r="L61" s="115" t="s">
        <v>44</v>
      </c>
    </row>
    <row r="62" spans="1:12" ht="50.1" hidden="1" customHeight="1">
      <c r="A62" s="1012" t="s">
        <v>45</v>
      </c>
      <c r="B62" s="1013"/>
      <c r="C62" s="1013"/>
      <c r="D62" s="1014"/>
      <c r="E62" s="1062" t="s">
        <v>46</v>
      </c>
      <c r="F62" s="1063"/>
      <c r="G62" s="369" t="s">
        <v>181</v>
      </c>
      <c r="H62" s="367"/>
      <c r="I62" s="369" t="s">
        <v>47</v>
      </c>
      <c r="J62" s="367"/>
    </row>
    <row r="63" spans="1:12" ht="36" hidden="1" customHeight="1">
      <c r="A63" s="1012" t="s">
        <v>48</v>
      </c>
      <c r="B63" s="1013"/>
      <c r="C63" s="1013"/>
      <c r="D63" s="1014"/>
      <c r="E63" s="573">
        <f>월기본급!J12</f>
        <v>0</v>
      </c>
      <c r="F63" s="577"/>
      <c r="G63" s="578"/>
      <c r="H63" s="568" t="s">
        <v>377</v>
      </c>
      <c r="I63" s="499"/>
      <c r="J63" s="569" t="s">
        <v>49</v>
      </c>
    </row>
    <row r="64" spans="1:12" ht="36" hidden="1" customHeight="1">
      <c r="A64" s="1021" t="s">
        <v>258</v>
      </c>
      <c r="B64" s="587"/>
      <c r="C64" s="586" t="s">
        <v>0</v>
      </c>
      <c r="D64" s="589"/>
      <c r="E64" s="692">
        <f>TRUNC((E63/K61*($L$7*4.34)*1.5),0)</f>
        <v>0</v>
      </c>
      <c r="F64" s="577"/>
      <c r="G64" s="578"/>
      <c r="H64" s="570" t="s">
        <v>203</v>
      </c>
      <c r="I64" s="571"/>
      <c r="J64" s="569" t="s">
        <v>10</v>
      </c>
      <c r="K64" s="105">
        <f>K45</f>
        <v>0</v>
      </c>
    </row>
    <row r="65" spans="1:12" ht="36" hidden="1" customHeight="1">
      <c r="A65" s="1022"/>
      <c r="B65" s="587"/>
      <c r="C65" s="586" t="s">
        <v>209</v>
      </c>
      <c r="D65" s="589"/>
      <c r="E65" s="573">
        <f>TRUNC(E63/K61*K65*1.5,0)</f>
        <v>0</v>
      </c>
      <c r="F65" s="577"/>
      <c r="G65" s="578"/>
      <c r="H65" s="570" t="s">
        <v>203</v>
      </c>
      <c r="I65" s="571"/>
      <c r="J65" s="569" t="s">
        <v>11</v>
      </c>
      <c r="K65" s="579">
        <f>K46</f>
        <v>8</v>
      </c>
    </row>
    <row r="66" spans="1:12" ht="36" hidden="1" customHeight="1">
      <c r="A66" s="1022"/>
      <c r="B66" s="587"/>
      <c r="C66" s="586" t="s">
        <v>50</v>
      </c>
      <c r="D66" s="589"/>
      <c r="E66" s="573">
        <f>TRUNC(E63/K61*8*15/12,0)</f>
        <v>0</v>
      </c>
      <c r="F66" s="577"/>
      <c r="G66" s="578"/>
      <c r="H66" s="570" t="s">
        <v>202</v>
      </c>
      <c r="I66" s="571"/>
      <c r="J66" s="569" t="s">
        <v>12</v>
      </c>
    </row>
    <row r="67" spans="1:12" ht="36" hidden="1" customHeight="1">
      <c r="A67" s="1022"/>
      <c r="B67" s="587"/>
      <c r="C67" s="586" t="s">
        <v>257</v>
      </c>
      <c r="D67" s="589"/>
      <c r="E67" s="566"/>
      <c r="F67" s="577"/>
      <c r="G67" s="578"/>
      <c r="H67" s="570" t="s">
        <v>378</v>
      </c>
      <c r="I67" s="571"/>
      <c r="J67" s="569" t="s">
        <v>13</v>
      </c>
    </row>
    <row r="68" spans="1:12" ht="36" hidden="1" customHeight="1">
      <c r="A68" s="1023"/>
      <c r="B68" s="587"/>
      <c r="C68" s="586" t="s">
        <v>51</v>
      </c>
      <c r="D68" s="589"/>
      <c r="E68" s="573">
        <f>SUM(E64:E67)</f>
        <v>0</v>
      </c>
      <c r="F68" s="577"/>
      <c r="G68" s="578"/>
      <c r="H68" s="570"/>
      <c r="I68" s="571"/>
      <c r="J68" s="569"/>
    </row>
    <row r="69" spans="1:12" ht="36" hidden="1" customHeight="1">
      <c r="A69" s="1012" t="s">
        <v>52</v>
      </c>
      <c r="B69" s="1013"/>
      <c r="C69" s="1013"/>
      <c r="D69" s="1014"/>
      <c r="E69" s="566">
        <f>TRUNC(E63*0.3/12,0)</f>
        <v>0</v>
      </c>
      <c r="F69" s="567"/>
      <c r="G69" s="84"/>
      <c r="H69" s="574" t="s">
        <v>432</v>
      </c>
      <c r="I69" s="575"/>
      <c r="J69" s="569" t="s">
        <v>267</v>
      </c>
    </row>
    <row r="70" spans="1:12" ht="36" hidden="1" customHeight="1">
      <c r="A70" s="1012" t="s">
        <v>53</v>
      </c>
      <c r="B70" s="1013"/>
      <c r="C70" s="1013"/>
      <c r="D70" s="1014"/>
      <c r="E70" s="573">
        <f>TRUNC(SUM(E63,E68,E69)/12,0)</f>
        <v>0</v>
      </c>
      <c r="F70" s="577"/>
      <c r="G70" s="578"/>
      <c r="H70" s="570" t="s">
        <v>54</v>
      </c>
      <c r="I70" s="571"/>
      <c r="J70" s="569" t="s">
        <v>268</v>
      </c>
    </row>
    <row r="71" spans="1:12" ht="45" hidden="1" customHeight="1">
      <c r="A71" s="1012" t="s">
        <v>55</v>
      </c>
      <c r="B71" s="1013"/>
      <c r="C71" s="1013"/>
      <c r="D71" s="1014"/>
      <c r="E71" s="573">
        <f>SUM(E63,E68,E69,E70)</f>
        <v>0</v>
      </c>
      <c r="F71" s="577"/>
      <c r="G71" s="578"/>
      <c r="H71" s="592"/>
      <c r="I71" s="590"/>
      <c r="J71" s="591"/>
    </row>
    <row r="72" spans="1:12" s="484" customFormat="1" ht="24.95" hidden="1" customHeight="1">
      <c r="A72" s="483" t="str">
        <f>"주 1) 기본급 : "&amp;월기본급!$A$1&amp;월기본급!$A$2&amp;" 참조"</f>
        <v>주 1) 기본급 : &lt; 표 : 5 &gt; M/M당기본급산출표 참조</v>
      </c>
      <c r="B72" s="483"/>
      <c r="C72" s="483"/>
      <c r="D72" s="483"/>
      <c r="E72" s="485"/>
      <c r="F72" s="485"/>
      <c r="G72" s="485"/>
      <c r="H72" s="485"/>
      <c r="I72" s="485"/>
      <c r="J72" s="485"/>
      <c r="L72" s="488"/>
    </row>
    <row r="73" spans="1:12" s="484" customFormat="1" ht="24.95" hidden="1" customHeight="1">
      <c r="A73" s="487" t="str">
        <f>"   2) 연장근로수당 : "&amp;FIXED(E63,0)&amp;"(기본급)÷"&amp;K61&amp;"시간(월근로시간)×("&amp;(연장근로!$D$8)&amp;"시간×"&amp;(연장근로!$E$8)&amp;"주)×1.5(할증)"</f>
        <v xml:space="preserve">   2) 연장근로수당 : 0(기본급)÷209시간(월근로시간)×(8시간×4.34주)×1.5(할증)</v>
      </c>
      <c r="B73" s="483"/>
      <c r="C73" s="483"/>
      <c r="D73" s="483"/>
      <c r="E73" s="485"/>
      <c r="F73" s="485"/>
      <c r="G73" s="485"/>
      <c r="H73" s="485"/>
      <c r="I73" s="485"/>
      <c r="J73" s="485"/>
      <c r="L73" s="488"/>
    </row>
    <row r="74" spans="1:12" s="484" customFormat="1" ht="24.95" hidden="1" customHeight="1">
      <c r="A74" s="115" t="s">
        <v>270</v>
      </c>
      <c r="B74" s="483"/>
      <c r="C74" s="483"/>
      <c r="D74" s="483"/>
      <c r="E74" s="485"/>
      <c r="F74" s="485"/>
      <c r="G74" s="485"/>
      <c r="H74" s="485"/>
      <c r="I74" s="485"/>
      <c r="J74" s="485"/>
      <c r="L74" s="488"/>
    </row>
    <row r="75" spans="1:12" s="484" customFormat="1" ht="24.95" hidden="1" customHeight="1">
      <c r="A75" s="487" t="str">
        <f>"   3) 휴일근로수당 : "&amp;FIXED(E63,0)&amp;"(기본급)÷"&amp;K61&amp;"(월근로시간)×"&amp;FIXED(K65,0)&amp;"시간(휴일근로시간)×1.5(할증)"</f>
        <v xml:space="preserve">   3) 휴일근로수당 : 0(기본급)÷209(월근로시간)×8시간(휴일근로시간)×1.5(할증)</v>
      </c>
      <c r="B75" s="483"/>
      <c r="C75" s="483"/>
      <c r="D75" s="483"/>
      <c r="E75" s="485"/>
      <c r="F75" s="485"/>
      <c r="G75" s="485"/>
      <c r="H75" s="485"/>
      <c r="I75" s="485"/>
      <c r="J75" s="485"/>
      <c r="L75" s="488"/>
    </row>
    <row r="76" spans="1:12" s="484" customFormat="1" ht="24.95" hidden="1" customHeight="1">
      <c r="A76" s="487" t="str">
        <f>"   4) 년차수당 : "&amp;FIXED(E63,0)&amp;"(기본급)÷"&amp;K61&amp;"(월근로시간)×8시간(일근로시간)×15일/년÷12개월"</f>
        <v xml:space="preserve">   4) 년차수당 : 0(기본급)÷209(월근로시간)×8시간(일근로시간)×15일/년÷12개월</v>
      </c>
      <c r="B76" s="576"/>
      <c r="C76" s="576"/>
      <c r="D76" s="576"/>
      <c r="E76" s="486"/>
      <c r="F76" s="486"/>
      <c r="G76" s="486"/>
      <c r="H76" s="486"/>
      <c r="I76" s="486"/>
      <c r="J76" s="117"/>
      <c r="L76" s="488"/>
    </row>
    <row r="77" spans="1:12" s="484" customFormat="1" ht="24.95" hidden="1" customHeight="1">
      <c r="A77" s="487" t="s">
        <v>269</v>
      </c>
      <c r="B77" s="576"/>
      <c r="C77" s="576"/>
      <c r="D77" s="576"/>
      <c r="E77" s="486"/>
      <c r="F77" s="486"/>
      <c r="G77" s="486"/>
      <c r="H77" s="486"/>
      <c r="I77" s="486"/>
      <c r="J77" s="117"/>
      <c r="L77" s="488"/>
    </row>
    <row r="78" spans="1:12" ht="24.95" hidden="1" customHeight="1">
      <c r="A78" s="487" t="str">
        <f>"   6) 상여금 : "&amp;FIXED(E63,0)&amp;"(기본급)×0.3개월(년 30%적용)÷12개월"</f>
        <v xml:space="preserve">   6) 상여금 : 0(기본급)×0.3개월(년 30%적용)÷12개월</v>
      </c>
      <c r="J78" s="85"/>
    </row>
    <row r="79" spans="1:12" ht="24.95" hidden="1" customHeight="1">
      <c r="A79" s="487" t="str">
        <f>"   7) 퇴직급여충당금 : {"&amp;FIXED(E63,0)&amp;"(기본급)+"&amp;FIXED(E68,0)&amp;"(제수당)+"&amp;FIXED(E69,0)&amp;"(상여금)}÷12개월"</f>
        <v xml:space="preserve">   7) 퇴직급여충당금 : {0(기본급)+0(제수당)+0(상여금)}÷12개월</v>
      </c>
      <c r="J79" s="85"/>
    </row>
    <row r="80" spans="1:12" ht="20.100000000000001" hidden="1" customHeight="1">
      <c r="A80" s="115" t="str">
        <f>"구 분 : "&amp;월기본급!B13&amp;"                       직종명 : "&amp;월기본급!F13&amp;""</f>
        <v xml:space="preserve">구 분 :                        직종명 : </v>
      </c>
      <c r="B80" s="114"/>
      <c r="C80" s="114"/>
      <c r="D80" s="114"/>
      <c r="E80" s="486"/>
      <c r="F80" s="486"/>
      <c r="G80" s="486"/>
      <c r="J80" s="118" t="s">
        <v>36</v>
      </c>
      <c r="K80" s="105">
        <v>209</v>
      </c>
      <c r="L80" s="115" t="s">
        <v>44</v>
      </c>
    </row>
    <row r="81" spans="1:12" ht="50.1" hidden="1" customHeight="1">
      <c r="A81" s="1012" t="s">
        <v>45</v>
      </c>
      <c r="B81" s="1013"/>
      <c r="C81" s="1013"/>
      <c r="D81" s="1014"/>
      <c r="E81" s="1062" t="s">
        <v>46</v>
      </c>
      <c r="F81" s="1063"/>
      <c r="G81" s="369" t="s">
        <v>181</v>
      </c>
      <c r="H81" s="367"/>
      <c r="I81" s="369" t="s">
        <v>47</v>
      </c>
      <c r="J81" s="367"/>
    </row>
    <row r="82" spans="1:12" ht="36" hidden="1" customHeight="1">
      <c r="A82" s="1012" t="s">
        <v>48</v>
      </c>
      <c r="B82" s="1013"/>
      <c r="C82" s="1013"/>
      <c r="D82" s="1014"/>
      <c r="E82" s="573">
        <f>월기본급!J13</f>
        <v>0</v>
      </c>
      <c r="F82" s="577"/>
      <c r="G82" s="578"/>
      <c r="H82" s="568" t="s">
        <v>377</v>
      </c>
      <c r="I82" s="499"/>
      <c r="J82" s="569" t="s">
        <v>49</v>
      </c>
    </row>
    <row r="83" spans="1:12" ht="36" hidden="1" customHeight="1">
      <c r="A83" s="1021" t="s">
        <v>258</v>
      </c>
      <c r="B83" s="587"/>
      <c r="C83" s="586" t="s">
        <v>0</v>
      </c>
      <c r="D83" s="589"/>
      <c r="E83" s="692">
        <f>TRUNC((E82/K80*($L$7*4.34)*1.5),0)</f>
        <v>0</v>
      </c>
      <c r="F83" s="577"/>
      <c r="G83" s="578"/>
      <c r="H83" s="570" t="s">
        <v>203</v>
      </c>
      <c r="I83" s="571"/>
      <c r="J83" s="569" t="s">
        <v>10</v>
      </c>
    </row>
    <row r="84" spans="1:12" ht="36" hidden="1" customHeight="1">
      <c r="A84" s="1022"/>
      <c r="B84" s="587"/>
      <c r="C84" s="586" t="s">
        <v>209</v>
      </c>
      <c r="D84" s="589"/>
      <c r="E84" s="573">
        <f>TRUNC(E82/K80*K84*1.5,0)</f>
        <v>0</v>
      </c>
      <c r="F84" s="577"/>
      <c r="G84" s="578"/>
      <c r="H84" s="570" t="s">
        <v>203</v>
      </c>
      <c r="I84" s="571"/>
      <c r="J84" s="569" t="s">
        <v>11</v>
      </c>
      <c r="K84" s="579">
        <f>K65</f>
        <v>8</v>
      </c>
    </row>
    <row r="85" spans="1:12" ht="36" hidden="1" customHeight="1">
      <c r="A85" s="1022"/>
      <c r="B85" s="587"/>
      <c r="C85" s="586" t="s">
        <v>50</v>
      </c>
      <c r="D85" s="589"/>
      <c r="E85" s="573">
        <f>TRUNC(E82/K80*8*15/12,0)</f>
        <v>0</v>
      </c>
      <c r="F85" s="577"/>
      <c r="G85" s="578"/>
      <c r="H85" s="570" t="s">
        <v>202</v>
      </c>
      <c r="I85" s="571"/>
      <c r="J85" s="569" t="s">
        <v>12</v>
      </c>
    </row>
    <row r="86" spans="1:12" ht="36" hidden="1" customHeight="1">
      <c r="A86" s="1022"/>
      <c r="B86" s="587"/>
      <c r="C86" s="586" t="s">
        <v>257</v>
      </c>
      <c r="D86" s="589"/>
      <c r="E86" s="573"/>
      <c r="F86" s="577"/>
      <c r="G86" s="578"/>
      <c r="H86" s="570" t="s">
        <v>378</v>
      </c>
      <c r="I86" s="571"/>
      <c r="J86" s="569" t="s">
        <v>13</v>
      </c>
    </row>
    <row r="87" spans="1:12" ht="36" hidden="1" customHeight="1">
      <c r="A87" s="1023"/>
      <c r="B87" s="587"/>
      <c r="C87" s="586" t="s">
        <v>51</v>
      </c>
      <c r="D87" s="589"/>
      <c r="E87" s="573">
        <f>SUM(E83:E86)</f>
        <v>0</v>
      </c>
      <c r="F87" s="577"/>
      <c r="G87" s="578"/>
      <c r="H87" s="570"/>
      <c r="I87" s="571"/>
      <c r="J87" s="569"/>
    </row>
    <row r="88" spans="1:12" ht="36" hidden="1" customHeight="1">
      <c r="A88" s="1012" t="s">
        <v>52</v>
      </c>
      <c r="B88" s="1013"/>
      <c r="C88" s="1013"/>
      <c r="D88" s="1014"/>
      <c r="E88" s="566">
        <f>TRUNC(E82*0.1/12,0)</f>
        <v>0</v>
      </c>
      <c r="F88" s="567"/>
      <c r="G88" s="84"/>
      <c r="H88" s="574" t="s">
        <v>432</v>
      </c>
      <c r="I88" s="575"/>
      <c r="J88" s="569" t="s">
        <v>267</v>
      </c>
    </row>
    <row r="89" spans="1:12" ht="36" hidden="1" customHeight="1">
      <c r="A89" s="1012" t="s">
        <v>53</v>
      </c>
      <c r="B89" s="1013"/>
      <c r="C89" s="1013"/>
      <c r="D89" s="1014"/>
      <c r="E89" s="573">
        <f>TRUNC(SUM(E82,E87,E88)/12,0)</f>
        <v>0</v>
      </c>
      <c r="F89" s="577"/>
      <c r="G89" s="578"/>
      <c r="H89" s="570" t="s">
        <v>54</v>
      </c>
      <c r="I89" s="571"/>
      <c r="J89" s="569" t="s">
        <v>268</v>
      </c>
    </row>
    <row r="90" spans="1:12" ht="45" hidden="1" customHeight="1">
      <c r="A90" s="1012" t="s">
        <v>55</v>
      </c>
      <c r="B90" s="1013"/>
      <c r="C90" s="1013"/>
      <c r="D90" s="1014"/>
      <c r="E90" s="573">
        <f>SUM(E82,E87,E88,E89)</f>
        <v>0</v>
      </c>
      <c r="F90" s="577"/>
      <c r="G90" s="578"/>
      <c r="H90" s="592"/>
      <c r="I90" s="590"/>
      <c r="J90" s="591"/>
    </row>
    <row r="91" spans="1:12" s="484" customFormat="1" ht="24.95" hidden="1" customHeight="1">
      <c r="A91" s="483" t="str">
        <f>"주 1) 기본급 : "&amp;월기본급!$A$1&amp;월기본급!$A$2&amp;" 참조"</f>
        <v>주 1) 기본급 : &lt; 표 : 5 &gt; M/M당기본급산출표 참조</v>
      </c>
      <c r="B91" s="483"/>
      <c r="C91" s="483"/>
      <c r="D91" s="483"/>
      <c r="E91" s="485"/>
      <c r="F91" s="485"/>
      <c r="G91" s="485"/>
      <c r="H91" s="485"/>
      <c r="I91" s="485"/>
      <c r="J91" s="485"/>
      <c r="L91" s="488"/>
    </row>
    <row r="92" spans="1:12" s="484" customFormat="1" ht="24.95" hidden="1" customHeight="1">
      <c r="A92" s="487" t="str">
        <f>"   2) 연장근로수당 : "&amp;FIXED(E82,0)&amp;"(기본급)÷"&amp;K80&amp;"시간(월근로시간)×("&amp;(연장근로!$D$8)&amp;"시간×"&amp;(연장근로!$E$8)&amp;"주)×1.5(할증)"</f>
        <v xml:space="preserve">   2) 연장근로수당 : 0(기본급)÷209시간(월근로시간)×(8시간×4.34주)×1.5(할증)</v>
      </c>
      <c r="B92" s="483"/>
      <c r="C92" s="483"/>
      <c r="D92" s="483"/>
      <c r="E92" s="485"/>
      <c r="F92" s="485"/>
      <c r="G92" s="485"/>
      <c r="H92" s="485"/>
      <c r="I92" s="485"/>
      <c r="J92" s="485"/>
      <c r="L92" s="488"/>
    </row>
    <row r="93" spans="1:12" s="484" customFormat="1" ht="24.95" hidden="1" customHeight="1">
      <c r="A93" s="115" t="s">
        <v>270</v>
      </c>
      <c r="B93" s="483"/>
      <c r="C93" s="483"/>
      <c r="D93" s="483"/>
      <c r="E93" s="485"/>
      <c r="F93" s="485"/>
      <c r="G93" s="485"/>
      <c r="H93" s="485"/>
      <c r="I93" s="485"/>
      <c r="J93" s="485"/>
      <c r="L93" s="488"/>
    </row>
    <row r="94" spans="1:12" s="484" customFormat="1" ht="24.95" hidden="1" customHeight="1">
      <c r="A94" s="487" t="str">
        <f>"   3) 휴일근로수당 : "&amp;FIXED(E82,0)&amp;"(기본급)÷"&amp;K80&amp;"(월근로시간)×"&amp;FIXED(K84,0)&amp;"시간(휴일근로시간)×1.5(할증)"</f>
        <v xml:space="preserve">   3) 휴일근로수당 : 0(기본급)÷209(월근로시간)×8시간(휴일근로시간)×1.5(할증)</v>
      </c>
      <c r="B94" s="483"/>
      <c r="C94" s="483"/>
      <c r="D94" s="483"/>
      <c r="E94" s="485"/>
      <c r="F94" s="485"/>
      <c r="G94" s="485"/>
      <c r="H94" s="485"/>
      <c r="I94" s="485"/>
      <c r="J94" s="485"/>
      <c r="L94" s="488"/>
    </row>
    <row r="95" spans="1:12" s="484" customFormat="1" ht="24.95" hidden="1" customHeight="1">
      <c r="A95" s="487" t="str">
        <f>"   4) 년차수당 : "&amp;FIXED(E82,0)&amp;"(기본급)÷"&amp;K80&amp;"(월근로시간)×8시간(일근로시간)×15일/년÷12개월"</f>
        <v xml:space="preserve">   4) 년차수당 : 0(기본급)÷209(월근로시간)×8시간(일근로시간)×15일/년÷12개월</v>
      </c>
      <c r="B95" s="576"/>
      <c r="C95" s="576"/>
      <c r="D95" s="576"/>
      <c r="E95" s="486"/>
      <c r="F95" s="486"/>
      <c r="G95" s="486"/>
      <c r="H95" s="486"/>
      <c r="I95" s="486"/>
      <c r="J95" s="117"/>
      <c r="L95" s="488"/>
    </row>
    <row r="96" spans="1:12" s="484" customFormat="1" ht="24.95" hidden="1" customHeight="1">
      <c r="A96" s="487" t="s">
        <v>269</v>
      </c>
      <c r="B96" s="576"/>
      <c r="C96" s="576"/>
      <c r="D96" s="576"/>
      <c r="E96" s="486"/>
      <c r="F96" s="486"/>
      <c r="G96" s="486"/>
      <c r="H96" s="486"/>
      <c r="I96" s="486"/>
      <c r="J96" s="117"/>
      <c r="L96" s="488"/>
    </row>
    <row r="97" spans="1:12" ht="24.95" hidden="1" customHeight="1">
      <c r="A97" s="487" t="str">
        <f>"   6) 상여금 : "&amp;FIXED(E82,0)&amp;"(기본급)×0.1개월(년 10%적용)÷12개월"</f>
        <v xml:space="preserve">   6) 상여금 : 0(기본급)×0.1개월(년 10%적용)÷12개월</v>
      </c>
      <c r="J97" s="85"/>
    </row>
    <row r="98" spans="1:12" ht="24.95" hidden="1" customHeight="1">
      <c r="A98" s="487" t="str">
        <f>"   7) 퇴직급여충당금 : {"&amp;FIXED(E82,0)&amp;"(기본급)+"&amp;FIXED(E87,0)&amp;"(제수당)+"&amp;FIXED(E88,0)&amp;"(상여금)}÷12개월"</f>
        <v xml:space="preserve">   7) 퇴직급여충당금 : {0(기본급)+0(제수당)+0(상여금)}÷12개월</v>
      </c>
      <c r="J98" s="85"/>
    </row>
    <row r="99" spans="1:12" ht="20.100000000000001" hidden="1" customHeight="1">
      <c r="A99" s="115" t="str">
        <f>"구 분 : "&amp;월기본급!B14&amp;"                       직종명 : "&amp;월기본급!F14&amp;""</f>
        <v xml:space="preserve">구 분 :                        직종명 : </v>
      </c>
      <c r="B99" s="114"/>
      <c r="C99" s="114"/>
      <c r="D99" s="114"/>
      <c r="E99" s="486"/>
      <c r="F99" s="486"/>
      <c r="G99" s="486"/>
      <c r="J99" s="118" t="s">
        <v>36</v>
      </c>
      <c r="K99" s="105">
        <v>209</v>
      </c>
      <c r="L99" s="115" t="s">
        <v>44</v>
      </c>
    </row>
    <row r="100" spans="1:12" ht="50.1" hidden="1" customHeight="1">
      <c r="A100" s="1012" t="s">
        <v>45</v>
      </c>
      <c r="B100" s="1013"/>
      <c r="C100" s="1013"/>
      <c r="D100" s="1014"/>
      <c r="E100" s="1062" t="s">
        <v>46</v>
      </c>
      <c r="F100" s="1063"/>
      <c r="G100" s="369" t="s">
        <v>181</v>
      </c>
      <c r="H100" s="367"/>
      <c r="I100" s="369" t="s">
        <v>47</v>
      </c>
      <c r="J100" s="367"/>
    </row>
    <row r="101" spans="1:12" ht="36" hidden="1" customHeight="1">
      <c r="A101" s="1012" t="s">
        <v>48</v>
      </c>
      <c r="B101" s="1013"/>
      <c r="C101" s="1013"/>
      <c r="D101" s="1014"/>
      <c r="E101" s="573">
        <f>월기본급!J14</f>
        <v>0</v>
      </c>
      <c r="F101" s="577"/>
      <c r="G101" s="578"/>
      <c r="H101" s="568" t="s">
        <v>377</v>
      </c>
      <c r="I101" s="499"/>
      <c r="J101" s="569" t="s">
        <v>49</v>
      </c>
    </row>
    <row r="102" spans="1:12" ht="36" hidden="1" customHeight="1">
      <c r="A102" s="1021" t="s">
        <v>258</v>
      </c>
      <c r="B102" s="587"/>
      <c r="C102" s="586" t="s">
        <v>0</v>
      </c>
      <c r="D102" s="589"/>
      <c r="E102" s="692">
        <f>TRUNC((E101/K99*($L$7*4.34)*1.5),0)</f>
        <v>0</v>
      </c>
      <c r="F102" s="577"/>
      <c r="G102" s="578"/>
      <c r="H102" s="570" t="s">
        <v>203</v>
      </c>
      <c r="I102" s="571"/>
      <c r="J102" s="569" t="s">
        <v>10</v>
      </c>
    </row>
    <row r="103" spans="1:12" ht="36" hidden="1" customHeight="1">
      <c r="A103" s="1022"/>
      <c r="B103" s="587"/>
      <c r="C103" s="586" t="s">
        <v>209</v>
      </c>
      <c r="D103" s="589"/>
      <c r="E103" s="573">
        <f>TRUNC(E101/K99*K103*1.5,0)</f>
        <v>0</v>
      </c>
      <c r="F103" s="577"/>
      <c r="G103" s="578"/>
      <c r="H103" s="570" t="s">
        <v>203</v>
      </c>
      <c r="I103" s="571"/>
      <c r="J103" s="569" t="s">
        <v>11</v>
      </c>
      <c r="K103" s="579">
        <f>K84</f>
        <v>8</v>
      </c>
    </row>
    <row r="104" spans="1:12" ht="36" hidden="1" customHeight="1">
      <c r="A104" s="1022"/>
      <c r="B104" s="587"/>
      <c r="C104" s="586" t="s">
        <v>50</v>
      </c>
      <c r="D104" s="589"/>
      <c r="E104" s="573">
        <f>TRUNC(E101/K99*8*15/12,0)</f>
        <v>0</v>
      </c>
      <c r="F104" s="577"/>
      <c r="G104" s="578"/>
      <c r="H104" s="570" t="s">
        <v>202</v>
      </c>
      <c r="I104" s="571"/>
      <c r="J104" s="569" t="s">
        <v>12</v>
      </c>
    </row>
    <row r="105" spans="1:12" ht="36" hidden="1" customHeight="1">
      <c r="A105" s="1022"/>
      <c r="B105" s="587"/>
      <c r="C105" s="586" t="s">
        <v>257</v>
      </c>
      <c r="D105" s="589"/>
      <c r="E105" s="566"/>
      <c r="F105" s="577"/>
      <c r="G105" s="578"/>
      <c r="H105" s="570" t="s">
        <v>378</v>
      </c>
      <c r="I105" s="571"/>
      <c r="J105" s="569" t="s">
        <v>13</v>
      </c>
    </row>
    <row r="106" spans="1:12" ht="36" hidden="1" customHeight="1">
      <c r="A106" s="1023"/>
      <c r="B106" s="587"/>
      <c r="C106" s="586" t="s">
        <v>51</v>
      </c>
      <c r="D106" s="589"/>
      <c r="E106" s="573">
        <f>SUM(E102:E105)</f>
        <v>0</v>
      </c>
      <c r="F106" s="577"/>
      <c r="G106" s="578"/>
      <c r="H106" s="570"/>
      <c r="I106" s="571"/>
      <c r="J106" s="569"/>
    </row>
    <row r="107" spans="1:12" ht="36" hidden="1" customHeight="1">
      <c r="A107" s="1012" t="s">
        <v>52</v>
      </c>
      <c r="B107" s="1013"/>
      <c r="C107" s="1013"/>
      <c r="D107" s="1014"/>
      <c r="E107" s="566">
        <f>TRUNC(E101*1/12,0)</f>
        <v>0</v>
      </c>
      <c r="F107" s="567"/>
      <c r="G107" s="84"/>
      <c r="H107" s="574" t="s">
        <v>432</v>
      </c>
      <c r="I107" s="575"/>
      <c r="J107" s="569" t="s">
        <v>267</v>
      </c>
    </row>
    <row r="108" spans="1:12" ht="36" hidden="1" customHeight="1">
      <c r="A108" s="1012" t="s">
        <v>53</v>
      </c>
      <c r="B108" s="1013"/>
      <c r="C108" s="1013"/>
      <c r="D108" s="1014"/>
      <c r="E108" s="573">
        <f>TRUNC(SUM(E101,E106,E107)/12,0)</f>
        <v>0</v>
      </c>
      <c r="F108" s="577"/>
      <c r="G108" s="578"/>
      <c r="H108" s="570" t="s">
        <v>54</v>
      </c>
      <c r="I108" s="571"/>
      <c r="J108" s="569" t="s">
        <v>268</v>
      </c>
    </row>
    <row r="109" spans="1:12" ht="45" hidden="1" customHeight="1">
      <c r="A109" s="1012" t="s">
        <v>55</v>
      </c>
      <c r="B109" s="1013"/>
      <c r="C109" s="1013"/>
      <c r="D109" s="1014"/>
      <c r="E109" s="573">
        <f>SUM(E101,E106,E107,E108)</f>
        <v>0</v>
      </c>
      <c r="F109" s="577"/>
      <c r="G109" s="578"/>
      <c r="H109" s="592"/>
      <c r="I109" s="590"/>
      <c r="J109" s="591"/>
    </row>
    <row r="110" spans="1:12" s="484" customFormat="1" ht="24.95" hidden="1" customHeight="1">
      <c r="A110" s="483" t="str">
        <f>"주 1) 기본급 : "&amp;월기본급!$A$1&amp;월기본급!$A$2&amp;" 참조"</f>
        <v>주 1) 기본급 : &lt; 표 : 5 &gt; M/M당기본급산출표 참조</v>
      </c>
      <c r="B110" s="483"/>
      <c r="C110" s="483"/>
      <c r="D110" s="483"/>
      <c r="E110" s="485"/>
      <c r="F110" s="485"/>
      <c r="G110" s="485"/>
      <c r="H110" s="485"/>
      <c r="I110" s="485"/>
      <c r="J110" s="485"/>
      <c r="L110" s="488"/>
    </row>
    <row r="111" spans="1:12" s="484" customFormat="1" ht="24.95" hidden="1" customHeight="1">
      <c r="A111" s="487" t="str">
        <f>"   2) 연장근로수당 : "&amp;FIXED(E101,0)&amp;"(기본급)÷"&amp;K99&amp;"시간(월근로시간)×("&amp;(연장근로!$D$8)&amp;"시간×"&amp;(연장근로!$E$8)&amp;"주)×1.5(할증)"</f>
        <v xml:space="preserve">   2) 연장근로수당 : 0(기본급)÷209시간(월근로시간)×(8시간×4.34주)×1.5(할증)</v>
      </c>
      <c r="B111" s="483"/>
      <c r="C111" s="483"/>
      <c r="D111" s="483"/>
      <c r="E111" s="485"/>
      <c r="F111" s="485"/>
      <c r="G111" s="485"/>
      <c r="H111" s="485"/>
      <c r="I111" s="485"/>
      <c r="J111" s="485"/>
      <c r="L111" s="488"/>
    </row>
    <row r="112" spans="1:12" s="484" customFormat="1" ht="24.95" hidden="1" customHeight="1">
      <c r="A112" s="115" t="s">
        <v>270</v>
      </c>
      <c r="B112" s="483"/>
      <c r="C112" s="483"/>
      <c r="D112" s="483"/>
      <c r="E112" s="485"/>
      <c r="F112" s="485"/>
      <c r="G112" s="485"/>
      <c r="H112" s="485"/>
      <c r="I112" s="485"/>
      <c r="J112" s="485"/>
      <c r="L112" s="488"/>
    </row>
    <row r="113" spans="1:12" s="484" customFormat="1" ht="24.95" hidden="1" customHeight="1">
      <c r="A113" s="487" t="str">
        <f>"   3) 휴일근로수당 : "&amp;FIXED(E101,0)&amp;"(기본급)÷"&amp;K99&amp;"(월근로시간)×"&amp;K103&amp;"시간(휴일근로시간)×1.5(할증)"</f>
        <v xml:space="preserve">   3) 휴일근로수당 : 0(기본급)÷209(월근로시간)×8시간(휴일근로시간)×1.5(할증)</v>
      </c>
      <c r="B113" s="483"/>
      <c r="C113" s="483"/>
      <c r="D113" s="483"/>
      <c r="E113" s="485"/>
      <c r="F113" s="485"/>
      <c r="G113" s="485"/>
      <c r="H113" s="485"/>
      <c r="I113" s="485"/>
      <c r="J113" s="485"/>
      <c r="L113" s="488"/>
    </row>
    <row r="114" spans="1:12" s="484" customFormat="1" ht="24.95" hidden="1" customHeight="1">
      <c r="A114" s="487" t="str">
        <f>"   4) 년차수당 : "&amp;FIXED(E101,0)&amp;"(기본급)÷"&amp;K99&amp;"(월근로시간)×8시간(일근로시간)×15일/년÷12개월"</f>
        <v xml:space="preserve">   4) 년차수당 : 0(기본급)÷209(월근로시간)×8시간(일근로시간)×15일/년÷12개월</v>
      </c>
      <c r="B114" s="576"/>
      <c r="C114" s="576"/>
      <c r="D114" s="576"/>
      <c r="E114" s="486"/>
      <c r="F114" s="486"/>
      <c r="G114" s="486"/>
      <c r="H114" s="486"/>
      <c r="I114" s="486"/>
      <c r="J114" s="117"/>
      <c r="L114" s="488"/>
    </row>
    <row r="115" spans="1:12" s="484" customFormat="1" ht="24.95" hidden="1" customHeight="1">
      <c r="A115" s="487" t="s">
        <v>269</v>
      </c>
      <c r="B115" s="576"/>
      <c r="C115" s="576"/>
      <c r="D115" s="576"/>
      <c r="E115" s="486"/>
      <c r="F115" s="486"/>
      <c r="G115" s="486"/>
      <c r="H115" s="486"/>
      <c r="I115" s="486"/>
      <c r="J115" s="117"/>
      <c r="L115" s="488"/>
    </row>
    <row r="116" spans="1:12" ht="24.95" hidden="1" customHeight="1">
      <c r="A116" s="487" t="str">
        <f>"   6) 상여금 : "&amp;FIXED(E101,0)&amp;"(기본급)×1개월(년 100%적용)÷12개월"</f>
        <v xml:space="preserve">   6) 상여금 : 0(기본급)×1개월(년 100%적용)÷12개월</v>
      </c>
      <c r="J116" s="85"/>
    </row>
    <row r="117" spans="1:12" ht="24.95" hidden="1" customHeight="1">
      <c r="A117" s="487" t="str">
        <f>"   7) 퇴직급여충당금 : {"&amp;FIXED(E101,0)&amp;"(기본급)+"&amp;FIXED(E106,0)&amp;"(제수당)+"&amp;FIXED(E107,0)&amp;"(상여금)}÷12개월"</f>
        <v xml:space="preserve">   7) 퇴직급여충당금 : {0(기본급)+0(제수당)+0(상여금)}÷12개월</v>
      </c>
      <c r="J117" s="85"/>
    </row>
    <row r="118" spans="1:12" ht="20.100000000000001" hidden="1" customHeight="1">
      <c r="A118" s="115" t="str">
        <f>"구 분 : "&amp;월기본급!B15&amp;"                       직종명 : "&amp;월기본급!F15&amp;""</f>
        <v xml:space="preserve">구 분 :                        직종명 : </v>
      </c>
      <c r="B118" s="114"/>
      <c r="C118" s="114"/>
      <c r="D118" s="114"/>
      <c r="E118" s="486"/>
      <c r="F118" s="486"/>
      <c r="G118" s="486"/>
      <c r="J118" s="118" t="s">
        <v>36</v>
      </c>
      <c r="K118" s="105">
        <v>209</v>
      </c>
      <c r="L118" s="115" t="s">
        <v>44</v>
      </c>
    </row>
    <row r="119" spans="1:12" ht="50.1" hidden="1" customHeight="1">
      <c r="A119" s="1012" t="s">
        <v>45</v>
      </c>
      <c r="B119" s="1013"/>
      <c r="C119" s="1013"/>
      <c r="D119" s="1014"/>
      <c r="E119" s="1062" t="s">
        <v>46</v>
      </c>
      <c r="F119" s="1063"/>
      <c r="G119" s="369" t="s">
        <v>181</v>
      </c>
      <c r="H119" s="367"/>
      <c r="I119" s="369" t="s">
        <v>47</v>
      </c>
      <c r="J119" s="367"/>
    </row>
    <row r="120" spans="1:12" ht="36" hidden="1" customHeight="1">
      <c r="A120" s="1012" t="s">
        <v>48</v>
      </c>
      <c r="B120" s="1013"/>
      <c r="C120" s="1013"/>
      <c r="D120" s="1014"/>
      <c r="E120" s="573">
        <f>월기본급!J15</f>
        <v>0</v>
      </c>
      <c r="F120" s="577"/>
      <c r="G120" s="578"/>
      <c r="H120" s="568" t="s">
        <v>377</v>
      </c>
      <c r="I120" s="499"/>
      <c r="J120" s="569" t="s">
        <v>49</v>
      </c>
    </row>
    <row r="121" spans="1:12" ht="36" hidden="1" customHeight="1">
      <c r="A121" s="1021" t="s">
        <v>258</v>
      </c>
      <c r="B121" s="587"/>
      <c r="C121" s="586" t="s">
        <v>0</v>
      </c>
      <c r="D121" s="589"/>
      <c r="E121" s="692">
        <f>TRUNC((E120/K118*($L$7*4.34)*1.5),0)</f>
        <v>0</v>
      </c>
      <c r="F121" s="577"/>
      <c r="G121" s="578"/>
      <c r="H121" s="570" t="s">
        <v>203</v>
      </c>
      <c r="I121" s="571"/>
      <c r="J121" s="569" t="s">
        <v>10</v>
      </c>
    </row>
    <row r="122" spans="1:12" ht="36" hidden="1" customHeight="1">
      <c r="A122" s="1022"/>
      <c r="B122" s="587"/>
      <c r="C122" s="586" t="s">
        <v>229</v>
      </c>
      <c r="D122" s="589"/>
      <c r="E122" s="573">
        <f>TRUNC(E120/K118*K122*1.5,0)</f>
        <v>0</v>
      </c>
      <c r="F122" s="577"/>
      <c r="G122" s="578"/>
      <c r="H122" s="570" t="s">
        <v>203</v>
      </c>
      <c r="I122" s="571"/>
      <c r="J122" s="569" t="s">
        <v>11</v>
      </c>
      <c r="K122" s="105">
        <f>K103</f>
        <v>8</v>
      </c>
    </row>
    <row r="123" spans="1:12" ht="36" hidden="1" customHeight="1">
      <c r="A123" s="1022"/>
      <c r="B123" s="587"/>
      <c r="C123" s="586" t="s">
        <v>50</v>
      </c>
      <c r="D123" s="589"/>
      <c r="E123" s="573">
        <f>TRUNC(E120/K118*8*15/12,0)</f>
        <v>0</v>
      </c>
      <c r="F123" s="577"/>
      <c r="G123" s="578"/>
      <c r="H123" s="570" t="s">
        <v>202</v>
      </c>
      <c r="I123" s="571"/>
      <c r="J123" s="569" t="s">
        <v>12</v>
      </c>
    </row>
    <row r="124" spans="1:12" ht="36" hidden="1" customHeight="1">
      <c r="A124" s="1022"/>
      <c r="B124" s="587"/>
      <c r="C124" s="586" t="s">
        <v>257</v>
      </c>
      <c r="D124" s="589"/>
      <c r="E124" s="573"/>
      <c r="F124" s="577"/>
      <c r="G124" s="578"/>
      <c r="H124" s="570" t="s">
        <v>378</v>
      </c>
      <c r="I124" s="571"/>
      <c r="J124" s="569" t="s">
        <v>13</v>
      </c>
    </row>
    <row r="125" spans="1:12" ht="36" hidden="1" customHeight="1">
      <c r="A125" s="1023"/>
      <c r="B125" s="587"/>
      <c r="C125" s="586" t="s">
        <v>51</v>
      </c>
      <c r="D125" s="589"/>
      <c r="E125" s="573">
        <f>SUM(E121:E124)</f>
        <v>0</v>
      </c>
      <c r="F125" s="577"/>
      <c r="G125" s="578"/>
      <c r="H125" s="570"/>
      <c r="I125" s="571"/>
      <c r="J125" s="569"/>
    </row>
    <row r="126" spans="1:12" ht="36" hidden="1" customHeight="1">
      <c r="A126" s="1012" t="s">
        <v>52</v>
      </c>
      <c r="B126" s="1013"/>
      <c r="C126" s="1013"/>
      <c r="D126" s="1014"/>
      <c r="E126" s="566">
        <f>TRUNC(E120*1/12,0)</f>
        <v>0</v>
      </c>
      <c r="F126" s="567"/>
      <c r="G126" s="84"/>
      <c r="H126" s="574" t="s">
        <v>432</v>
      </c>
      <c r="I126" s="575"/>
      <c r="J126" s="569" t="s">
        <v>267</v>
      </c>
    </row>
    <row r="127" spans="1:12" ht="36" hidden="1" customHeight="1">
      <c r="A127" s="1012" t="s">
        <v>53</v>
      </c>
      <c r="B127" s="1013"/>
      <c r="C127" s="1013"/>
      <c r="D127" s="1014"/>
      <c r="E127" s="573">
        <f>TRUNC(SUM(E120,E125,E126)/12,0)</f>
        <v>0</v>
      </c>
      <c r="F127" s="577"/>
      <c r="G127" s="578"/>
      <c r="H127" s="570" t="s">
        <v>54</v>
      </c>
      <c r="I127" s="571"/>
      <c r="J127" s="569" t="s">
        <v>268</v>
      </c>
    </row>
    <row r="128" spans="1:12" ht="45" hidden="1" customHeight="1">
      <c r="A128" s="1012" t="s">
        <v>55</v>
      </c>
      <c r="B128" s="1013"/>
      <c r="C128" s="1013"/>
      <c r="D128" s="1014"/>
      <c r="E128" s="573">
        <f>SUM(E120,E125,E126,E127)</f>
        <v>0</v>
      </c>
      <c r="F128" s="577"/>
      <c r="G128" s="578"/>
      <c r="H128" s="592"/>
      <c r="I128" s="590"/>
      <c r="J128" s="591"/>
    </row>
    <row r="129" spans="1:12" s="484" customFormat="1" ht="24.95" hidden="1" customHeight="1">
      <c r="A129" s="483" t="str">
        <f>"주 1) 기본급 : "&amp;월기본급!$A$1&amp;월기본급!$A$2&amp;" 참조"</f>
        <v>주 1) 기본급 : &lt; 표 : 5 &gt; M/M당기본급산출표 참조</v>
      </c>
      <c r="B129" s="483"/>
      <c r="C129" s="483"/>
      <c r="D129" s="483"/>
      <c r="E129" s="485"/>
      <c r="F129" s="485"/>
      <c r="G129" s="485"/>
      <c r="H129" s="485"/>
      <c r="I129" s="485"/>
      <c r="J129" s="485"/>
      <c r="L129" s="488"/>
    </row>
    <row r="130" spans="1:12" s="484" customFormat="1" ht="24.95" hidden="1" customHeight="1">
      <c r="A130" s="487" t="str">
        <f>"   2) 연장근로수당 : "&amp;FIXED(E120,0)&amp;"(기본급)÷"&amp;K118&amp;"시간(월근로시간)×("&amp;(연장근로!$D$8)&amp;"시간×"&amp;(연장근로!$E$8)&amp;"주)×1.5(할증)"</f>
        <v xml:space="preserve">   2) 연장근로수당 : 0(기본급)÷209시간(월근로시간)×(8시간×4.34주)×1.5(할증)</v>
      </c>
      <c r="B130" s="483"/>
      <c r="C130" s="483"/>
      <c r="D130" s="483"/>
      <c r="E130" s="485"/>
      <c r="F130" s="485"/>
      <c r="G130" s="485"/>
      <c r="H130" s="485"/>
      <c r="I130" s="485"/>
      <c r="J130" s="485"/>
      <c r="L130" s="488"/>
    </row>
    <row r="131" spans="1:12" s="484" customFormat="1" ht="24.95" hidden="1" customHeight="1">
      <c r="A131" s="115" t="s">
        <v>270</v>
      </c>
      <c r="B131" s="483"/>
      <c r="C131" s="483"/>
      <c r="D131" s="483"/>
      <c r="E131" s="485"/>
      <c r="F131" s="485"/>
      <c r="G131" s="485"/>
      <c r="H131" s="485"/>
      <c r="I131" s="485"/>
      <c r="J131" s="485"/>
      <c r="L131" s="488"/>
    </row>
    <row r="132" spans="1:12" s="484" customFormat="1" ht="24.95" hidden="1" customHeight="1">
      <c r="A132" s="487" t="str">
        <f>"   3) 휴일근로수당 : "&amp;FIXED(E120,0)&amp;"(기본급)÷"&amp;K118&amp;"(월근로시간)×"&amp;K122&amp;"시간(휴일근로시간)×1.5(할증)"</f>
        <v xml:space="preserve">   3) 휴일근로수당 : 0(기본급)÷209(월근로시간)×8시간(휴일근로시간)×1.5(할증)</v>
      </c>
      <c r="B132" s="483"/>
      <c r="C132" s="483"/>
      <c r="D132" s="483"/>
      <c r="E132" s="485"/>
      <c r="F132" s="485"/>
      <c r="G132" s="485"/>
      <c r="H132" s="485"/>
      <c r="I132" s="485"/>
      <c r="J132" s="485"/>
      <c r="L132" s="488"/>
    </row>
    <row r="133" spans="1:12" s="484" customFormat="1" ht="24.95" hidden="1" customHeight="1">
      <c r="A133" s="487" t="str">
        <f>"   4) 년차수당 : "&amp;FIXED(E120,0)&amp;"(기본급)÷"&amp;K118&amp;"(월근로시간)×8시간(일근로시간)×15일/년÷12개월"</f>
        <v xml:space="preserve">   4) 년차수당 : 0(기본급)÷209(월근로시간)×8시간(일근로시간)×15일/년÷12개월</v>
      </c>
      <c r="B133" s="576"/>
      <c r="C133" s="576"/>
      <c r="D133" s="576"/>
      <c r="E133" s="486"/>
      <c r="F133" s="486"/>
      <c r="G133" s="486"/>
      <c r="H133" s="486"/>
      <c r="I133" s="486"/>
      <c r="J133" s="117"/>
      <c r="L133" s="488"/>
    </row>
    <row r="134" spans="1:12" s="484" customFormat="1" ht="24.95" hidden="1" customHeight="1">
      <c r="A134" s="487" t="s">
        <v>269</v>
      </c>
      <c r="B134" s="576"/>
      <c r="C134" s="576"/>
      <c r="D134" s="576"/>
      <c r="E134" s="486"/>
      <c r="F134" s="486"/>
      <c r="G134" s="486"/>
      <c r="H134" s="486"/>
      <c r="I134" s="486"/>
      <c r="J134" s="117"/>
      <c r="L134" s="488"/>
    </row>
    <row r="135" spans="1:12" ht="24.95" hidden="1" customHeight="1">
      <c r="A135" s="487" t="str">
        <f>"   6) 상여금 : "&amp;FIXED(E120,0)&amp;"(기본급)×1개월(년 100%적용)÷12개월"</f>
        <v xml:space="preserve">   6) 상여금 : 0(기본급)×1개월(년 100%적용)÷12개월</v>
      </c>
      <c r="J135" s="85"/>
    </row>
    <row r="136" spans="1:12" ht="24.95" hidden="1" customHeight="1">
      <c r="A136" s="487" t="str">
        <f>"   7) 퇴직급여충당금 : {"&amp;FIXED(E120,0)&amp;"(기본급)+"&amp;FIXED(E125,0)&amp;"(제수당)+"&amp;FIXED(E126,0)&amp;"(상여금)}÷12개월"</f>
        <v xml:space="preserve">   7) 퇴직급여충당금 : {0(기본급)+0(제수당)+0(상여금)}÷12개월</v>
      </c>
      <c r="J136" s="85"/>
    </row>
    <row r="137" spans="1:12" s="614" customFormat="1" ht="20.100000000000001" hidden="1" customHeight="1">
      <c r="A137" s="654" t="str">
        <f>"구 분 : "&amp;월기본급!B16&amp;"                       직종명 : "&amp;월기본급!F16&amp;""</f>
        <v xml:space="preserve">구 분 :                        직종명 : </v>
      </c>
      <c r="B137" s="610"/>
      <c r="C137" s="610"/>
      <c r="D137" s="610"/>
      <c r="E137" s="604"/>
      <c r="F137" s="604"/>
      <c r="G137" s="604"/>
      <c r="H137" s="658"/>
      <c r="I137" s="658"/>
      <c r="J137" s="659" t="s">
        <v>36</v>
      </c>
      <c r="K137" s="614">
        <v>209</v>
      </c>
      <c r="L137" s="654" t="s">
        <v>44</v>
      </c>
    </row>
    <row r="138" spans="1:12" s="614" customFormat="1" ht="50.1" hidden="1" customHeight="1">
      <c r="A138" s="1027" t="s">
        <v>45</v>
      </c>
      <c r="B138" s="1028"/>
      <c r="C138" s="1028"/>
      <c r="D138" s="1029"/>
      <c r="E138" s="1057" t="s">
        <v>46</v>
      </c>
      <c r="F138" s="1058"/>
      <c r="G138" s="647" t="s">
        <v>181</v>
      </c>
      <c r="H138" s="648"/>
      <c r="I138" s="647" t="s">
        <v>47</v>
      </c>
      <c r="J138" s="648"/>
      <c r="L138" s="654"/>
    </row>
    <row r="139" spans="1:12" s="614" customFormat="1" ht="36" hidden="1" customHeight="1">
      <c r="A139" s="1027" t="s">
        <v>48</v>
      </c>
      <c r="B139" s="1028"/>
      <c r="C139" s="1028"/>
      <c r="D139" s="1029"/>
      <c r="E139" s="665">
        <f>월기본급!J16</f>
        <v>0</v>
      </c>
      <c r="F139" s="666"/>
      <c r="G139" s="667"/>
      <c r="H139" s="668" t="s">
        <v>377</v>
      </c>
      <c r="I139" s="669"/>
      <c r="J139" s="690" t="s">
        <v>49</v>
      </c>
      <c r="L139" s="654"/>
    </row>
    <row r="140" spans="1:12" s="614" customFormat="1" ht="36" hidden="1" customHeight="1">
      <c r="A140" s="1037" t="s">
        <v>258</v>
      </c>
      <c r="B140" s="650"/>
      <c r="C140" s="691" t="s">
        <v>0</v>
      </c>
      <c r="D140" s="689"/>
      <c r="E140" s="692">
        <f>TRUNC((E139/K137*($L$7*4.34)*1.5),0)</f>
        <v>0</v>
      </c>
      <c r="F140" s="666"/>
      <c r="G140" s="667"/>
      <c r="H140" s="671" t="s">
        <v>203</v>
      </c>
      <c r="I140" s="672"/>
      <c r="J140" s="690" t="s">
        <v>10</v>
      </c>
      <c r="L140" s="654"/>
    </row>
    <row r="141" spans="1:12" s="614" customFormat="1" ht="36" hidden="1" customHeight="1">
      <c r="A141" s="1038"/>
      <c r="B141" s="650"/>
      <c r="C141" s="691" t="s">
        <v>214</v>
      </c>
      <c r="D141" s="689"/>
      <c r="E141" s="665">
        <f>TRUNC(E139/K137*K141*1.5,0)</f>
        <v>0</v>
      </c>
      <c r="F141" s="666"/>
      <c r="G141" s="667"/>
      <c r="H141" s="671" t="s">
        <v>203</v>
      </c>
      <c r="I141" s="672"/>
      <c r="J141" s="690" t="s">
        <v>11</v>
      </c>
      <c r="K141" s="614">
        <f>K160</f>
        <v>0</v>
      </c>
      <c r="L141" s="654"/>
    </row>
    <row r="142" spans="1:12" s="614" customFormat="1" ht="36" hidden="1" customHeight="1">
      <c r="A142" s="1038"/>
      <c r="B142" s="650"/>
      <c r="C142" s="691" t="s">
        <v>50</v>
      </c>
      <c r="D142" s="689"/>
      <c r="E142" s="665">
        <f>TRUNC(E139/K137*8*15/12,0)</f>
        <v>0</v>
      </c>
      <c r="F142" s="666"/>
      <c r="G142" s="667"/>
      <c r="H142" s="671" t="s">
        <v>202</v>
      </c>
      <c r="I142" s="672"/>
      <c r="J142" s="690" t="s">
        <v>12</v>
      </c>
      <c r="L142" s="654"/>
    </row>
    <row r="143" spans="1:12" s="614" customFormat="1" ht="36" hidden="1" customHeight="1">
      <c r="A143" s="1038"/>
      <c r="B143" s="650"/>
      <c r="C143" s="691" t="s">
        <v>257</v>
      </c>
      <c r="D143" s="689"/>
      <c r="E143" s="665"/>
      <c r="F143" s="666"/>
      <c r="G143" s="667"/>
      <c r="H143" s="671" t="s">
        <v>378</v>
      </c>
      <c r="I143" s="672"/>
      <c r="J143" s="690" t="s">
        <v>13</v>
      </c>
      <c r="L143" s="654"/>
    </row>
    <row r="144" spans="1:12" s="614" customFormat="1" ht="36" hidden="1" customHeight="1">
      <c r="A144" s="1039"/>
      <c r="B144" s="650"/>
      <c r="C144" s="691" t="s">
        <v>51</v>
      </c>
      <c r="D144" s="689"/>
      <c r="E144" s="665">
        <f>SUM(E140:E143)</f>
        <v>0</v>
      </c>
      <c r="F144" s="666"/>
      <c r="G144" s="667"/>
      <c r="H144" s="671"/>
      <c r="I144" s="672"/>
      <c r="J144" s="690"/>
      <c r="L144" s="654"/>
    </row>
    <row r="145" spans="1:12" s="614" customFormat="1" ht="36" hidden="1" customHeight="1">
      <c r="A145" s="1027" t="s">
        <v>52</v>
      </c>
      <c r="B145" s="1028"/>
      <c r="C145" s="1028"/>
      <c r="D145" s="1029"/>
      <c r="E145" s="673">
        <f>TRUNC(E139*0.1/12,0)</f>
        <v>0</v>
      </c>
      <c r="F145" s="674"/>
      <c r="G145" s="675"/>
      <c r="H145" s="676" t="s">
        <v>432</v>
      </c>
      <c r="I145" s="677"/>
      <c r="J145" s="690" t="s">
        <v>267</v>
      </c>
      <c r="L145" s="654"/>
    </row>
    <row r="146" spans="1:12" s="614" customFormat="1" ht="36" hidden="1" customHeight="1">
      <c r="A146" s="1027" t="s">
        <v>53</v>
      </c>
      <c r="B146" s="1028"/>
      <c r="C146" s="1028"/>
      <c r="D146" s="1029"/>
      <c r="E146" s="665">
        <f>TRUNC(SUM(E139,E144,E145)/12,0)</f>
        <v>0</v>
      </c>
      <c r="F146" s="666"/>
      <c r="G146" s="667"/>
      <c r="H146" s="671" t="s">
        <v>54</v>
      </c>
      <c r="I146" s="672"/>
      <c r="J146" s="690" t="s">
        <v>268</v>
      </c>
      <c r="L146" s="654"/>
    </row>
    <row r="147" spans="1:12" s="614" customFormat="1" ht="45" hidden="1" customHeight="1">
      <c r="A147" s="1027" t="s">
        <v>55</v>
      </c>
      <c r="B147" s="1028"/>
      <c r="C147" s="1028"/>
      <c r="D147" s="1029"/>
      <c r="E147" s="665">
        <f>SUM(E139,E144,E145,E146)</f>
        <v>0</v>
      </c>
      <c r="F147" s="666"/>
      <c r="G147" s="667"/>
      <c r="H147" s="678"/>
      <c r="I147" s="663"/>
      <c r="J147" s="664"/>
      <c r="L147" s="654"/>
    </row>
    <row r="148" spans="1:12" s="681" customFormat="1" ht="24.95" hidden="1" customHeight="1">
      <c r="A148" s="679" t="str">
        <f>"주 1) 기본급 : "&amp;월기본급!$A$1&amp;월기본급!$A$2&amp;" 참조"</f>
        <v>주 1) 기본급 : &lt; 표 : 5 &gt; M/M당기본급산출표 참조</v>
      </c>
      <c r="B148" s="679"/>
      <c r="C148" s="679"/>
      <c r="D148" s="679"/>
      <c r="E148" s="680"/>
      <c r="F148" s="680"/>
      <c r="G148" s="680"/>
      <c r="H148" s="680"/>
      <c r="I148" s="680"/>
      <c r="J148" s="680"/>
      <c r="L148" s="682"/>
    </row>
    <row r="149" spans="1:12" s="681" customFormat="1" ht="24.95" hidden="1" customHeight="1">
      <c r="A149" s="683" t="str">
        <f>"   2) 연장근로수당 : "&amp;FIXED(E139,0)&amp;"(기본급)÷"&amp;K137&amp;"시간(월근로시간)×("&amp;(연장근로!$D$8)&amp;"시간×"&amp;(연장근로!$E$8)&amp;"주)×1.5(할증)"</f>
        <v xml:space="preserve">   2) 연장근로수당 : 0(기본급)÷209시간(월근로시간)×(8시간×4.34주)×1.5(할증)</v>
      </c>
      <c r="B149" s="679"/>
      <c r="C149" s="679"/>
      <c r="D149" s="679"/>
      <c r="E149" s="680"/>
      <c r="F149" s="680"/>
      <c r="G149" s="680"/>
      <c r="H149" s="680"/>
      <c r="I149" s="680"/>
      <c r="J149" s="680"/>
      <c r="L149" s="682"/>
    </row>
    <row r="150" spans="1:12" s="681" customFormat="1" ht="24.95" hidden="1" customHeight="1">
      <c r="A150" s="654" t="s">
        <v>270</v>
      </c>
      <c r="B150" s="679"/>
      <c r="C150" s="679"/>
      <c r="D150" s="679"/>
      <c r="E150" s="680"/>
      <c r="F150" s="680"/>
      <c r="G150" s="680"/>
      <c r="H150" s="680"/>
      <c r="I150" s="680"/>
      <c r="J150" s="680"/>
      <c r="L150" s="682"/>
    </row>
    <row r="151" spans="1:12" s="681" customFormat="1" ht="24.95" hidden="1" customHeight="1">
      <c r="A151" s="683" t="str">
        <f>"   3) 휴일근로수당 : "&amp;FIXED(E139,0)&amp;"(기본급)÷"&amp;K137&amp;"(월근로시간)×"&amp;K141&amp;"시간(휴일근로시간)×1.5(할증)"</f>
        <v xml:space="preserve">   3) 휴일근로수당 : 0(기본급)÷209(월근로시간)×0시간(휴일근로시간)×1.5(할증)</v>
      </c>
      <c r="B151" s="679"/>
      <c r="C151" s="679"/>
      <c r="D151" s="679"/>
      <c r="E151" s="680"/>
      <c r="F151" s="680"/>
      <c r="G151" s="680"/>
      <c r="H151" s="680"/>
      <c r="I151" s="680"/>
      <c r="J151" s="680"/>
      <c r="L151" s="682"/>
    </row>
    <row r="152" spans="1:12" s="681" customFormat="1" ht="24.95" hidden="1" customHeight="1">
      <c r="A152" s="683" t="str">
        <f>"   4) 년차수당 : "&amp;FIXED(E139,0)&amp;"(기본급)÷"&amp;K137&amp;"(월근로시간)×8시간(일근로시간)×15일/년÷12개월"</f>
        <v xml:space="preserve">   4) 년차수당 : 0(기본급)÷209(월근로시간)×8시간(일근로시간)×15일/년÷12개월</v>
      </c>
      <c r="B152" s="684"/>
      <c r="C152" s="684"/>
      <c r="D152" s="684"/>
      <c r="E152" s="604"/>
      <c r="F152" s="604"/>
      <c r="G152" s="604"/>
      <c r="H152" s="604"/>
      <c r="I152" s="604"/>
      <c r="J152" s="685"/>
      <c r="L152" s="682"/>
    </row>
    <row r="153" spans="1:12" s="681" customFormat="1" ht="24.95" hidden="1" customHeight="1">
      <c r="A153" s="683" t="s">
        <v>269</v>
      </c>
      <c r="B153" s="684"/>
      <c r="C153" s="684"/>
      <c r="D153" s="684"/>
      <c r="E153" s="604"/>
      <c r="F153" s="604"/>
      <c r="G153" s="604"/>
      <c r="H153" s="604"/>
      <c r="I153" s="604"/>
      <c r="J153" s="685"/>
      <c r="L153" s="682"/>
    </row>
    <row r="154" spans="1:12" s="614" customFormat="1" ht="24.95" hidden="1" customHeight="1">
      <c r="A154" s="683" t="str">
        <f>"   6) 상여금 : "&amp;FIXED(E139,0)&amp;"(기본급)×0.1개월(년 10%적용)÷12개월"</f>
        <v xml:space="preserve">   6) 상여금 : 0(기본급)×0.1개월(년 10%적용)÷12개월</v>
      </c>
      <c r="B154" s="693"/>
      <c r="C154" s="693"/>
      <c r="D154" s="693"/>
      <c r="E154" s="658"/>
      <c r="F154" s="658"/>
      <c r="G154" s="658"/>
      <c r="H154" s="658"/>
      <c r="I154" s="658"/>
      <c r="J154" s="658"/>
      <c r="L154" s="654"/>
    </row>
    <row r="155" spans="1:12" s="614" customFormat="1" ht="24.95" hidden="1" customHeight="1">
      <c r="A155" s="683" t="str">
        <f>"   7) 퇴직급여충당금 : {"&amp;FIXED(E139,0)&amp;"(기본급)+"&amp;FIXED(E144,0)&amp;"(제수당)+"&amp;FIXED(E145,0)&amp;"(상여금)}÷12개월"</f>
        <v xml:space="preserve">   7) 퇴직급여충당금 : {0(기본급)+0(제수당)+0(상여금)}÷12개월</v>
      </c>
      <c r="B155" s="693"/>
      <c r="C155" s="693"/>
      <c r="D155" s="693"/>
      <c r="E155" s="658"/>
      <c r="F155" s="658"/>
      <c r="G155" s="658"/>
      <c r="H155" s="658"/>
      <c r="I155" s="658"/>
      <c r="J155" s="658"/>
      <c r="L155" s="654"/>
    </row>
    <row r="156" spans="1:12" ht="20.100000000000001" customHeight="1">
      <c r="A156" s="115" t="str">
        <f>"구 분 : "&amp;월기본급!B17&amp;"                       직종명 : "&amp;월기본급!F17&amp;""</f>
        <v>구 분 : 다산홀운영                       직종명 : 전기기능사</v>
      </c>
      <c r="B156" s="114"/>
      <c r="C156" s="114"/>
      <c r="D156" s="114"/>
      <c r="E156" s="486"/>
      <c r="F156" s="486"/>
      <c r="G156" s="486"/>
      <c r="J156" s="118" t="s">
        <v>36</v>
      </c>
      <c r="K156" s="105">
        <v>209</v>
      </c>
      <c r="L156" s="115" t="s">
        <v>44</v>
      </c>
    </row>
    <row r="157" spans="1:12" ht="50.1" customHeight="1">
      <c r="A157" s="1012" t="s">
        <v>45</v>
      </c>
      <c r="B157" s="1013"/>
      <c r="C157" s="1013"/>
      <c r="D157" s="1014"/>
      <c r="E157" s="1062" t="s">
        <v>46</v>
      </c>
      <c r="F157" s="1063"/>
      <c r="G157" s="369" t="s">
        <v>181</v>
      </c>
      <c r="H157" s="367"/>
      <c r="I157" s="369" t="s">
        <v>47</v>
      </c>
      <c r="J157" s="367"/>
    </row>
    <row r="158" spans="1:12" ht="36" customHeight="1">
      <c r="A158" s="1012" t="s">
        <v>48</v>
      </c>
      <c r="B158" s="1013"/>
      <c r="C158" s="1013"/>
      <c r="D158" s="1014"/>
      <c r="E158" s="573">
        <f>월기본급!J17</f>
        <v>2246244</v>
      </c>
      <c r="F158" s="577"/>
      <c r="G158" s="578"/>
      <c r="H158" s="568" t="s">
        <v>377</v>
      </c>
      <c r="I158" s="499"/>
      <c r="J158" s="569" t="s">
        <v>49</v>
      </c>
    </row>
    <row r="159" spans="1:12" ht="36" customHeight="1">
      <c r="A159" s="1021" t="s">
        <v>258</v>
      </c>
      <c r="B159" s="587"/>
      <c r="C159" s="691" t="s">
        <v>0</v>
      </c>
      <c r="D159" s="689"/>
      <c r="E159" s="692">
        <f>TRUNC((E158/K156*($L$7*4.34)*1.5),0)</f>
        <v>559733</v>
      </c>
      <c r="F159" s="666"/>
      <c r="G159" s="578"/>
      <c r="H159" s="570" t="s">
        <v>203</v>
      </c>
      <c r="I159" s="571"/>
      <c r="J159" s="569" t="s">
        <v>10</v>
      </c>
    </row>
    <row r="160" spans="1:12" ht="36" customHeight="1">
      <c r="A160" s="1022"/>
      <c r="B160" s="587"/>
      <c r="C160" s="586" t="s">
        <v>214</v>
      </c>
      <c r="D160" s="589"/>
      <c r="E160" s="573"/>
      <c r="F160" s="577"/>
      <c r="G160" s="578"/>
      <c r="H160" s="570" t="s">
        <v>203</v>
      </c>
      <c r="I160" s="571"/>
      <c r="J160" s="569" t="s">
        <v>11</v>
      </c>
    </row>
    <row r="161" spans="1:12" ht="36" customHeight="1">
      <c r="A161" s="1022"/>
      <c r="B161" s="587"/>
      <c r="C161" s="586" t="s">
        <v>50</v>
      </c>
      <c r="D161" s="589"/>
      <c r="E161" s="573">
        <f>TRUNC(E158/K156*8*15/12,0)</f>
        <v>107475</v>
      </c>
      <c r="F161" s="577"/>
      <c r="G161" s="578"/>
      <c r="H161" s="570" t="s">
        <v>202</v>
      </c>
      <c r="I161" s="571"/>
      <c r="J161" s="569" t="s">
        <v>12</v>
      </c>
    </row>
    <row r="162" spans="1:12" ht="36" customHeight="1">
      <c r="A162" s="1022"/>
      <c r="B162" s="587"/>
      <c r="C162" s="586" t="s">
        <v>257</v>
      </c>
      <c r="D162" s="589"/>
      <c r="E162" s="573"/>
      <c r="F162" s="577"/>
      <c r="G162" s="578"/>
      <c r="H162" s="570" t="s">
        <v>378</v>
      </c>
      <c r="I162" s="571"/>
      <c r="J162" s="569" t="s">
        <v>13</v>
      </c>
    </row>
    <row r="163" spans="1:12" ht="36" customHeight="1">
      <c r="A163" s="1023"/>
      <c r="B163" s="587"/>
      <c r="C163" s="586" t="s">
        <v>51</v>
      </c>
      <c r="D163" s="589"/>
      <c r="E163" s="573">
        <f>SUM(E159:E162)</f>
        <v>667208</v>
      </c>
      <c r="F163" s="577"/>
      <c r="G163" s="578"/>
      <c r="H163" s="570"/>
      <c r="I163" s="571"/>
      <c r="J163" s="569"/>
    </row>
    <row r="164" spans="1:12" ht="36" customHeight="1">
      <c r="A164" s="1012" t="s">
        <v>52</v>
      </c>
      <c r="B164" s="1013"/>
      <c r="C164" s="1013"/>
      <c r="D164" s="1014"/>
      <c r="E164" s="566">
        <f>TRUNC(E158*0.5/12,0)</f>
        <v>93593</v>
      </c>
      <c r="F164" s="567"/>
      <c r="G164" s="84"/>
      <c r="H164" s="574" t="s">
        <v>432</v>
      </c>
      <c r="I164" s="575"/>
      <c r="J164" s="569" t="s">
        <v>267</v>
      </c>
    </row>
    <row r="165" spans="1:12" ht="36" customHeight="1">
      <c r="A165" s="1012" t="s">
        <v>53</v>
      </c>
      <c r="B165" s="1013"/>
      <c r="C165" s="1013"/>
      <c r="D165" s="1014"/>
      <c r="E165" s="573">
        <f>TRUNC(SUM(E158,E163,E164)/12,0)</f>
        <v>250587</v>
      </c>
      <c r="F165" s="577"/>
      <c r="G165" s="578"/>
      <c r="H165" s="570" t="s">
        <v>54</v>
      </c>
      <c r="I165" s="571"/>
      <c r="J165" s="569" t="s">
        <v>268</v>
      </c>
    </row>
    <row r="166" spans="1:12" ht="45" customHeight="1">
      <c r="A166" s="1012" t="s">
        <v>55</v>
      </c>
      <c r="B166" s="1013"/>
      <c r="C166" s="1013"/>
      <c r="D166" s="1014"/>
      <c r="E166" s="573">
        <f>SUM(E158,E163,E164,E165)</f>
        <v>3257632</v>
      </c>
      <c r="F166" s="577"/>
      <c r="G166" s="578"/>
      <c r="H166" s="592"/>
      <c r="I166" s="590"/>
      <c r="J166" s="591"/>
    </row>
    <row r="167" spans="1:12" s="484" customFormat="1" ht="24.95" customHeight="1">
      <c r="A167" s="483" t="str">
        <f>"주 1) 기본급 : "&amp;월기본급!$A$1&amp;월기본급!$A$2&amp;" 참조"</f>
        <v>주 1) 기본급 : &lt; 표 : 5 &gt; M/M당기본급산출표 참조</v>
      </c>
      <c r="B167" s="483"/>
      <c r="C167" s="483"/>
      <c r="D167" s="483"/>
      <c r="E167" s="485"/>
      <c r="F167" s="485"/>
      <c r="G167" s="485"/>
      <c r="H167" s="485"/>
      <c r="I167" s="485"/>
      <c r="J167" s="485"/>
      <c r="L167" s="488"/>
    </row>
    <row r="168" spans="1:12" s="484" customFormat="1" ht="24.95" customHeight="1">
      <c r="A168" s="487" t="str">
        <f>"   2) 연장근로수당 : "&amp;FIXED(E158,0)&amp;"(기본급)÷"&amp;K156&amp;"시간(월근로시간)×("&amp;(연장근로!$D$8)&amp;"시간×"&amp;(연장근로!$E$8)&amp;"주)×1.5(할증)"</f>
        <v xml:space="preserve">   2) 연장근로수당 : 2,246,244(기본급)÷209시간(월근로시간)×(8시간×4.34주)×1.5(할증)</v>
      </c>
      <c r="B168" s="483"/>
      <c r="C168" s="483"/>
      <c r="D168" s="483"/>
      <c r="E168" s="485"/>
      <c r="F168" s="485"/>
      <c r="G168" s="485"/>
      <c r="H168" s="485"/>
      <c r="I168" s="485"/>
      <c r="J168" s="485"/>
      <c r="L168" s="488"/>
    </row>
    <row r="169" spans="1:12" s="484" customFormat="1" ht="24.95" customHeight="1">
      <c r="A169" s="115" t="s">
        <v>270</v>
      </c>
      <c r="B169" s="483"/>
      <c r="C169" s="483"/>
      <c r="D169" s="483"/>
      <c r="E169" s="485"/>
      <c r="F169" s="485"/>
      <c r="G169" s="485"/>
      <c r="H169" s="485"/>
      <c r="I169" s="485"/>
      <c r="J169" s="485"/>
      <c r="L169" s="488"/>
    </row>
    <row r="170" spans="1:12" s="484" customFormat="1" ht="24.95" customHeight="1">
      <c r="A170" s="887" t="s">
        <v>648</v>
      </c>
      <c r="B170" s="885"/>
      <c r="C170" s="885"/>
      <c r="D170" s="885"/>
      <c r="E170" s="886"/>
      <c r="F170" s="886"/>
      <c r="G170" s="886"/>
      <c r="H170" s="886"/>
      <c r="I170" s="886"/>
      <c r="J170" s="485"/>
      <c r="L170" s="488"/>
    </row>
    <row r="171" spans="1:12" s="484" customFormat="1" ht="24.95" customHeight="1">
      <c r="A171" s="487" t="str">
        <f>"   4) 년차수당 : "&amp;FIXED(E158,0)&amp;"(기본급)÷"&amp;K156&amp;"(월근로시간)×8시간(일근로시간)×15일/년÷12개월"</f>
        <v xml:space="preserve">   4) 년차수당 : 2,246,244(기본급)÷209(월근로시간)×8시간(일근로시간)×15일/년÷12개월</v>
      </c>
      <c r="B171" s="576"/>
      <c r="C171" s="576"/>
      <c r="D171" s="576"/>
      <c r="E171" s="486"/>
      <c r="F171" s="486"/>
      <c r="G171" s="486"/>
      <c r="H171" s="486"/>
      <c r="I171" s="486"/>
      <c r="J171" s="117"/>
      <c r="L171" s="488"/>
    </row>
    <row r="172" spans="1:12" s="484" customFormat="1" ht="24.95" customHeight="1">
      <c r="A172" s="487" t="s">
        <v>269</v>
      </c>
      <c r="B172" s="576"/>
      <c r="C172" s="576"/>
      <c r="D172" s="576"/>
      <c r="E172" s="486"/>
      <c r="F172" s="486"/>
      <c r="G172" s="486"/>
      <c r="H172" s="486"/>
      <c r="I172" s="486"/>
      <c r="J172" s="117"/>
      <c r="L172" s="488"/>
    </row>
    <row r="173" spans="1:12" ht="24.95" customHeight="1">
      <c r="A173" s="487" t="str">
        <f>"   6) 상여금 : "&amp;FIXED(E158,0)&amp;"(기본급)×0.5개월(년 50%적용)÷12개월"</f>
        <v xml:space="preserve">   6) 상여금 : 2,246,244(기본급)×0.5개월(년 50%적용)÷12개월</v>
      </c>
      <c r="J173" s="85"/>
    </row>
    <row r="174" spans="1:12" ht="24.95" customHeight="1">
      <c r="A174" s="487" t="str">
        <f>"   7) 퇴직급여충당금 : {"&amp;FIXED(E158,0)&amp;"(기본급)+"&amp;FIXED(E163,0)&amp;"(제수당)+"&amp;FIXED(E164,0)&amp;"(상여금)}÷12개월"</f>
        <v xml:space="preserve">   7) 퇴직급여충당금 : {2,246,244(기본급)+667,208(제수당)+93,593(상여금)}÷12개월</v>
      </c>
      <c r="J174" s="85"/>
    </row>
    <row r="175" spans="1:12" ht="20.100000000000001" customHeight="1">
      <c r="A175" s="115" t="str">
        <f>"구 분 : "&amp;월기본급!B18&amp;"                       직종명 : "&amp;월기본급!F18&amp;""</f>
        <v>구 분 : 운 전 원                       직종명 : 단순노무종사원</v>
      </c>
      <c r="B175" s="114"/>
      <c r="C175" s="114"/>
      <c r="D175" s="114"/>
      <c r="E175" s="486"/>
      <c r="F175" s="486"/>
      <c r="G175" s="486"/>
      <c r="J175" s="118" t="s">
        <v>36</v>
      </c>
      <c r="K175" s="105">
        <v>209</v>
      </c>
      <c r="L175" s="115" t="s">
        <v>44</v>
      </c>
    </row>
    <row r="176" spans="1:12" ht="50.1" customHeight="1">
      <c r="A176" s="1012" t="s">
        <v>45</v>
      </c>
      <c r="B176" s="1013"/>
      <c r="C176" s="1013"/>
      <c r="D176" s="1014"/>
      <c r="E176" s="1062" t="s">
        <v>46</v>
      </c>
      <c r="F176" s="1063"/>
      <c r="G176" s="369" t="s">
        <v>181</v>
      </c>
      <c r="H176" s="367"/>
      <c r="I176" s="369" t="s">
        <v>47</v>
      </c>
      <c r="J176" s="367"/>
    </row>
    <row r="177" spans="1:12" ht="36" customHeight="1">
      <c r="A177" s="1012" t="s">
        <v>48</v>
      </c>
      <c r="B177" s="1013"/>
      <c r="C177" s="1013"/>
      <c r="D177" s="1014"/>
      <c r="E177" s="573">
        <f>월기본급!J18</f>
        <v>1732380</v>
      </c>
      <c r="F177" s="577"/>
      <c r="G177" s="578"/>
      <c r="H177" s="568" t="s">
        <v>377</v>
      </c>
      <c r="I177" s="499"/>
      <c r="J177" s="569" t="s">
        <v>49</v>
      </c>
    </row>
    <row r="178" spans="1:12" s="614" customFormat="1" ht="36" customHeight="1">
      <c r="A178" s="1021" t="s">
        <v>258</v>
      </c>
      <c r="B178" s="874"/>
      <c r="C178" s="873" t="s">
        <v>0</v>
      </c>
      <c r="D178" s="875"/>
      <c r="E178" s="692">
        <f>TRUNC((E177/K175*($L$8*4.34)*1.5),0)</f>
        <v>431685</v>
      </c>
      <c r="F178" s="666"/>
      <c r="G178" s="667"/>
      <c r="H178" s="671" t="s">
        <v>203</v>
      </c>
      <c r="I178" s="672"/>
      <c r="J178" s="690" t="s">
        <v>10</v>
      </c>
      <c r="L178" s="654"/>
    </row>
    <row r="179" spans="1:12" ht="36" customHeight="1">
      <c r="A179" s="1022"/>
      <c r="B179" s="587"/>
      <c r="C179" s="586" t="s">
        <v>214</v>
      </c>
      <c r="D179" s="589"/>
      <c r="E179" s="573"/>
      <c r="F179" s="577"/>
      <c r="G179" s="578"/>
      <c r="H179" s="570" t="s">
        <v>203</v>
      </c>
      <c r="I179" s="571"/>
      <c r="J179" s="569" t="s">
        <v>11</v>
      </c>
      <c r="K179" s="105">
        <f>K160</f>
        <v>0</v>
      </c>
    </row>
    <row r="180" spans="1:12" ht="36" customHeight="1">
      <c r="A180" s="1022"/>
      <c r="B180" s="587"/>
      <c r="C180" s="586" t="s">
        <v>50</v>
      </c>
      <c r="D180" s="589"/>
      <c r="E180" s="573">
        <f>TRUNC(E177/K175*8*15/12,0)</f>
        <v>82888</v>
      </c>
      <c r="F180" s="577"/>
      <c r="G180" s="578"/>
      <c r="H180" s="570" t="s">
        <v>202</v>
      </c>
      <c r="I180" s="571"/>
      <c r="J180" s="569" t="s">
        <v>12</v>
      </c>
    </row>
    <row r="181" spans="1:12" ht="36" customHeight="1">
      <c r="A181" s="1022"/>
      <c r="B181" s="587"/>
      <c r="C181" s="586" t="s">
        <v>257</v>
      </c>
      <c r="D181" s="589"/>
      <c r="E181" s="573"/>
      <c r="F181" s="577"/>
      <c r="G181" s="578"/>
      <c r="H181" s="570" t="s">
        <v>378</v>
      </c>
      <c r="I181" s="571"/>
      <c r="J181" s="569" t="s">
        <v>13</v>
      </c>
    </row>
    <row r="182" spans="1:12" ht="36" customHeight="1">
      <c r="A182" s="1023"/>
      <c r="B182" s="587"/>
      <c r="C182" s="586" t="s">
        <v>51</v>
      </c>
      <c r="D182" s="589"/>
      <c r="E182" s="573">
        <f>SUM(E178:E181)</f>
        <v>514573</v>
      </c>
      <c r="F182" s="577"/>
      <c r="G182" s="578"/>
      <c r="H182" s="570"/>
      <c r="I182" s="571"/>
      <c r="J182" s="569"/>
    </row>
    <row r="183" spans="1:12" ht="36" customHeight="1">
      <c r="A183" s="1012" t="s">
        <v>52</v>
      </c>
      <c r="B183" s="1013"/>
      <c r="C183" s="1013"/>
      <c r="D183" s="1014"/>
      <c r="E183" s="566">
        <f>TRUNC(E177*4/12,0)</f>
        <v>577460</v>
      </c>
      <c r="F183" s="567"/>
      <c r="G183" s="84"/>
      <c r="H183" s="574" t="s">
        <v>432</v>
      </c>
      <c r="I183" s="575"/>
      <c r="J183" s="569" t="s">
        <v>267</v>
      </c>
    </row>
    <row r="184" spans="1:12" ht="36" customHeight="1">
      <c r="A184" s="1012" t="s">
        <v>53</v>
      </c>
      <c r="B184" s="1013"/>
      <c r="C184" s="1013"/>
      <c r="D184" s="1014"/>
      <c r="E184" s="573">
        <f>TRUNC(SUM(E177,E182,E183)/12,0)</f>
        <v>235367</v>
      </c>
      <c r="F184" s="577"/>
      <c r="G184" s="578"/>
      <c r="H184" s="570" t="s">
        <v>54</v>
      </c>
      <c r="I184" s="571"/>
      <c r="J184" s="569" t="s">
        <v>268</v>
      </c>
    </row>
    <row r="185" spans="1:12" ht="45" customHeight="1">
      <c r="A185" s="1012" t="s">
        <v>55</v>
      </c>
      <c r="B185" s="1013"/>
      <c r="C185" s="1013"/>
      <c r="D185" s="1014"/>
      <c r="E185" s="573">
        <f>SUM(E177,E182,E183,E184)</f>
        <v>3059780</v>
      </c>
      <c r="F185" s="577"/>
      <c r="G185" s="578"/>
      <c r="H185" s="592"/>
      <c r="I185" s="590"/>
      <c r="J185" s="591"/>
    </row>
    <row r="186" spans="1:12" s="484" customFormat="1" ht="24.95" customHeight="1">
      <c r="A186" s="483" t="str">
        <f>"주 1) 기본급 : "&amp;월기본급!$A$1&amp;월기본급!$A$2&amp;" 참조"</f>
        <v>주 1) 기본급 : &lt; 표 : 5 &gt; M/M당기본급산출표 참조</v>
      </c>
      <c r="B186" s="483"/>
      <c r="C186" s="483"/>
      <c r="D186" s="483"/>
      <c r="E186" s="485"/>
      <c r="F186" s="485"/>
      <c r="G186" s="485"/>
      <c r="H186" s="485"/>
      <c r="I186" s="485"/>
      <c r="J186" s="485"/>
      <c r="L186" s="488"/>
    </row>
    <row r="187" spans="1:12" s="880" customFormat="1" ht="24.95" customHeight="1">
      <c r="A187" s="683" t="str">
        <f>"   2) 연장근로수당 : "&amp;FIXED(E177,0)&amp;"(기본급)÷"&amp;K175&amp;"시간(월근로시간)×("&amp;(연장근로!$D$8)&amp;"시간×"&amp;(연장근로!$E$8)&amp;"주)×1.5(할증)"</f>
        <v xml:space="preserve">   2) 연장근로수당 : 1,732,380(기본급)÷209시간(월근로시간)×(8시간×4.34주)×1.5(할증)</v>
      </c>
      <c r="B187" s="679"/>
      <c r="C187" s="679"/>
      <c r="D187" s="679"/>
      <c r="E187" s="680"/>
      <c r="F187" s="680"/>
      <c r="G187" s="680"/>
      <c r="H187" s="680"/>
      <c r="I187" s="680"/>
      <c r="J187" s="680"/>
      <c r="L187" s="881"/>
    </row>
    <row r="188" spans="1:12" s="484" customFormat="1" ht="24.95" customHeight="1">
      <c r="A188" s="656" t="s">
        <v>548</v>
      </c>
      <c r="B188" s="679"/>
      <c r="C188" s="679"/>
      <c r="D188" s="679"/>
      <c r="E188" s="680"/>
      <c r="F188" s="680"/>
      <c r="G188" s="680"/>
      <c r="H188" s="680"/>
      <c r="I188" s="680"/>
      <c r="J188" s="680"/>
      <c r="L188" s="488"/>
    </row>
    <row r="189" spans="1:12" s="484" customFormat="1" ht="24.95" customHeight="1">
      <c r="A189" s="890" t="s">
        <v>648</v>
      </c>
      <c r="B189" s="888"/>
      <c r="C189" s="888"/>
      <c r="D189" s="888"/>
      <c r="E189" s="889"/>
      <c r="F189" s="889"/>
      <c r="G189" s="889"/>
      <c r="H189" s="889"/>
      <c r="I189" s="889"/>
      <c r="J189" s="485"/>
      <c r="L189" s="488"/>
    </row>
    <row r="190" spans="1:12" s="484" customFormat="1" ht="24.95" customHeight="1">
      <c r="A190" s="487" t="str">
        <f>"   4) 년차수당 : "&amp;FIXED(E177,0)&amp;"(기본급)÷"&amp;K175&amp;"(월근로시간)×8시간(일근로시간)×15일/년÷12개월"</f>
        <v xml:space="preserve">   4) 년차수당 : 1,732,380(기본급)÷209(월근로시간)×8시간(일근로시간)×15일/년÷12개월</v>
      </c>
      <c r="B190" s="576"/>
      <c r="C190" s="576"/>
      <c r="D190" s="576"/>
      <c r="E190" s="486"/>
      <c r="F190" s="486"/>
      <c r="G190" s="486"/>
      <c r="H190" s="486"/>
      <c r="I190" s="486"/>
      <c r="J190" s="117"/>
      <c r="L190" s="488"/>
    </row>
    <row r="191" spans="1:12" s="484" customFormat="1" ht="24.95" customHeight="1">
      <c r="A191" s="487" t="s">
        <v>269</v>
      </c>
      <c r="B191" s="576"/>
      <c r="C191" s="576"/>
      <c r="D191" s="576"/>
      <c r="E191" s="486"/>
      <c r="F191" s="486"/>
      <c r="G191" s="486"/>
      <c r="H191" s="486"/>
      <c r="I191" s="486"/>
      <c r="J191" s="117"/>
      <c r="L191" s="488"/>
    </row>
    <row r="192" spans="1:12" ht="24.95" customHeight="1">
      <c r="A192" s="487" t="str">
        <f>"   6) 상여금 : "&amp;FIXED(E177,0)&amp;"(기본급)×4개월(년 400%적용)÷12개월"</f>
        <v xml:space="preserve">   6) 상여금 : 1,732,380(기본급)×4개월(년 400%적용)÷12개월</v>
      </c>
      <c r="J192" s="85"/>
    </row>
    <row r="193" spans="1:12" ht="24.95" customHeight="1">
      <c r="A193" s="487" t="str">
        <f>"   7) 퇴직급여충당금 : {"&amp;FIXED(E177,0)&amp;"(기본급)+"&amp;FIXED(E182,0)&amp;"(제수당)+"&amp;FIXED(E183,0)&amp;"(상여금)}÷12개월"</f>
        <v xml:space="preserve">   7) 퇴직급여충당금 : {1,732,380(기본급)+514,573(제수당)+577,460(상여금)}÷12개월</v>
      </c>
      <c r="J193" s="85"/>
    </row>
    <row r="194" spans="1:12" s="660" customFormat="1" ht="20.100000000000001" customHeight="1">
      <c r="A194" s="656" t="str">
        <f>"구 분 : "&amp;월기본급!B19&amp;"                       직종명 : "&amp;월기본급!F19&amp;""</f>
        <v>구 분 : 사무보조원                       직종명 : 단순노무종사원</v>
      </c>
      <c r="B194" s="657"/>
      <c r="C194" s="657"/>
      <c r="D194" s="657"/>
      <c r="E194" s="604"/>
      <c r="F194" s="604"/>
      <c r="G194" s="604"/>
      <c r="H194" s="658"/>
      <c r="I194" s="658"/>
      <c r="J194" s="659" t="s">
        <v>525</v>
      </c>
      <c r="K194" s="660">
        <v>209</v>
      </c>
      <c r="L194" s="656" t="s">
        <v>526</v>
      </c>
    </row>
    <row r="195" spans="1:12" s="660" customFormat="1" ht="50.1" customHeight="1">
      <c r="A195" s="1054" t="s">
        <v>527</v>
      </c>
      <c r="B195" s="1055"/>
      <c r="C195" s="1055"/>
      <c r="D195" s="1056"/>
      <c r="E195" s="1057" t="s">
        <v>528</v>
      </c>
      <c r="F195" s="1058"/>
      <c r="G195" s="647" t="s">
        <v>529</v>
      </c>
      <c r="H195" s="648"/>
      <c r="I195" s="647" t="s">
        <v>530</v>
      </c>
      <c r="J195" s="648"/>
      <c r="L195" s="656"/>
    </row>
    <row r="196" spans="1:12" s="660" customFormat="1" ht="36" customHeight="1">
      <c r="A196" s="1054" t="s">
        <v>531</v>
      </c>
      <c r="B196" s="1055"/>
      <c r="C196" s="1055"/>
      <c r="D196" s="1056"/>
      <c r="E196" s="665">
        <f>월기본급!J19</f>
        <v>1732380</v>
      </c>
      <c r="F196" s="666"/>
      <c r="G196" s="667"/>
      <c r="H196" s="668" t="s">
        <v>532</v>
      </c>
      <c r="I196" s="669"/>
      <c r="J196" s="653" t="s">
        <v>49</v>
      </c>
      <c r="K196" s="849"/>
      <c r="L196" s="850"/>
    </row>
    <row r="197" spans="1:12" s="660" customFormat="1" ht="36" customHeight="1">
      <c r="A197" s="1059" t="s">
        <v>533</v>
      </c>
      <c r="B197" s="661"/>
      <c r="C197" s="670" t="s">
        <v>534</v>
      </c>
      <c r="D197" s="662"/>
      <c r="E197" s="692">
        <f>TRUNC((E196/K194*($L$7*4.34)*1.5),0)</f>
        <v>431685</v>
      </c>
      <c r="F197" s="666"/>
      <c r="G197" s="667"/>
      <c r="H197" s="671" t="s">
        <v>535</v>
      </c>
      <c r="I197" s="672"/>
      <c r="J197" s="653" t="s">
        <v>10</v>
      </c>
      <c r="K197" s="849"/>
      <c r="L197" s="850"/>
    </row>
    <row r="198" spans="1:12" s="660" customFormat="1" ht="36" customHeight="1">
      <c r="A198" s="1060"/>
      <c r="B198" s="661"/>
      <c r="C198" s="670" t="s">
        <v>536</v>
      </c>
      <c r="D198" s="662"/>
      <c r="E198" s="692">
        <f>TRUNC((E196/K194*($L$9)*1.5),0)</f>
        <v>99466</v>
      </c>
      <c r="F198" s="666"/>
      <c r="G198" s="667"/>
      <c r="H198" s="671" t="s">
        <v>535</v>
      </c>
      <c r="I198" s="672"/>
      <c r="J198" s="653" t="s">
        <v>11</v>
      </c>
      <c r="K198" s="849"/>
      <c r="L198" s="850"/>
    </row>
    <row r="199" spans="1:12" s="660" customFormat="1" ht="36" customHeight="1">
      <c r="A199" s="1060"/>
      <c r="B199" s="661"/>
      <c r="C199" s="670" t="s">
        <v>537</v>
      </c>
      <c r="D199" s="662"/>
      <c r="E199" s="665">
        <f>TRUNC(E196/K194*8*15/12,0)</f>
        <v>82888</v>
      </c>
      <c r="F199" s="666"/>
      <c r="G199" s="667"/>
      <c r="H199" s="671" t="s">
        <v>538</v>
      </c>
      <c r="I199" s="672"/>
      <c r="J199" s="653" t="s">
        <v>12</v>
      </c>
      <c r="K199" s="849"/>
      <c r="L199" s="850"/>
    </row>
    <row r="200" spans="1:12" s="660" customFormat="1" ht="36" customHeight="1">
      <c r="A200" s="1060"/>
      <c r="B200" s="661"/>
      <c r="C200" s="670" t="s">
        <v>539</v>
      </c>
      <c r="D200" s="662"/>
      <c r="E200" s="665"/>
      <c r="F200" s="666"/>
      <c r="G200" s="667"/>
      <c r="H200" s="671" t="s">
        <v>540</v>
      </c>
      <c r="I200" s="672"/>
      <c r="J200" s="653" t="s">
        <v>13</v>
      </c>
      <c r="K200" s="849"/>
      <c r="L200" s="850"/>
    </row>
    <row r="201" spans="1:12" s="660" customFormat="1" ht="36" customHeight="1">
      <c r="A201" s="1061"/>
      <c r="B201" s="661"/>
      <c r="C201" s="670" t="s">
        <v>541</v>
      </c>
      <c r="D201" s="662"/>
      <c r="E201" s="665">
        <f>SUM(E197:E200)</f>
        <v>614039</v>
      </c>
      <c r="F201" s="666"/>
      <c r="G201" s="667"/>
      <c r="H201" s="671"/>
      <c r="I201" s="672"/>
      <c r="J201" s="653"/>
      <c r="K201" s="849"/>
      <c r="L201" s="850"/>
    </row>
    <row r="202" spans="1:12" s="660" customFormat="1" ht="36" customHeight="1">
      <c r="A202" s="1054" t="s">
        <v>542</v>
      </c>
      <c r="B202" s="1055"/>
      <c r="C202" s="1055"/>
      <c r="D202" s="1056"/>
      <c r="E202" s="673">
        <f>TRUNC(E196*4/12,0)</f>
        <v>577460</v>
      </c>
      <c r="F202" s="674"/>
      <c r="G202" s="675"/>
      <c r="H202" s="676" t="s">
        <v>543</v>
      </c>
      <c r="I202" s="677"/>
      <c r="J202" s="653" t="s">
        <v>544</v>
      </c>
      <c r="K202" s="849"/>
      <c r="L202" s="850"/>
    </row>
    <row r="203" spans="1:12" s="660" customFormat="1" ht="36" customHeight="1">
      <c r="A203" s="1054" t="s">
        <v>545</v>
      </c>
      <c r="B203" s="1055"/>
      <c r="C203" s="1055"/>
      <c r="D203" s="1056"/>
      <c r="E203" s="665">
        <f>TRUNC(SUM(E196,E201,E202)/12,0)</f>
        <v>243656</v>
      </c>
      <c r="F203" s="666"/>
      <c r="G203" s="667"/>
      <c r="H203" s="671" t="s">
        <v>546</v>
      </c>
      <c r="I203" s="672"/>
      <c r="J203" s="653" t="s">
        <v>268</v>
      </c>
      <c r="K203" s="849"/>
      <c r="L203" s="850"/>
    </row>
    <row r="204" spans="1:12" s="660" customFormat="1" ht="45" customHeight="1">
      <c r="A204" s="1054" t="s">
        <v>547</v>
      </c>
      <c r="B204" s="1055"/>
      <c r="C204" s="1055"/>
      <c r="D204" s="1056"/>
      <c r="E204" s="665">
        <f>SUM(E196,E201,E202,E203)</f>
        <v>3167535</v>
      </c>
      <c r="F204" s="666"/>
      <c r="G204" s="667"/>
      <c r="H204" s="678"/>
      <c r="I204" s="663"/>
      <c r="J204" s="664"/>
      <c r="K204" s="849"/>
      <c r="L204" s="850"/>
    </row>
    <row r="205" spans="1:12" s="681" customFormat="1" ht="24.95" customHeight="1">
      <c r="A205" s="679" t="str">
        <f>"주 1) 기본급 : "&amp;월기본급!$A$1&amp;월기본급!$A$2&amp;" 참조"</f>
        <v>주 1) 기본급 : &lt; 표 : 5 &gt; M/M당기본급산출표 참조</v>
      </c>
      <c r="B205" s="679"/>
      <c r="C205" s="679"/>
      <c r="D205" s="679"/>
      <c r="E205" s="680"/>
      <c r="F205" s="680"/>
      <c r="G205" s="680"/>
      <c r="H205" s="680"/>
      <c r="I205" s="680"/>
      <c r="J205" s="680"/>
      <c r="L205" s="682"/>
    </row>
    <row r="206" spans="1:12" s="681" customFormat="1" ht="24.95" customHeight="1">
      <c r="A206" s="683" t="str">
        <f>"   2) 연장근로수당 : "&amp;FIXED(E196,0)&amp;"(기본급)÷"&amp;K194&amp;"시간(월근로시간)×("&amp;(연장근로!$D$8)&amp;"시간×"&amp;(연장근로!$E$8)&amp;"주)×1.5(할증)"</f>
        <v xml:space="preserve">   2) 연장근로수당 : 1,732,380(기본급)÷209시간(월근로시간)×(8시간×4.34주)×1.5(할증)</v>
      </c>
      <c r="B206" s="679"/>
      <c r="C206" s="679"/>
      <c r="D206" s="679"/>
      <c r="E206" s="680"/>
      <c r="F206" s="680"/>
      <c r="G206" s="680"/>
      <c r="H206" s="680"/>
      <c r="I206" s="680"/>
      <c r="J206" s="680"/>
      <c r="L206" s="682"/>
    </row>
    <row r="207" spans="1:12" s="681" customFormat="1" ht="24.95" customHeight="1">
      <c r="A207" s="656" t="s">
        <v>548</v>
      </c>
      <c r="B207" s="679"/>
      <c r="C207" s="679"/>
      <c r="D207" s="679"/>
      <c r="E207" s="680"/>
      <c r="F207" s="680"/>
      <c r="G207" s="680"/>
      <c r="H207" s="680"/>
      <c r="I207" s="680"/>
      <c r="J207" s="680"/>
      <c r="L207" s="682"/>
    </row>
    <row r="208" spans="1:12" s="681" customFormat="1" ht="24.95" customHeight="1">
      <c r="A208" s="884" t="s">
        <v>647</v>
      </c>
      <c r="B208" s="882"/>
      <c r="C208" s="882"/>
      <c r="D208" s="882"/>
      <c r="E208" s="883"/>
      <c r="F208" s="883"/>
      <c r="G208" s="883"/>
      <c r="H208" s="883"/>
      <c r="I208" s="883"/>
      <c r="J208" s="680"/>
      <c r="L208" s="682"/>
    </row>
    <row r="209" spans="1:12" s="681" customFormat="1" ht="24.95" customHeight="1">
      <c r="A209" s="683" t="str">
        <f>"   4) 년차수당 : "&amp;FIXED(E196,0)&amp;"(기본급)÷"&amp;K194&amp;"(월근로시간)×8시간(일근로시간)×15일/년÷12개월"</f>
        <v xml:space="preserve">   4) 년차수당 : 1,732,380(기본급)÷209(월근로시간)×8시간(일근로시간)×15일/년÷12개월</v>
      </c>
      <c r="B209" s="684"/>
      <c r="C209" s="684"/>
      <c r="D209" s="684"/>
      <c r="E209" s="604"/>
      <c r="F209" s="604"/>
      <c r="G209" s="604"/>
      <c r="H209" s="604"/>
      <c r="I209" s="604"/>
      <c r="J209" s="685"/>
      <c r="L209" s="682"/>
    </row>
    <row r="210" spans="1:12" s="681" customFormat="1" ht="24.95" customHeight="1">
      <c r="A210" s="683" t="s">
        <v>549</v>
      </c>
      <c r="B210" s="684"/>
      <c r="C210" s="684"/>
      <c r="D210" s="684"/>
      <c r="E210" s="604"/>
      <c r="F210" s="604"/>
      <c r="G210" s="604"/>
      <c r="H210" s="604"/>
      <c r="I210" s="604"/>
      <c r="J210" s="685"/>
      <c r="L210" s="682"/>
    </row>
    <row r="211" spans="1:12" s="660" customFormat="1" ht="24.95" customHeight="1">
      <c r="A211" s="683" t="str">
        <f>"   6) 상여금 : "&amp;FIXED(E196,0)&amp;"(기본급)×4개월(년 400%적용)÷12개월"</f>
        <v xml:space="preserve">   6) 상여금 : 1,732,380(기본급)×4개월(년 400%적용)÷12개월</v>
      </c>
      <c r="B211" s="686"/>
      <c r="C211" s="686"/>
      <c r="D211" s="686"/>
      <c r="E211" s="658"/>
      <c r="F211" s="658"/>
      <c r="G211" s="658"/>
      <c r="H211" s="658"/>
      <c r="I211" s="658"/>
      <c r="J211" s="658"/>
      <c r="L211" s="656"/>
    </row>
    <row r="212" spans="1:12" s="660" customFormat="1" ht="24.95" customHeight="1">
      <c r="A212" s="683" t="str">
        <f>"   7) 퇴직급여충당금 : {"&amp;FIXED(E196,0)&amp;"(기본급)+"&amp;FIXED(E201,0)&amp;"(제수당)+"&amp;FIXED(E202,0)&amp;"(상여금)}÷12개월"</f>
        <v xml:space="preserve">   7) 퇴직급여충당금 : {1,732,380(기본급)+614,039(제수당)+577,460(상여금)}÷12개월</v>
      </c>
      <c r="B212" s="686"/>
      <c r="C212" s="686"/>
      <c r="D212" s="686"/>
      <c r="E212" s="658"/>
      <c r="F212" s="658"/>
      <c r="G212" s="658"/>
      <c r="H212" s="658"/>
      <c r="I212" s="658"/>
      <c r="J212" s="658"/>
      <c r="L212" s="656"/>
    </row>
    <row r="213" spans="1:12" s="660" customFormat="1" ht="21.95" customHeight="1">
      <c r="A213" s="683"/>
      <c r="B213" s="686"/>
      <c r="C213" s="686"/>
      <c r="D213" s="686"/>
      <c r="E213" s="658"/>
      <c r="F213" s="658"/>
      <c r="G213" s="658"/>
      <c r="H213" s="658"/>
      <c r="I213" s="658"/>
      <c r="J213" s="658"/>
      <c r="L213" s="656"/>
    </row>
    <row r="214" spans="1:12" s="660" customFormat="1" ht="21.95" customHeight="1">
      <c r="A214" s="683"/>
      <c r="B214" s="686"/>
      <c r="C214" s="686"/>
      <c r="D214" s="686"/>
      <c r="E214" s="658"/>
      <c r="F214" s="658"/>
      <c r="G214" s="658"/>
      <c r="H214" s="658"/>
      <c r="I214" s="658"/>
      <c r="J214" s="658"/>
      <c r="L214" s="656"/>
    </row>
    <row r="215" spans="1:12" s="660" customFormat="1">
      <c r="A215" s="687"/>
      <c r="B215" s="686"/>
      <c r="C215" s="686"/>
      <c r="D215" s="686"/>
      <c r="E215" s="658"/>
      <c r="F215" s="658"/>
      <c r="G215" s="658"/>
      <c r="H215" s="658"/>
      <c r="I215" s="658"/>
      <c r="J215" s="688"/>
      <c r="L215" s="656"/>
    </row>
  </sheetData>
  <mergeCells count="77">
    <mergeCell ref="A50:D50"/>
    <mergeCell ref="A45:A49"/>
    <mergeCell ref="A44:D44"/>
    <mergeCell ref="A63:D63"/>
    <mergeCell ref="E62:F62"/>
    <mergeCell ref="A62:D62"/>
    <mergeCell ref="A52:D52"/>
    <mergeCell ref="A51:D51"/>
    <mergeCell ref="A146:D146"/>
    <mergeCell ref="A145:D145"/>
    <mergeCell ref="A140:A144"/>
    <mergeCell ref="E138:F138"/>
    <mergeCell ref="E119:F119"/>
    <mergeCell ref="A119:D119"/>
    <mergeCell ref="A5:D5"/>
    <mergeCell ref="E5:F5"/>
    <mergeCell ref="A6:D6"/>
    <mergeCell ref="A24:D24"/>
    <mergeCell ref="A43:D43"/>
    <mergeCell ref="E43:F43"/>
    <mergeCell ref="E24:F24"/>
    <mergeCell ref="A7:A11"/>
    <mergeCell ref="A33:D33"/>
    <mergeCell ref="A31:D31"/>
    <mergeCell ref="A12:D12"/>
    <mergeCell ref="A13:D13"/>
    <mergeCell ref="A14:D14"/>
    <mergeCell ref="A25:D25"/>
    <mergeCell ref="A26:A30"/>
    <mergeCell ref="A32:D32"/>
    <mergeCell ref="A176:D176"/>
    <mergeCell ref="A164:D164"/>
    <mergeCell ref="E176:F176"/>
    <mergeCell ref="A165:D165"/>
    <mergeCell ref="A166:D166"/>
    <mergeCell ref="E100:F100"/>
    <mergeCell ref="A101:D101"/>
    <mergeCell ref="A71:D71"/>
    <mergeCell ref="A64:A68"/>
    <mergeCell ref="A69:D69"/>
    <mergeCell ref="A70:D70"/>
    <mergeCell ref="A81:D81"/>
    <mergeCell ref="A89:D89"/>
    <mergeCell ref="A90:D90"/>
    <mergeCell ref="A82:D82"/>
    <mergeCell ref="A83:A87"/>
    <mergeCell ref="A88:D88"/>
    <mergeCell ref="A100:D100"/>
    <mergeCell ref="E81:F81"/>
    <mergeCell ref="E157:F157"/>
    <mergeCell ref="A102:A106"/>
    <mergeCell ref="A158:D158"/>
    <mergeCell ref="A159:A163"/>
    <mergeCell ref="A128:D128"/>
    <mergeCell ref="A120:D120"/>
    <mergeCell ref="A121:A125"/>
    <mergeCell ref="A126:D126"/>
    <mergeCell ref="A127:D127"/>
    <mergeCell ref="A147:D147"/>
    <mergeCell ref="A138:D138"/>
    <mergeCell ref="A139:D139"/>
    <mergeCell ref="A157:D157"/>
    <mergeCell ref="A107:D107"/>
    <mergeCell ref="A108:D108"/>
    <mergeCell ref="A109:D109"/>
    <mergeCell ref="A177:D177"/>
    <mergeCell ref="A178:A182"/>
    <mergeCell ref="A183:D183"/>
    <mergeCell ref="A184:D184"/>
    <mergeCell ref="A185:D185"/>
    <mergeCell ref="A204:D204"/>
    <mergeCell ref="A195:D195"/>
    <mergeCell ref="E195:F195"/>
    <mergeCell ref="A196:D196"/>
    <mergeCell ref="A197:A201"/>
    <mergeCell ref="A202:D202"/>
    <mergeCell ref="A203:D203"/>
  </mergeCells>
  <phoneticPr fontId="5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&amp;C- &amp;P -</oddFooter>
  </headerFooter>
  <rowBreaks count="2" manualBreakCount="2">
    <brk id="174" max="9" man="1"/>
    <brk id="193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L22"/>
  <sheetViews>
    <sheetView showGridLines="0" showZeros="0" view="pageBreakPreview" zoomScale="95" zoomScaleNormal="100" workbookViewId="0">
      <selection activeCell="M31" sqref="M31"/>
    </sheetView>
  </sheetViews>
  <sheetFormatPr defaultRowHeight="12"/>
  <cols>
    <col min="1" max="1" width="1.7109375" style="116" customWidth="1"/>
    <col min="2" max="2" width="13.7109375" style="116" customWidth="1"/>
    <col min="3" max="3" width="1.7109375" style="116" customWidth="1"/>
    <col min="4" max="4" width="10.7109375" style="105" customWidth="1"/>
    <col min="5" max="5" width="1.7109375" style="105" customWidth="1"/>
    <col min="6" max="6" width="15.7109375" style="105" customWidth="1"/>
    <col min="7" max="7" width="1.7109375" style="105" customWidth="1"/>
    <col min="8" max="8" width="11.7109375" style="106" customWidth="1"/>
    <col min="9" max="9" width="10.7109375" style="106" customWidth="1"/>
    <col min="10" max="10" width="13.7109375" style="106" customWidth="1"/>
    <col min="11" max="11" width="12" style="106" customWidth="1"/>
    <col min="12" max="12" width="9.140625" style="106"/>
    <col min="13" max="16384" width="9.140625" style="105"/>
  </cols>
  <sheetData>
    <row r="1" spans="1:12" ht="20.100000000000001" customHeight="1">
      <c r="A1" s="104" t="s">
        <v>482</v>
      </c>
      <c r="B1" s="104"/>
      <c r="C1" s="104"/>
      <c r="D1" s="227"/>
    </row>
    <row r="2" spans="1:12" s="76" customFormat="1" ht="39.950000000000003" customHeight="1">
      <c r="A2" s="107" t="s">
        <v>56</v>
      </c>
      <c r="B2" s="107"/>
      <c r="C2" s="107"/>
      <c r="D2" s="108"/>
      <c r="E2" s="108"/>
      <c r="F2" s="108"/>
      <c r="G2" s="108"/>
      <c r="H2" s="364"/>
      <c r="I2" s="364"/>
      <c r="J2" s="364"/>
      <c r="K2" s="364"/>
      <c r="L2" s="548"/>
    </row>
    <row r="3" spans="1:12" s="76" customFormat="1" ht="20.100000000000001" customHeight="1">
      <c r="A3" s="107"/>
      <c r="B3" s="107"/>
      <c r="C3" s="107"/>
      <c r="D3" s="108"/>
      <c r="E3" s="108"/>
      <c r="F3" s="108"/>
      <c r="G3" s="108"/>
      <c r="H3" s="364"/>
      <c r="I3" s="364"/>
      <c r="J3" s="364"/>
      <c r="K3" s="364"/>
      <c r="L3" s="548"/>
    </row>
    <row r="4" spans="1:12" ht="20.100000000000001" customHeight="1">
      <c r="A4" s="114"/>
      <c r="B4" s="114"/>
      <c r="C4" s="114"/>
      <c r="D4" s="115"/>
      <c r="E4" s="115"/>
      <c r="F4" s="115"/>
      <c r="G4" s="115"/>
      <c r="K4" s="118" t="s">
        <v>374</v>
      </c>
    </row>
    <row r="5" spans="1:12" s="377" customFormat="1" ht="20.100000000000001" customHeight="1">
      <c r="A5" s="479"/>
      <c r="B5" s="1067" t="s">
        <v>57</v>
      </c>
      <c r="C5" s="480"/>
      <c r="D5" s="1069" t="s">
        <v>58</v>
      </c>
      <c r="E5" s="479"/>
      <c r="F5" s="1071" t="s">
        <v>38</v>
      </c>
      <c r="G5" s="480"/>
      <c r="H5" s="1021" t="s">
        <v>233</v>
      </c>
      <c r="I5" s="1021" t="s">
        <v>234</v>
      </c>
      <c r="J5" s="1021" t="s">
        <v>180</v>
      </c>
      <c r="K5" s="1021" t="s">
        <v>210</v>
      </c>
      <c r="L5" s="490"/>
    </row>
    <row r="6" spans="1:12" s="377" customFormat="1" ht="30" customHeight="1">
      <c r="A6" s="382"/>
      <c r="B6" s="1068"/>
      <c r="C6" s="549"/>
      <c r="D6" s="1070"/>
      <c r="E6" s="382"/>
      <c r="F6" s="1072"/>
      <c r="G6" s="549"/>
      <c r="H6" s="1023"/>
      <c r="I6" s="1023"/>
      <c r="J6" s="1023"/>
      <c r="K6" s="1023"/>
      <c r="L6" s="490"/>
    </row>
    <row r="7" spans="1:12" s="74" customFormat="1" ht="20.100000000000001" hidden="1" customHeight="1">
      <c r="A7" s="370"/>
      <c r="B7" s="116"/>
      <c r="C7" s="116"/>
      <c r="D7" s="370"/>
      <c r="E7" s="550"/>
      <c r="F7" s="377"/>
      <c r="G7" s="551"/>
      <c r="H7" s="481" t="s">
        <v>59</v>
      </c>
      <c r="I7" s="481" t="s">
        <v>10</v>
      </c>
      <c r="J7" s="481"/>
      <c r="K7" s="552"/>
      <c r="L7" s="489"/>
    </row>
    <row r="8" spans="1:12" s="74" customFormat="1" ht="20.100000000000001" hidden="1" customHeight="1">
      <c r="A8" s="370"/>
      <c r="B8" s="116"/>
      <c r="C8" s="116"/>
      <c r="D8" s="370"/>
      <c r="E8" s="550"/>
      <c r="F8" s="377"/>
      <c r="G8" s="551"/>
      <c r="H8" s="481" t="s">
        <v>371</v>
      </c>
      <c r="I8" s="481" t="s">
        <v>369</v>
      </c>
      <c r="J8" s="481" t="s">
        <v>370</v>
      </c>
      <c r="K8" s="552"/>
      <c r="L8" s="489"/>
    </row>
    <row r="9" spans="1:12" ht="35.1" hidden="1" customHeight="1">
      <c r="A9" s="553"/>
      <c r="B9" s="492"/>
      <c r="C9" s="379"/>
      <c r="D9" s="525"/>
      <c r="E9" s="554"/>
      <c r="F9" s="820"/>
      <c r="G9" s="555"/>
      <c r="H9" s="352"/>
      <c r="I9" s="529"/>
      <c r="J9" s="352">
        <f>TRUNC(H9*I9,0)</f>
        <v>0</v>
      </c>
      <c r="K9" s="373"/>
    </row>
    <row r="10" spans="1:12" ht="35.1" hidden="1" customHeight="1">
      <c r="A10" s="553"/>
      <c r="B10" s="492"/>
      <c r="C10" s="379"/>
      <c r="D10" s="525"/>
      <c r="E10" s="370"/>
      <c r="F10" s="821"/>
      <c r="G10" s="371"/>
      <c r="H10" s="255"/>
      <c r="I10" s="557"/>
      <c r="J10" s="352">
        <f>TRUNC(H10*I10,0)</f>
        <v>0</v>
      </c>
      <c r="K10" s="373"/>
    </row>
    <row r="11" spans="1:12" ht="35.1" hidden="1" customHeight="1">
      <c r="A11" s="553"/>
      <c r="B11" s="492"/>
      <c r="C11" s="379"/>
      <c r="D11" s="822"/>
      <c r="E11" s="370"/>
      <c r="F11" s="556"/>
      <c r="G11" s="371"/>
      <c r="H11" s="255"/>
      <c r="I11" s="557"/>
      <c r="J11" s="352">
        <f t="shared" ref="J11:J17" si="0">TRUNC(H11*I11,0)</f>
        <v>0</v>
      </c>
      <c r="K11" s="373"/>
    </row>
    <row r="12" spans="1:12" ht="35.1" hidden="1" customHeight="1">
      <c r="A12" s="553"/>
      <c r="B12" s="492"/>
      <c r="C12" s="379"/>
      <c r="D12" s="373"/>
      <c r="E12" s="370"/>
      <c r="F12" s="820"/>
      <c r="G12" s="371"/>
      <c r="H12" s="255"/>
      <c r="I12" s="557"/>
      <c r="J12" s="352">
        <f>TRUNC(H12*I12,0)</f>
        <v>0</v>
      </c>
      <c r="K12" s="373"/>
    </row>
    <row r="13" spans="1:12" ht="35.1" hidden="1" customHeight="1">
      <c r="A13" s="553"/>
      <c r="B13" s="492"/>
      <c r="C13" s="379"/>
      <c r="D13" s="373"/>
      <c r="E13" s="370"/>
      <c r="F13" s="820"/>
      <c r="G13" s="371"/>
      <c r="H13" s="255"/>
      <c r="I13" s="557"/>
      <c r="J13" s="352">
        <f>TRUNC(H13*I13,0)</f>
        <v>0</v>
      </c>
      <c r="K13" s="373"/>
    </row>
    <row r="14" spans="1:12" ht="35.1" hidden="1" customHeight="1">
      <c r="A14" s="553"/>
      <c r="B14" s="558"/>
      <c r="C14" s="559"/>
      <c r="D14" s="373"/>
      <c r="E14" s="370"/>
      <c r="F14" s="820"/>
      <c r="G14" s="371"/>
      <c r="H14" s="255"/>
      <c r="I14" s="557"/>
      <c r="J14" s="352">
        <f t="shared" si="0"/>
        <v>0</v>
      </c>
      <c r="K14" s="373"/>
    </row>
    <row r="15" spans="1:12" ht="35.1" hidden="1" customHeight="1">
      <c r="A15" s="553"/>
      <c r="B15" s="558"/>
      <c r="C15" s="559"/>
      <c r="D15" s="373"/>
      <c r="E15" s="370"/>
      <c r="F15" s="820"/>
      <c r="G15" s="371"/>
      <c r="H15" s="255"/>
      <c r="I15" s="557"/>
      <c r="J15" s="352">
        <f t="shared" si="0"/>
        <v>0</v>
      </c>
      <c r="K15" s="560"/>
    </row>
    <row r="16" spans="1:12" ht="35.1" hidden="1" customHeight="1">
      <c r="A16" s="553"/>
      <c r="B16" s="558"/>
      <c r="C16" s="559"/>
      <c r="D16" s="373"/>
      <c r="E16" s="370"/>
      <c r="F16" s="820"/>
      <c r="G16" s="371"/>
      <c r="H16" s="255"/>
      <c r="I16" s="557"/>
      <c r="J16" s="352">
        <f>TRUNC(H16*I16,0)</f>
        <v>0</v>
      </c>
      <c r="K16" s="560"/>
    </row>
    <row r="17" spans="1:11" ht="35.1" customHeight="1">
      <c r="A17" s="553"/>
      <c r="B17" s="858" t="s">
        <v>632</v>
      </c>
      <c r="C17" s="857"/>
      <c r="D17" s="856">
        <v>122</v>
      </c>
      <c r="E17" s="855"/>
      <c r="F17" s="854" t="s">
        <v>633</v>
      </c>
      <c r="G17" s="853"/>
      <c r="H17" s="852">
        <v>86394</v>
      </c>
      <c r="I17" s="851">
        <v>26</v>
      </c>
      <c r="J17" s="852">
        <f t="shared" si="0"/>
        <v>2246244</v>
      </c>
      <c r="K17" s="560"/>
    </row>
    <row r="18" spans="1:11" ht="35.1" customHeight="1">
      <c r="A18" s="553"/>
      <c r="B18" s="858" t="s">
        <v>638</v>
      </c>
      <c r="C18" s="857"/>
      <c r="D18" s="856">
        <v>135</v>
      </c>
      <c r="E18" s="855"/>
      <c r="F18" s="854" t="s">
        <v>637</v>
      </c>
      <c r="G18" s="853"/>
      <c r="H18" s="852">
        <v>66630</v>
      </c>
      <c r="I18" s="851">
        <v>26</v>
      </c>
      <c r="J18" s="852">
        <f>TRUNC(H18*I18,0)</f>
        <v>1732380</v>
      </c>
      <c r="K18" s="560"/>
    </row>
    <row r="19" spans="1:11" ht="35.1" customHeight="1">
      <c r="A19" s="553"/>
      <c r="B19" s="858" t="s">
        <v>634</v>
      </c>
      <c r="C19" s="857"/>
      <c r="D19" s="856">
        <v>135</v>
      </c>
      <c r="E19" s="855"/>
      <c r="F19" s="854" t="s">
        <v>635</v>
      </c>
      <c r="G19" s="853"/>
      <c r="H19" s="852">
        <v>66630</v>
      </c>
      <c r="I19" s="851">
        <v>26</v>
      </c>
      <c r="J19" s="852">
        <f>TRUNC(H19*I19,0)</f>
        <v>1732380</v>
      </c>
      <c r="K19" s="560"/>
    </row>
    <row r="20" spans="1:11" ht="20.100000000000001" customHeight="1">
      <c r="A20" s="561"/>
      <c r="B20" s="493"/>
      <c r="C20" s="385"/>
      <c r="D20" s="478"/>
      <c r="E20" s="382"/>
      <c r="F20" s="259"/>
      <c r="G20" s="549"/>
      <c r="H20" s="562"/>
      <c r="I20" s="384"/>
      <c r="J20" s="562"/>
      <c r="K20" s="563"/>
    </row>
    <row r="21" spans="1:11" ht="30" customHeight="1">
      <c r="A21" s="1064" t="s">
        <v>642</v>
      </c>
      <c r="B21" s="1065"/>
      <c r="C21" s="1065"/>
      <c r="D21" s="1065"/>
      <c r="E21" s="1065"/>
      <c r="F21" s="1065"/>
      <c r="G21" s="1065"/>
      <c r="H21" s="1065"/>
      <c r="I21" s="1065"/>
      <c r="J21" s="1065"/>
      <c r="K21" s="1065"/>
    </row>
    <row r="22" spans="1:11" ht="30" customHeight="1">
      <c r="A22" s="1066"/>
      <c r="B22" s="1066"/>
      <c r="C22" s="1066"/>
      <c r="D22" s="1066"/>
      <c r="E22" s="1066"/>
      <c r="F22" s="1066"/>
      <c r="G22" s="1066"/>
      <c r="H22" s="1066"/>
      <c r="I22" s="1066"/>
      <c r="J22" s="1066"/>
      <c r="K22" s="1066"/>
    </row>
  </sheetData>
  <mergeCells count="8">
    <mergeCell ref="A21:K22"/>
    <mergeCell ref="J5:J6"/>
    <mergeCell ref="K5:K6"/>
    <mergeCell ref="B5:B6"/>
    <mergeCell ref="D5:D6"/>
    <mergeCell ref="F5:F6"/>
    <mergeCell ref="H5:H6"/>
    <mergeCell ref="I5:I6"/>
  </mergeCells>
  <phoneticPr fontId="7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G13"/>
  <sheetViews>
    <sheetView showGridLines="0" showZeros="0" view="pageBreakPreview" zoomScaleNormal="75" workbookViewId="0">
      <selection activeCell="F24" sqref="F24"/>
    </sheetView>
  </sheetViews>
  <sheetFormatPr defaultColWidth="11.42578125" defaultRowHeight="12"/>
  <cols>
    <col min="1" max="1" width="3.7109375" style="502" customWidth="1"/>
    <col min="2" max="2" width="18.28515625" style="503" customWidth="1"/>
    <col min="3" max="3" width="3.7109375" style="502" customWidth="1"/>
    <col min="4" max="4" width="16.5703125" style="502" customWidth="1"/>
    <col min="5" max="6" width="16.5703125" style="503" customWidth="1"/>
    <col min="7" max="7" width="19.5703125" style="502" customWidth="1"/>
    <col min="8" max="16384" width="11.42578125" style="502"/>
  </cols>
  <sheetData>
    <row r="1" spans="1:7" ht="20.100000000000001" customHeight="1">
      <c r="A1" s="502" t="s">
        <v>483</v>
      </c>
    </row>
    <row r="2" spans="1:7" ht="39.950000000000003" customHeight="1">
      <c r="A2" s="504" t="s">
        <v>282</v>
      </c>
      <c r="B2" s="505"/>
      <c r="C2" s="506"/>
      <c r="D2" s="506"/>
      <c r="E2" s="505"/>
      <c r="F2" s="505"/>
      <c r="G2" s="506"/>
    </row>
    <row r="3" spans="1:7" ht="20.100000000000001" customHeight="1">
      <c r="A3" s="506"/>
      <c r="B3" s="505"/>
      <c r="C3" s="505"/>
      <c r="D3" s="505"/>
      <c r="E3" s="509"/>
      <c r="F3" s="509"/>
      <c r="G3" s="509"/>
    </row>
    <row r="4" spans="1:7" ht="20.100000000000001" customHeight="1">
      <c r="A4" s="510"/>
      <c r="B4" s="511"/>
      <c r="C4" s="511"/>
      <c r="D4" s="511"/>
      <c r="E4" s="512"/>
      <c r="F4" s="512"/>
      <c r="G4" s="513"/>
    </row>
    <row r="5" spans="1:7" ht="50.1" customHeight="1">
      <c r="A5" s="514"/>
      <c r="B5" s="515" t="s">
        <v>273</v>
      </c>
      <c r="C5" s="516"/>
      <c r="D5" s="517" t="s">
        <v>286</v>
      </c>
      <c r="E5" s="520" t="s">
        <v>283</v>
      </c>
      <c r="F5" s="519" t="s">
        <v>284</v>
      </c>
      <c r="G5" s="520" t="s">
        <v>272</v>
      </c>
    </row>
    <row r="6" spans="1:7" ht="30" customHeight="1">
      <c r="A6" s="521"/>
      <c r="B6" s="505"/>
      <c r="C6" s="522"/>
      <c r="D6" s="523" t="s">
        <v>208</v>
      </c>
      <c r="E6" s="524" t="s">
        <v>246</v>
      </c>
      <c r="F6" s="509" t="s">
        <v>243</v>
      </c>
      <c r="G6" s="525"/>
    </row>
    <row r="7" spans="1:7" ht="30" customHeight="1">
      <c r="A7" s="521"/>
      <c r="B7" s="505"/>
      <c r="C7" s="522"/>
      <c r="D7" s="523" t="s">
        <v>372</v>
      </c>
      <c r="E7" s="525" t="s">
        <v>375</v>
      </c>
      <c r="F7" s="523" t="s">
        <v>372</v>
      </c>
      <c r="G7" s="525"/>
    </row>
    <row r="8" spans="1:7" ht="60" customHeight="1">
      <c r="A8" s="526"/>
      <c r="B8" s="527" t="s">
        <v>285</v>
      </c>
      <c r="C8" s="527"/>
      <c r="D8" s="827">
        <v>8</v>
      </c>
      <c r="E8" s="545">
        <v>4.34</v>
      </c>
      <c r="F8" s="546">
        <f>TRUNC(D8*E8,2)</f>
        <v>34.72</v>
      </c>
      <c r="G8" s="879" t="s">
        <v>645</v>
      </c>
    </row>
    <row r="9" spans="1:7" ht="60" customHeight="1">
      <c r="A9" s="531"/>
      <c r="B9" s="876" t="s">
        <v>644</v>
      </c>
      <c r="C9" s="532"/>
      <c r="D9" s="877">
        <v>8</v>
      </c>
      <c r="E9" s="534">
        <v>4.34</v>
      </c>
      <c r="F9" s="546">
        <f>TRUNC(D9*E9,2)</f>
        <v>34.72</v>
      </c>
      <c r="G9" s="878" t="s">
        <v>646</v>
      </c>
    </row>
    <row r="10" spans="1:7" ht="45" customHeight="1">
      <c r="A10" s="514"/>
      <c r="B10" s="515" t="s">
        <v>274</v>
      </c>
      <c r="C10" s="537"/>
      <c r="D10" s="538"/>
      <c r="E10" s="539"/>
      <c r="F10" s="547">
        <f>SUM(F8:F9)</f>
        <v>69.44</v>
      </c>
      <c r="G10" s="541"/>
    </row>
    <row r="11" spans="1:7" ht="30" customHeight="1">
      <c r="A11" s="502" t="s">
        <v>431</v>
      </c>
    </row>
    <row r="12" spans="1:7" ht="30" customHeight="1">
      <c r="A12" s="502" t="s">
        <v>376</v>
      </c>
    </row>
    <row r="13" spans="1:7" ht="30" customHeight="1">
      <c r="A13" s="542" t="s">
        <v>287</v>
      </c>
      <c r="B13" s="542"/>
      <c r="C13" s="543"/>
      <c r="D13" s="543"/>
      <c r="E13" s="544"/>
      <c r="F13" s="544"/>
      <c r="G13" s="544"/>
    </row>
  </sheetData>
  <phoneticPr fontId="7" type="noConversion"/>
  <pageMargins left="0.78740157480314965" right="0.78740157480314965" top="0.98425196850393704" bottom="0.78740157480314965" header="0.51181102362204722" footer="0.51181102362204722"/>
  <pageSetup paperSize="9" firstPageNumber="27" orientation="portrait" blackAndWhite="1" r:id="rId1"/>
  <headerFooter alignWithMargins="0">
    <oddFooter>&amp;C&amp;"바탕체,보통"&amp;10-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/>
  <dimension ref="A1:I13"/>
  <sheetViews>
    <sheetView showGridLines="0" showZeros="0" view="pageBreakPreview" zoomScaleNormal="75" workbookViewId="0">
      <selection activeCell="J13" sqref="J13"/>
    </sheetView>
  </sheetViews>
  <sheetFormatPr defaultColWidth="11.42578125" defaultRowHeight="12"/>
  <cols>
    <col min="1" max="1" width="3.7109375" style="502" customWidth="1"/>
    <col min="2" max="2" width="20.7109375" style="503" customWidth="1"/>
    <col min="3" max="3" width="3.7109375" style="502" customWidth="1"/>
    <col min="4" max="4" width="15.7109375" style="502" customWidth="1"/>
    <col min="5" max="6" width="15.7109375" style="503" customWidth="1"/>
    <col min="7" max="7" width="19.5703125" style="502" customWidth="1"/>
    <col min="8" max="9" width="11.42578125" style="502" customWidth="1"/>
    <col min="10" max="10" width="17" style="502" bestFit="1" customWidth="1"/>
    <col min="11" max="16384" width="11.42578125" style="502"/>
  </cols>
  <sheetData>
    <row r="1" spans="1:9" ht="20.100000000000001" customHeight="1">
      <c r="A1" s="502" t="s">
        <v>308</v>
      </c>
    </row>
    <row r="2" spans="1:9" ht="39.950000000000003" customHeight="1">
      <c r="A2" s="504" t="s">
        <v>288</v>
      </c>
      <c r="B2" s="505"/>
      <c r="C2" s="506"/>
      <c r="D2" s="506"/>
      <c r="E2" s="505"/>
      <c r="F2" s="505"/>
      <c r="G2" s="506"/>
      <c r="H2" s="507"/>
      <c r="I2" s="508"/>
    </row>
    <row r="3" spans="1:9" ht="20.100000000000001" customHeight="1">
      <c r="A3" s="506"/>
      <c r="B3" s="505"/>
      <c r="C3" s="505"/>
      <c r="D3" s="505"/>
      <c r="E3" s="509"/>
      <c r="F3" s="509"/>
      <c r="G3" s="509"/>
      <c r="H3" s="509"/>
      <c r="I3" s="508"/>
    </row>
    <row r="4" spans="1:9" ht="20.100000000000001" customHeight="1">
      <c r="A4" s="510"/>
      <c r="B4" s="511"/>
      <c r="C4" s="511"/>
      <c r="D4" s="511"/>
      <c r="E4" s="512"/>
      <c r="F4" s="512"/>
      <c r="G4" s="513"/>
      <c r="H4" s="512"/>
      <c r="I4" s="513"/>
    </row>
    <row r="5" spans="1:9" ht="50.1" customHeight="1">
      <c r="A5" s="514"/>
      <c r="B5" s="515" t="s">
        <v>273</v>
      </c>
      <c r="C5" s="516"/>
      <c r="D5" s="517" t="s">
        <v>367</v>
      </c>
      <c r="E5" s="518" t="s">
        <v>552</v>
      </c>
      <c r="F5" s="519" t="s">
        <v>289</v>
      </c>
      <c r="G5" s="520" t="s">
        <v>272</v>
      </c>
    </row>
    <row r="6" spans="1:9" ht="30" customHeight="1">
      <c r="A6" s="521"/>
      <c r="B6" s="505"/>
      <c r="C6" s="522"/>
      <c r="D6" s="523" t="s">
        <v>208</v>
      </c>
      <c r="E6" s="524" t="s">
        <v>246</v>
      </c>
      <c r="F6" s="509" t="s">
        <v>243</v>
      </c>
      <c r="G6" s="525"/>
    </row>
    <row r="7" spans="1:9" ht="30" customHeight="1">
      <c r="A7" s="521"/>
      <c r="B7" s="505"/>
      <c r="C7" s="522"/>
      <c r="D7" s="523" t="s">
        <v>372</v>
      </c>
      <c r="E7" s="524" t="s">
        <v>373</v>
      </c>
      <c r="F7" s="523" t="s">
        <v>372</v>
      </c>
      <c r="G7" s="525"/>
    </row>
    <row r="8" spans="1:9" ht="60" customHeight="1">
      <c r="A8" s="526"/>
      <c r="B8" s="527" t="s">
        <v>285</v>
      </c>
      <c r="C8" s="527"/>
      <c r="D8" s="528">
        <v>8</v>
      </c>
      <c r="E8" s="826">
        <v>1</v>
      </c>
      <c r="F8" s="530">
        <f>TRUNC(D8*E8,2)</f>
        <v>8</v>
      </c>
      <c r="G8" s="822" t="s">
        <v>649</v>
      </c>
    </row>
    <row r="9" spans="1:9" ht="60" customHeight="1">
      <c r="A9" s="531"/>
      <c r="B9" s="532"/>
      <c r="C9" s="532"/>
      <c r="D9" s="533"/>
      <c r="E9" s="534"/>
      <c r="F9" s="535"/>
      <c r="G9" s="536"/>
    </row>
    <row r="10" spans="1:9" ht="45" customHeight="1">
      <c r="A10" s="514"/>
      <c r="B10" s="515" t="s">
        <v>274</v>
      </c>
      <c r="C10" s="537"/>
      <c r="D10" s="538"/>
      <c r="E10" s="539"/>
      <c r="F10" s="540">
        <f>SUM(F8:F9)</f>
        <v>8</v>
      </c>
      <c r="G10" s="541"/>
    </row>
    <row r="11" spans="1:9" ht="30" customHeight="1">
      <c r="A11" s="502" t="s">
        <v>368</v>
      </c>
    </row>
    <row r="12" spans="1:9" ht="30" customHeight="1">
      <c r="A12" s="502" t="s">
        <v>553</v>
      </c>
    </row>
    <row r="13" spans="1:9" ht="30" customHeight="1">
      <c r="A13" s="542" t="s">
        <v>554</v>
      </c>
      <c r="B13" s="542"/>
      <c r="C13" s="543"/>
      <c r="D13" s="543"/>
      <c r="E13" s="544"/>
      <c r="F13" s="544"/>
      <c r="G13" s="544"/>
      <c r="H13" s="544"/>
      <c r="I13" s="544"/>
    </row>
  </sheetData>
  <phoneticPr fontId="7" type="noConversion"/>
  <pageMargins left="0.78740157480314965" right="0.78740157480314965" top="0.98425196850393704" bottom="0.78740157480314965" header="0.51181102362204722" footer="0.51181102362204722"/>
  <pageSetup paperSize="9" firstPageNumber="27" orientation="portrait" blackAndWhite="1" r:id="rId1"/>
  <headerFooter alignWithMargins="0">
    <oddFooter>&amp;C&amp;"바탕체,보통"&amp;10-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A1:I12"/>
  <sheetViews>
    <sheetView showGridLines="0" showZeros="0" view="pageBreakPreview" topLeftCell="A3" zoomScaleNormal="100" zoomScaleSheetLayoutView="100" workbookViewId="0">
      <selection activeCell="G12" sqref="G12"/>
    </sheetView>
  </sheetViews>
  <sheetFormatPr defaultRowHeight="12"/>
  <cols>
    <col min="1" max="1" width="5.7109375" style="467" customWidth="1"/>
    <col min="2" max="2" width="1.28515625" style="467" customWidth="1"/>
    <col min="3" max="3" width="12.7109375" style="467" customWidth="1"/>
    <col min="4" max="4" width="1.28515625" style="467" customWidth="1"/>
    <col min="5" max="5" width="29.7109375" style="461" customWidth="1"/>
    <col min="6" max="6" width="74.7109375" style="461" customWidth="1"/>
    <col min="7" max="7" width="44.140625" style="461" customWidth="1"/>
    <col min="8" max="8" width="9.140625" style="461"/>
    <col min="9" max="9" width="0" style="496" hidden="1" customWidth="1"/>
    <col min="10" max="16384" width="9.140625" style="461"/>
  </cols>
  <sheetData>
    <row r="1" spans="1:9" ht="20.100000000000001" customHeight="1">
      <c r="A1" s="419" t="s">
        <v>484</v>
      </c>
      <c r="B1" s="460"/>
      <c r="C1" s="460"/>
      <c r="D1" s="460"/>
    </row>
    <row r="2" spans="1:9" ht="39.950000000000003" customHeight="1">
      <c r="A2" s="463" t="s">
        <v>200</v>
      </c>
      <c r="B2" s="497"/>
      <c r="C2" s="497"/>
      <c r="D2" s="497"/>
      <c r="E2" s="498"/>
      <c r="F2" s="498"/>
      <c r="G2" s="498"/>
    </row>
    <row r="3" spans="1:9" ht="20.100000000000001" customHeight="1">
      <c r="A3" s="498"/>
      <c r="B3" s="497"/>
      <c r="C3" s="497"/>
      <c r="D3" s="497"/>
      <c r="E3" s="498"/>
      <c r="F3" s="498"/>
      <c r="G3" s="498"/>
    </row>
    <row r="4" spans="1:9" ht="20.100000000000001" customHeight="1"/>
    <row r="5" spans="1:9" ht="24.95" customHeight="1">
      <c r="A5" s="1073" t="s">
        <v>193</v>
      </c>
      <c r="B5" s="1067"/>
      <c r="C5" s="1067"/>
      <c r="D5" s="1074"/>
      <c r="E5" s="1077" t="s">
        <v>194</v>
      </c>
      <c r="F5" s="1079" t="s">
        <v>195</v>
      </c>
      <c r="G5" s="1077" t="s">
        <v>196</v>
      </c>
    </row>
    <row r="6" spans="1:9" ht="24.95" customHeight="1">
      <c r="A6" s="1075"/>
      <c r="B6" s="1068"/>
      <c r="C6" s="1068"/>
      <c r="D6" s="1076"/>
      <c r="E6" s="1078"/>
      <c r="F6" s="1080"/>
      <c r="G6" s="1078"/>
    </row>
    <row r="7" spans="1:9" ht="50.1" customHeight="1">
      <c r="A7" s="1062" t="s">
        <v>197</v>
      </c>
      <c r="B7" s="1086"/>
      <c r="C7" s="1086"/>
      <c r="D7" s="1063"/>
      <c r="E7" s="870" t="s">
        <v>615</v>
      </c>
      <c r="F7" s="870" t="s">
        <v>616</v>
      </c>
      <c r="G7" s="870" t="s">
        <v>617</v>
      </c>
      <c r="I7" s="655" t="e">
        <f>#REF!</f>
        <v>#REF!</v>
      </c>
    </row>
    <row r="8" spans="1:9" ht="50.1" customHeight="1">
      <c r="A8" s="1084" t="s">
        <v>213</v>
      </c>
      <c r="B8" s="499"/>
      <c r="C8" s="500" t="s">
        <v>0</v>
      </c>
      <c r="D8" s="501"/>
      <c r="E8" s="872" t="s">
        <v>618</v>
      </c>
      <c r="F8" s="872" t="s">
        <v>619</v>
      </c>
      <c r="G8" s="872" t="s">
        <v>614</v>
      </c>
    </row>
    <row r="9" spans="1:9" ht="50.1" customHeight="1">
      <c r="A9" s="1085"/>
      <c r="B9" s="499"/>
      <c r="C9" s="500" t="s">
        <v>214</v>
      </c>
      <c r="D9" s="501"/>
      <c r="E9" s="872" t="s">
        <v>620</v>
      </c>
      <c r="F9" s="872" t="s">
        <v>621</v>
      </c>
      <c r="G9" s="872" t="s">
        <v>622</v>
      </c>
    </row>
    <row r="10" spans="1:9" ht="50.1" customHeight="1">
      <c r="A10" s="1085"/>
      <c r="B10" s="499"/>
      <c r="C10" s="500" t="s">
        <v>22</v>
      </c>
      <c r="D10" s="501"/>
      <c r="E10" s="872" t="s">
        <v>623</v>
      </c>
      <c r="F10" s="872" t="s">
        <v>624</v>
      </c>
      <c r="G10" s="872" t="s">
        <v>625</v>
      </c>
    </row>
    <row r="11" spans="1:9" ht="50.1" customHeight="1">
      <c r="A11" s="1081" t="s">
        <v>198</v>
      </c>
      <c r="B11" s="1082"/>
      <c r="C11" s="1082"/>
      <c r="D11" s="1083"/>
      <c r="E11" s="872" t="s">
        <v>626</v>
      </c>
      <c r="F11" s="872" t="s">
        <v>636</v>
      </c>
      <c r="G11" s="872" t="s">
        <v>639</v>
      </c>
    </row>
    <row r="12" spans="1:9" ht="50.1" customHeight="1">
      <c r="A12" s="1081" t="s">
        <v>199</v>
      </c>
      <c r="B12" s="1082"/>
      <c r="C12" s="1082"/>
      <c r="D12" s="1083"/>
      <c r="E12" s="871" t="s">
        <v>627</v>
      </c>
      <c r="F12" s="872" t="s">
        <v>628</v>
      </c>
      <c r="G12" s="872" t="s">
        <v>629</v>
      </c>
    </row>
  </sheetData>
  <mergeCells count="8">
    <mergeCell ref="A5:D6"/>
    <mergeCell ref="E5:E6"/>
    <mergeCell ref="F5:F6"/>
    <mergeCell ref="G5:G6"/>
    <mergeCell ref="A12:D12"/>
    <mergeCell ref="A8:A10"/>
    <mergeCell ref="A7:D7"/>
    <mergeCell ref="A11:D11"/>
  </mergeCells>
  <phoneticPr fontId="5" type="noConversion"/>
  <pageMargins left="0.78740157480314965" right="0.78740157480314965" top="0.78740157480314965" bottom="0.78740157480314965" header="0.51181102362204722" footer="0.51181102362204722"/>
  <pageSetup paperSize="9" scale="85" orientation="landscape" r:id="rId1"/>
  <headerFooter alignWithMargins="0">
    <oddFooter>&amp;C- &amp;P -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A1:J31"/>
  <sheetViews>
    <sheetView showGridLines="0" showZeros="0" view="pageBreakPreview" zoomScaleNormal="100" zoomScaleSheetLayoutView="100" workbookViewId="0">
      <selection activeCell="H51" sqref="H51"/>
    </sheetView>
  </sheetViews>
  <sheetFormatPr defaultRowHeight="12"/>
  <cols>
    <col min="1" max="1" width="3.7109375" style="612" customWidth="1"/>
    <col min="2" max="2" width="11.7109375" style="612" customWidth="1"/>
    <col min="3" max="3" width="0.85546875" style="612" customWidth="1"/>
    <col min="4" max="4" width="13.42578125" style="612" customWidth="1"/>
    <col min="5" max="5" width="8.85546875" style="612" customWidth="1"/>
    <col min="6" max="6" width="5.7109375" style="614" customWidth="1"/>
    <col min="7" max="7" width="0.85546875" style="614" customWidth="1"/>
    <col min="8" max="8" width="37.7109375" style="614" customWidth="1"/>
    <col min="9" max="9" width="0.85546875" style="614" customWidth="1"/>
    <col min="10" max="10" width="20.7109375" style="614" customWidth="1"/>
    <col min="11" max="16384" width="9.140625" style="614"/>
  </cols>
  <sheetData>
    <row r="1" spans="1:10" ht="20.100000000000001" customHeight="1">
      <c r="A1" s="613" t="s">
        <v>485</v>
      </c>
      <c r="B1" s="613"/>
    </row>
    <row r="2" spans="1:10" s="617" customFormat="1" ht="39.950000000000003" customHeight="1">
      <c r="A2" s="615" t="s">
        <v>60</v>
      </c>
      <c r="B2" s="615"/>
      <c r="C2" s="616"/>
      <c r="D2" s="616"/>
      <c r="E2" s="616"/>
      <c r="F2" s="615"/>
      <c r="G2" s="615"/>
      <c r="H2" s="615"/>
      <c r="I2" s="615"/>
      <c r="J2" s="615"/>
    </row>
    <row r="3" spans="1:10" s="617" customFormat="1" ht="15" customHeight="1">
      <c r="A3" s="615"/>
      <c r="B3" s="615"/>
      <c r="C3" s="616"/>
      <c r="D3" s="616"/>
      <c r="E3" s="616"/>
      <c r="F3" s="615"/>
      <c r="G3" s="615"/>
      <c r="H3" s="615"/>
      <c r="I3" s="615"/>
      <c r="J3" s="615"/>
    </row>
    <row r="4" spans="1:10" ht="20.100000000000001" customHeight="1"/>
    <row r="5" spans="1:10" ht="39.950000000000003" customHeight="1">
      <c r="A5" s="618" t="s">
        <v>61</v>
      </c>
      <c r="B5" s="619"/>
      <c r="C5" s="620" t="s">
        <v>179</v>
      </c>
      <c r="D5" s="621"/>
      <c r="E5" s="622"/>
      <c r="F5" s="620" t="s">
        <v>236</v>
      </c>
      <c r="G5" s="620" t="s">
        <v>62</v>
      </c>
      <c r="H5" s="622"/>
      <c r="I5" s="621" t="s">
        <v>235</v>
      </c>
      <c r="J5" s="622"/>
    </row>
    <row r="6" spans="1:10" s="612" customFormat="1" ht="21.95" hidden="1" customHeight="1">
      <c r="A6" s="623"/>
      <c r="B6" s="624"/>
      <c r="C6" s="625"/>
      <c r="D6" s="626"/>
      <c r="E6" s="627"/>
      <c r="F6" s="628"/>
      <c r="G6" s="628"/>
      <c r="H6" s="629"/>
      <c r="I6" s="630"/>
      <c r="J6" s="631"/>
    </row>
    <row r="7" spans="1:10" s="612" customFormat="1" ht="21.95" hidden="1" customHeight="1">
      <c r="A7" s="603"/>
      <c r="B7" s="604"/>
      <c r="C7" s="605"/>
      <c r="D7" s="606"/>
      <c r="E7" s="607"/>
      <c r="F7" s="608"/>
      <c r="G7" s="608"/>
      <c r="H7" s="609"/>
      <c r="I7" s="610"/>
      <c r="J7" s="824"/>
    </row>
    <row r="8" spans="1:10" s="612" customFormat="1" ht="21.95" hidden="1" customHeight="1">
      <c r="A8" s="603"/>
      <c r="B8" s="604"/>
      <c r="C8" s="605"/>
      <c r="D8" s="606"/>
      <c r="E8" s="607"/>
      <c r="F8" s="608"/>
      <c r="G8" s="608"/>
      <c r="H8" s="609"/>
      <c r="I8" s="610"/>
      <c r="J8" s="611"/>
    </row>
    <row r="9" spans="1:10" s="612" customFormat="1" ht="21.95" hidden="1" customHeight="1">
      <c r="A9" s="603"/>
      <c r="B9" s="604"/>
      <c r="C9" s="605"/>
      <c r="D9" s="606"/>
      <c r="E9" s="607"/>
      <c r="F9" s="608"/>
      <c r="G9" s="608"/>
      <c r="H9" s="823"/>
      <c r="I9" s="610"/>
      <c r="J9" s="824"/>
    </row>
    <row r="10" spans="1:10" s="612" customFormat="1" ht="21.95" hidden="1" customHeight="1">
      <c r="A10" s="623"/>
      <c r="B10" s="624"/>
      <c r="C10" s="625"/>
      <c r="D10" s="626"/>
      <c r="E10" s="627"/>
      <c r="F10" s="628"/>
      <c r="G10" s="628"/>
      <c r="H10" s="632"/>
      <c r="I10" s="630"/>
      <c r="J10" s="631"/>
    </row>
    <row r="11" spans="1:10" s="612" customFormat="1" ht="21.95" hidden="1" customHeight="1">
      <c r="A11" s="603"/>
      <c r="B11" s="604"/>
      <c r="C11" s="605"/>
      <c r="D11" s="633"/>
      <c r="E11" s="607"/>
      <c r="F11" s="608"/>
      <c r="G11" s="608"/>
      <c r="H11" s="609"/>
      <c r="I11" s="610"/>
      <c r="J11" s="611"/>
    </row>
    <row r="12" spans="1:10" s="612" customFormat="1" ht="21.95" hidden="1" customHeight="1">
      <c r="A12" s="603"/>
      <c r="B12" s="604"/>
      <c r="C12" s="605"/>
      <c r="D12" s="633"/>
      <c r="E12" s="607"/>
      <c r="F12" s="608"/>
      <c r="G12" s="608"/>
      <c r="H12" s="609"/>
      <c r="I12" s="610"/>
      <c r="J12" s="611"/>
    </row>
    <row r="13" spans="1:10" s="612" customFormat="1" ht="21.95" hidden="1" customHeight="1">
      <c r="A13" s="603"/>
      <c r="B13" s="604"/>
      <c r="C13" s="605"/>
      <c r="D13" s="633"/>
      <c r="E13" s="607"/>
      <c r="F13" s="608"/>
      <c r="G13" s="608"/>
      <c r="H13" s="609"/>
      <c r="I13" s="610"/>
      <c r="J13" s="634"/>
    </row>
    <row r="14" spans="1:10" s="612" customFormat="1" ht="21.95" hidden="1" customHeight="1">
      <c r="A14" s="603"/>
      <c r="B14" s="604"/>
      <c r="C14" s="605"/>
      <c r="D14" s="633"/>
      <c r="E14" s="607"/>
      <c r="F14" s="608"/>
      <c r="G14" s="608"/>
      <c r="H14" s="609"/>
      <c r="I14" s="610"/>
      <c r="J14" s="611"/>
    </row>
    <row r="15" spans="1:10" s="612" customFormat="1" ht="21.95" hidden="1" customHeight="1">
      <c r="A15" s="603"/>
      <c r="B15" s="604"/>
      <c r="C15" s="605"/>
      <c r="D15" s="633"/>
      <c r="E15" s="607"/>
      <c r="F15" s="608"/>
      <c r="G15" s="608"/>
      <c r="H15" s="609"/>
      <c r="I15" s="610"/>
      <c r="J15" s="634"/>
    </row>
    <row r="16" spans="1:10" s="612" customFormat="1" ht="21.95" hidden="1" customHeight="1">
      <c r="A16" s="635"/>
      <c r="B16" s="636"/>
      <c r="C16" s="637"/>
      <c r="D16" s="638"/>
      <c r="E16" s="639"/>
      <c r="F16" s="640"/>
      <c r="G16" s="640"/>
      <c r="H16" s="641"/>
      <c r="I16" s="642"/>
      <c r="J16" s="643"/>
    </row>
    <row r="17" spans="1:10" s="612" customFormat="1" ht="21.95" hidden="1" customHeight="1">
      <c r="A17" s="644"/>
      <c r="B17" s="604"/>
      <c r="C17" s="605"/>
      <c r="D17" s="633"/>
      <c r="E17" s="607"/>
      <c r="F17" s="608"/>
      <c r="G17" s="608"/>
      <c r="H17" s="609"/>
      <c r="I17" s="610"/>
      <c r="J17" s="611"/>
    </row>
    <row r="18" spans="1:10" s="612" customFormat="1" ht="21.95" hidden="1" customHeight="1">
      <c r="A18" s="603"/>
      <c r="B18" s="604"/>
      <c r="C18" s="605"/>
      <c r="D18" s="633"/>
      <c r="E18" s="607"/>
      <c r="F18" s="608"/>
      <c r="G18" s="608"/>
      <c r="H18" s="609"/>
      <c r="I18" s="610"/>
      <c r="J18" s="611"/>
    </row>
    <row r="19" spans="1:10" s="612" customFormat="1" ht="21.95" hidden="1" customHeight="1">
      <c r="A19" s="603"/>
      <c r="B19" s="604"/>
      <c r="C19" s="605"/>
      <c r="D19" s="633"/>
      <c r="E19" s="607"/>
      <c r="F19" s="608"/>
      <c r="G19" s="608"/>
      <c r="H19" s="609"/>
      <c r="I19" s="610"/>
      <c r="J19" s="611"/>
    </row>
    <row r="20" spans="1:10" s="612" customFormat="1" ht="21.95" hidden="1" customHeight="1">
      <c r="A20" s="603"/>
      <c r="B20" s="604"/>
      <c r="C20" s="605"/>
      <c r="D20" s="633"/>
      <c r="E20" s="607"/>
      <c r="F20" s="608"/>
      <c r="G20" s="608"/>
      <c r="H20" s="609"/>
      <c r="I20" s="610"/>
      <c r="J20" s="634"/>
    </row>
    <row r="21" spans="1:10" s="612" customFormat="1" ht="21.95" hidden="1" customHeight="1">
      <c r="A21" s="603"/>
      <c r="B21" s="604"/>
      <c r="C21" s="605"/>
      <c r="D21" s="633"/>
      <c r="E21" s="607"/>
      <c r="F21" s="608"/>
      <c r="G21" s="608"/>
      <c r="H21" s="609"/>
      <c r="I21" s="610"/>
      <c r="J21" s="634"/>
    </row>
    <row r="22" spans="1:10" s="612" customFormat="1" ht="21.95" hidden="1" customHeight="1">
      <c r="A22" s="635"/>
      <c r="B22" s="636"/>
      <c r="C22" s="637"/>
      <c r="D22" s="638"/>
      <c r="E22" s="639"/>
      <c r="F22" s="640"/>
      <c r="G22" s="640"/>
      <c r="H22" s="641"/>
      <c r="I22" s="642"/>
      <c r="J22" s="643"/>
    </row>
    <row r="23" spans="1:10" s="612" customFormat="1" ht="21.95" hidden="1" customHeight="1">
      <c r="A23" s="623"/>
      <c r="B23" s="624"/>
      <c r="C23" s="625"/>
      <c r="D23" s="626"/>
      <c r="E23" s="627"/>
      <c r="F23" s="628"/>
      <c r="G23" s="628"/>
      <c r="H23" s="632"/>
      <c r="I23" s="630"/>
      <c r="J23" s="645"/>
    </row>
    <row r="24" spans="1:10" s="612" customFormat="1" ht="21.95" hidden="1" customHeight="1">
      <c r="A24" s="635"/>
      <c r="B24" s="636"/>
      <c r="C24" s="637"/>
      <c r="D24" s="638"/>
      <c r="E24" s="639"/>
      <c r="F24" s="640"/>
      <c r="G24" s="640"/>
      <c r="H24" s="641"/>
      <c r="I24" s="642"/>
      <c r="J24" s="646"/>
    </row>
    <row r="25" spans="1:10" s="612" customFormat="1" ht="21.95" customHeight="1">
      <c r="A25" s="831" t="s">
        <v>568</v>
      </c>
      <c r="B25" s="833" t="s">
        <v>570</v>
      </c>
      <c r="C25" s="625"/>
      <c r="D25" s="626"/>
      <c r="E25" s="627"/>
      <c r="F25" s="628"/>
      <c r="G25" s="628"/>
      <c r="H25" s="632"/>
      <c r="I25" s="630"/>
      <c r="J25" s="645"/>
    </row>
    <row r="26" spans="1:10" s="612" customFormat="1" ht="21.95" customHeight="1">
      <c r="A26" s="635"/>
      <c r="B26" s="834" t="s">
        <v>571</v>
      </c>
      <c r="C26" s="637"/>
      <c r="D26" s="638" t="str">
        <f>월기본급!F17</f>
        <v>전기기능사</v>
      </c>
      <c r="E26" s="639"/>
      <c r="F26" s="640">
        <v>1</v>
      </c>
      <c r="G26" s="640"/>
      <c r="H26" s="836" t="s">
        <v>574</v>
      </c>
      <c r="I26" s="642"/>
      <c r="J26" s="837" t="s">
        <v>584</v>
      </c>
    </row>
    <row r="27" spans="1:10" s="612" customFormat="1" ht="21.95" customHeight="1">
      <c r="A27" s="832" t="s">
        <v>569</v>
      </c>
      <c r="B27" s="835" t="s">
        <v>572</v>
      </c>
      <c r="C27" s="605"/>
      <c r="D27" s="633"/>
      <c r="E27" s="607"/>
      <c r="F27" s="608"/>
      <c r="G27" s="608"/>
      <c r="H27" s="609"/>
      <c r="I27" s="610"/>
      <c r="J27" s="611"/>
    </row>
    <row r="28" spans="1:10" s="612" customFormat="1" ht="21.95" customHeight="1">
      <c r="A28" s="644"/>
      <c r="B28" s="835" t="s">
        <v>573</v>
      </c>
      <c r="C28" s="605"/>
      <c r="D28" s="633" t="str">
        <f>월기본급!F18</f>
        <v>단순노무종사원</v>
      </c>
      <c r="E28" s="607"/>
      <c r="F28" s="608">
        <v>2</v>
      </c>
      <c r="G28" s="608"/>
      <c r="H28" s="823" t="s">
        <v>575</v>
      </c>
      <c r="I28" s="610"/>
      <c r="J28" s="611" t="s">
        <v>524</v>
      </c>
    </row>
    <row r="29" spans="1:10" s="612" customFormat="1" ht="21.95" customHeight="1">
      <c r="A29" s="603"/>
      <c r="B29" s="835" t="s">
        <v>577</v>
      </c>
      <c r="C29" s="605"/>
      <c r="D29" s="633" t="str">
        <f>월기본급!F19</f>
        <v>단순노무종사원</v>
      </c>
      <c r="E29" s="607"/>
      <c r="F29" s="608">
        <v>1</v>
      </c>
      <c r="G29" s="608"/>
      <c r="H29" s="823" t="s">
        <v>576</v>
      </c>
      <c r="I29" s="610"/>
      <c r="J29" s="611" t="s">
        <v>384</v>
      </c>
    </row>
    <row r="30" spans="1:10" ht="21.95" customHeight="1">
      <c r="A30" s="647" t="s">
        <v>63</v>
      </c>
      <c r="B30" s="648"/>
      <c r="C30" s="647"/>
      <c r="D30" s="649"/>
      <c r="E30" s="648"/>
      <c r="F30" s="650">
        <f>SUM(F7:F29)</f>
        <v>4</v>
      </c>
      <c r="G30" s="650"/>
      <c r="H30" s="651"/>
      <c r="I30" s="652"/>
      <c r="J30" s="653"/>
    </row>
    <row r="31" spans="1:10" ht="22.5" customHeight="1">
      <c r="A31" s="654" t="s">
        <v>385</v>
      </c>
      <c r="B31" s="654"/>
    </row>
  </sheetData>
  <phoneticPr fontId="5" type="noConversion"/>
  <pageMargins left="0.78740157480314965" right="0.78740157480314965" top="0.98425196850393704" bottom="0.78740157480314965" header="0.51181102362204722" footer="0.51181102362204722"/>
  <pageSetup paperSize="9" scale="98" firstPageNumber="51" orientation="portrait" r:id="rId1"/>
  <headerFooter alignWithMargins="0">
    <oddFooter>&amp;C-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85"/>
  <sheetViews>
    <sheetView showGridLines="0" showZeros="0" zoomScale="80" zoomScaleNormal="100" workbookViewId="0">
      <selection activeCell="C16" sqref="C16"/>
    </sheetView>
  </sheetViews>
  <sheetFormatPr defaultColWidth="10.28515625" defaultRowHeight="30" customHeight="1"/>
  <cols>
    <col min="1" max="1" width="7" style="36" bestFit="1" customWidth="1"/>
    <col min="2" max="2" width="5.85546875" style="36" customWidth="1"/>
    <col min="3" max="3" width="66.28515625" style="36" customWidth="1"/>
    <col min="4" max="4" width="8.7109375" style="38" bestFit="1" customWidth="1"/>
    <col min="5" max="16384" width="10.28515625" style="36"/>
  </cols>
  <sheetData>
    <row r="1" spans="1:6" ht="50.1" customHeight="1">
      <c r="B1" s="37"/>
    </row>
    <row r="2" spans="1:6" ht="30" customHeight="1">
      <c r="A2" s="39" t="s">
        <v>185</v>
      </c>
      <c r="B2" s="40"/>
      <c r="C2" s="40"/>
      <c r="D2" s="41"/>
    </row>
    <row r="3" spans="1:6" ht="24.95" customHeight="1">
      <c r="A3" s="39"/>
      <c r="B3" s="40"/>
    </row>
    <row r="4" spans="1:6" ht="21" customHeight="1">
      <c r="A4" s="39"/>
      <c r="B4" s="40"/>
    </row>
    <row r="5" spans="1:6" s="44" customFormat="1" ht="44.25" customHeight="1">
      <c r="A5" s="42" t="s">
        <v>186</v>
      </c>
      <c r="B5" s="43" t="s">
        <v>187</v>
      </c>
      <c r="C5" s="43"/>
      <c r="D5" s="44">
        <v>1</v>
      </c>
    </row>
    <row r="6" spans="1:6" s="44" customFormat="1" ht="44.25" customHeight="1">
      <c r="A6" s="42" t="s">
        <v>188</v>
      </c>
      <c r="B6" s="43" t="s">
        <v>189</v>
      </c>
      <c r="C6" s="45"/>
      <c r="D6" s="44">
        <v>3</v>
      </c>
    </row>
    <row r="7" spans="1:6" s="44" customFormat="1" ht="44.25" customHeight="1">
      <c r="A7" s="42" t="s">
        <v>190</v>
      </c>
      <c r="B7" s="46" t="s">
        <v>192</v>
      </c>
      <c r="C7" s="45"/>
      <c r="D7" s="44">
        <v>6</v>
      </c>
    </row>
    <row r="8" spans="1:6" s="44" customFormat="1" ht="44.25" customHeight="1">
      <c r="A8" s="42" t="s">
        <v>191</v>
      </c>
      <c r="B8" s="46" t="s">
        <v>513</v>
      </c>
      <c r="C8" s="45"/>
      <c r="D8" s="44">
        <v>10</v>
      </c>
    </row>
    <row r="9" spans="1:6" s="44" customFormat="1" ht="44.25" customHeight="1">
      <c r="A9" s="42" t="s">
        <v>507</v>
      </c>
      <c r="B9" s="46" t="s">
        <v>366</v>
      </c>
      <c r="C9" s="45"/>
      <c r="D9" s="44">
        <v>12</v>
      </c>
    </row>
    <row r="10" spans="1:6" s="44" customFormat="1" ht="44.25" customHeight="1">
      <c r="A10" s="42"/>
      <c r="B10" s="46" t="s">
        <v>506</v>
      </c>
      <c r="C10" s="45"/>
      <c r="D10" s="44">
        <v>13</v>
      </c>
    </row>
    <row r="11" spans="1:6" s="44" customFormat="1" ht="44.25" customHeight="1">
      <c r="A11" s="42"/>
      <c r="B11" s="46" t="s">
        <v>508</v>
      </c>
      <c r="C11" s="45"/>
      <c r="D11" s="44">
        <v>24</v>
      </c>
    </row>
    <row r="12" spans="1:6" s="44" customFormat="1" ht="44.25" customHeight="1">
      <c r="A12" s="42"/>
      <c r="B12" s="46" t="s">
        <v>509</v>
      </c>
      <c r="C12" s="45"/>
      <c r="D12" s="44">
        <v>41</v>
      </c>
    </row>
    <row r="13" spans="1:6" s="44" customFormat="1" ht="44.25" customHeight="1">
      <c r="A13" s="42"/>
      <c r="B13" s="46" t="s">
        <v>510</v>
      </c>
      <c r="C13" s="45"/>
      <c r="D13" s="44">
        <v>62</v>
      </c>
    </row>
    <row r="14" spans="1:6" s="44" customFormat="1" ht="44.25" customHeight="1">
      <c r="A14" s="42"/>
      <c r="B14" s="46" t="s">
        <v>511</v>
      </c>
      <c r="C14" s="45"/>
      <c r="D14" s="44">
        <v>65</v>
      </c>
    </row>
    <row r="15" spans="1:6" s="44" customFormat="1" ht="44.25" customHeight="1">
      <c r="A15" s="42"/>
      <c r="B15" s="46" t="s">
        <v>512</v>
      </c>
      <c r="C15" s="45"/>
      <c r="D15" s="44">
        <v>68</v>
      </c>
    </row>
    <row r="16" spans="1:6" ht="20.100000000000001" customHeight="1">
      <c r="A16" s="44"/>
      <c r="B16" s="44"/>
      <c r="C16" s="44"/>
      <c r="D16" s="47"/>
      <c r="E16" s="44"/>
      <c r="F16" s="44"/>
    </row>
    <row r="17" spans="1:6" ht="24.95" customHeight="1">
      <c r="A17" s="44"/>
      <c r="B17" s="44"/>
      <c r="C17" s="44"/>
      <c r="D17" s="47"/>
      <c r="E17" s="44"/>
      <c r="F17" s="44"/>
    </row>
    <row r="18" spans="1:6" ht="24.95" customHeight="1">
      <c r="A18" s="44"/>
      <c r="B18" s="44"/>
      <c r="C18" s="44"/>
      <c r="D18" s="47"/>
      <c r="E18" s="44"/>
      <c r="F18" s="44"/>
    </row>
    <row r="19" spans="1:6" ht="24.95" customHeight="1">
      <c r="A19" s="44"/>
      <c r="B19" s="44"/>
      <c r="C19" s="44"/>
      <c r="D19" s="47"/>
      <c r="E19" s="44"/>
      <c r="F19" s="44"/>
    </row>
    <row r="20" spans="1:6" ht="24.95" customHeight="1">
      <c r="A20" s="44"/>
      <c r="B20" s="44"/>
      <c r="C20" s="44"/>
      <c r="D20" s="47"/>
      <c r="E20" s="44"/>
      <c r="F20" s="44"/>
    </row>
    <row r="21" spans="1:6" ht="24.95" customHeight="1">
      <c r="A21" s="44"/>
      <c r="B21" s="44"/>
      <c r="C21" s="44"/>
      <c r="D21" s="47"/>
      <c r="E21" s="44"/>
      <c r="F21" s="44"/>
    </row>
    <row r="22" spans="1:6" ht="24.95" customHeight="1">
      <c r="A22" s="44"/>
      <c r="B22" s="44"/>
      <c r="C22" s="44"/>
      <c r="D22" s="47"/>
      <c r="E22" s="44"/>
      <c r="F22" s="44"/>
    </row>
    <row r="23" spans="1:6" ht="24.95" customHeight="1">
      <c r="A23" s="44"/>
      <c r="B23" s="44"/>
      <c r="C23" s="44"/>
      <c r="D23" s="47"/>
      <c r="E23" s="44"/>
      <c r="F23" s="44"/>
    </row>
    <row r="24" spans="1:6" ht="24.95" customHeight="1">
      <c r="A24" s="44"/>
      <c r="B24" s="44"/>
      <c r="C24" s="44"/>
      <c r="D24" s="47"/>
      <c r="E24" s="44"/>
      <c r="F24" s="44"/>
    </row>
    <row r="25" spans="1:6" ht="24.95" customHeight="1">
      <c r="A25" s="44"/>
      <c r="B25" s="44"/>
      <c r="C25" s="44"/>
      <c r="D25" s="47"/>
      <c r="E25" s="44"/>
      <c r="F25" s="44"/>
    </row>
    <row r="26" spans="1:6" ht="24.95" customHeight="1">
      <c r="A26" s="44"/>
      <c r="B26" s="44"/>
      <c r="C26" s="44"/>
      <c r="D26" s="47"/>
      <c r="E26" s="44"/>
      <c r="F26" s="44"/>
    </row>
    <row r="27" spans="1:6" ht="24.95" customHeight="1">
      <c r="A27" s="44"/>
      <c r="B27" s="44"/>
      <c r="C27" s="44"/>
      <c r="D27" s="47"/>
      <c r="E27" s="44"/>
      <c r="F27" s="44"/>
    </row>
    <row r="28" spans="1:6" ht="24.95" customHeight="1">
      <c r="A28" s="44"/>
      <c r="B28" s="44"/>
      <c r="C28" s="44"/>
      <c r="D28" s="47"/>
      <c r="E28" s="44"/>
      <c r="F28" s="44"/>
    </row>
    <row r="29" spans="1:6" ht="24.95" customHeight="1">
      <c r="A29" s="44"/>
      <c r="B29" s="44"/>
      <c r="C29" s="44"/>
      <c r="D29" s="47"/>
      <c r="E29" s="44"/>
      <c r="F29" s="44"/>
    </row>
    <row r="30" spans="1:6" ht="24.95" customHeight="1">
      <c r="A30" s="44"/>
      <c r="B30" s="44"/>
      <c r="C30" s="44"/>
      <c r="D30" s="47"/>
      <c r="E30" s="44"/>
      <c r="F30" s="44"/>
    </row>
    <row r="31" spans="1:6" ht="24.95" customHeight="1">
      <c r="A31" s="44"/>
      <c r="B31" s="44"/>
      <c r="C31" s="44"/>
      <c r="D31" s="47"/>
      <c r="E31" s="44"/>
      <c r="F31" s="44"/>
    </row>
    <row r="32" spans="1:6" ht="24.95" customHeight="1">
      <c r="A32" s="44"/>
      <c r="B32" s="44"/>
      <c r="C32" s="44"/>
      <c r="D32" s="47"/>
      <c r="E32" s="44"/>
      <c r="F32" s="44"/>
    </row>
    <row r="33" spans="1:6" ht="30" customHeight="1">
      <c r="A33" s="44"/>
      <c r="B33" s="44"/>
      <c r="C33" s="44"/>
      <c r="D33" s="47"/>
      <c r="E33" s="44"/>
      <c r="F33" s="44"/>
    </row>
    <row r="34" spans="1:6" ht="30" customHeight="1">
      <c r="A34" s="44"/>
      <c r="B34" s="44"/>
      <c r="C34" s="44"/>
      <c r="D34" s="47"/>
      <c r="E34" s="44"/>
      <c r="F34" s="44"/>
    </row>
    <row r="35" spans="1:6" ht="30" customHeight="1">
      <c r="A35" s="44"/>
      <c r="B35" s="44"/>
      <c r="C35" s="44"/>
      <c r="D35" s="47"/>
      <c r="E35" s="44"/>
      <c r="F35" s="44"/>
    </row>
    <row r="36" spans="1:6" ht="30" customHeight="1">
      <c r="A36" s="44"/>
      <c r="B36" s="44"/>
      <c r="C36" s="44"/>
      <c r="D36" s="47"/>
      <c r="E36" s="44"/>
      <c r="F36" s="44"/>
    </row>
    <row r="37" spans="1:6" ht="30" customHeight="1">
      <c r="A37" s="44"/>
      <c r="B37" s="44"/>
      <c r="C37" s="44"/>
      <c r="D37" s="47"/>
      <c r="E37" s="44"/>
      <c r="F37" s="44"/>
    </row>
    <row r="38" spans="1:6" ht="30" customHeight="1">
      <c r="A38" s="44"/>
      <c r="B38" s="44"/>
      <c r="C38" s="44"/>
      <c r="D38" s="47"/>
      <c r="E38" s="44"/>
      <c r="F38" s="44"/>
    </row>
    <row r="39" spans="1:6" ht="30" customHeight="1">
      <c r="A39" s="44"/>
      <c r="B39" s="44"/>
      <c r="C39" s="44"/>
      <c r="D39" s="47"/>
      <c r="E39" s="44"/>
      <c r="F39" s="44"/>
    </row>
    <row r="40" spans="1:6" ht="30" customHeight="1">
      <c r="A40" s="44"/>
      <c r="B40" s="44"/>
      <c r="C40" s="44"/>
      <c r="D40" s="47"/>
      <c r="E40" s="44"/>
      <c r="F40" s="44"/>
    </row>
    <row r="41" spans="1:6" ht="30" customHeight="1">
      <c r="A41" s="44"/>
      <c r="B41" s="44"/>
      <c r="C41" s="44"/>
      <c r="D41" s="47"/>
      <c r="E41" s="44"/>
      <c r="F41" s="44"/>
    </row>
    <row r="42" spans="1:6" ht="30" customHeight="1">
      <c r="A42" s="44"/>
      <c r="B42" s="44"/>
      <c r="C42" s="44"/>
      <c r="D42" s="47"/>
      <c r="E42" s="44"/>
      <c r="F42" s="44"/>
    </row>
    <row r="43" spans="1:6" ht="30" customHeight="1">
      <c r="A43" s="44"/>
      <c r="B43" s="44"/>
      <c r="C43" s="44"/>
      <c r="D43" s="47"/>
      <c r="E43" s="44"/>
      <c r="F43" s="44"/>
    </row>
    <row r="44" spans="1:6" ht="30" customHeight="1">
      <c r="A44" s="44"/>
      <c r="B44" s="44"/>
      <c r="C44" s="44"/>
      <c r="D44" s="47"/>
      <c r="E44" s="44"/>
      <c r="F44" s="44"/>
    </row>
    <row r="45" spans="1:6" ht="30" customHeight="1">
      <c r="A45" s="44"/>
      <c r="B45" s="44"/>
      <c r="C45" s="44"/>
      <c r="D45" s="47"/>
      <c r="E45" s="44"/>
      <c r="F45" s="44"/>
    </row>
    <row r="46" spans="1:6" ht="30" customHeight="1">
      <c r="A46" s="44"/>
      <c r="B46" s="44"/>
      <c r="C46" s="44"/>
      <c r="D46" s="47"/>
      <c r="E46" s="44"/>
      <c r="F46" s="44"/>
    </row>
    <row r="47" spans="1:6" ht="30" customHeight="1">
      <c r="A47" s="44"/>
      <c r="B47" s="44"/>
      <c r="C47" s="44"/>
      <c r="D47" s="47"/>
      <c r="E47" s="44"/>
      <c r="F47" s="44"/>
    </row>
    <row r="48" spans="1:6" ht="30" customHeight="1">
      <c r="A48" s="44"/>
      <c r="B48" s="44"/>
      <c r="C48" s="44"/>
      <c r="D48" s="47"/>
      <c r="E48" s="44"/>
      <c r="F48" s="44"/>
    </row>
    <row r="49" spans="1:6" ht="30" customHeight="1">
      <c r="A49" s="44"/>
      <c r="B49" s="44"/>
      <c r="C49" s="44"/>
      <c r="D49" s="47"/>
      <c r="E49" s="44"/>
      <c r="F49" s="44"/>
    </row>
    <row r="50" spans="1:6" ht="30" customHeight="1">
      <c r="A50" s="44"/>
      <c r="B50" s="44"/>
      <c r="C50" s="44"/>
      <c r="D50" s="47"/>
      <c r="E50" s="44"/>
      <c r="F50" s="44"/>
    </row>
    <row r="51" spans="1:6" ht="30" customHeight="1">
      <c r="A51" s="44"/>
      <c r="B51" s="44"/>
      <c r="C51" s="44"/>
      <c r="D51" s="47"/>
      <c r="E51" s="44"/>
      <c r="F51" s="44"/>
    </row>
    <row r="52" spans="1:6" ht="30" customHeight="1">
      <c r="A52" s="44"/>
      <c r="B52" s="44"/>
      <c r="C52" s="44"/>
      <c r="D52" s="47"/>
      <c r="E52" s="44"/>
      <c r="F52" s="44"/>
    </row>
    <row r="53" spans="1:6" ht="30" customHeight="1">
      <c r="A53" s="44"/>
      <c r="B53" s="44"/>
      <c r="C53" s="44"/>
      <c r="D53" s="47"/>
      <c r="E53" s="44"/>
      <c r="F53" s="44"/>
    </row>
    <row r="54" spans="1:6" ht="30" customHeight="1">
      <c r="A54" s="44"/>
      <c r="B54" s="44"/>
      <c r="C54" s="44"/>
      <c r="D54" s="47"/>
      <c r="E54" s="44"/>
      <c r="F54" s="44"/>
    </row>
    <row r="55" spans="1:6" ht="30" customHeight="1">
      <c r="A55" s="44"/>
      <c r="B55" s="44"/>
      <c r="C55" s="44"/>
      <c r="D55" s="47"/>
      <c r="E55" s="44"/>
      <c r="F55" s="44"/>
    </row>
    <row r="56" spans="1:6" ht="30" customHeight="1">
      <c r="A56" s="44"/>
      <c r="B56" s="44"/>
      <c r="C56" s="44"/>
      <c r="D56" s="47"/>
      <c r="E56" s="44"/>
      <c r="F56" s="44"/>
    </row>
    <row r="57" spans="1:6" ht="30" customHeight="1">
      <c r="A57" s="44"/>
      <c r="B57" s="44"/>
      <c r="C57" s="44"/>
      <c r="D57" s="47"/>
      <c r="E57" s="44"/>
      <c r="F57" s="44"/>
    </row>
    <row r="58" spans="1:6" ht="30" customHeight="1">
      <c r="A58" s="44"/>
      <c r="B58" s="44"/>
      <c r="C58" s="44"/>
      <c r="D58" s="47"/>
      <c r="E58" s="44"/>
      <c r="F58" s="44"/>
    </row>
    <row r="59" spans="1:6" ht="30" customHeight="1">
      <c r="A59" s="44"/>
      <c r="B59" s="44"/>
      <c r="C59" s="44"/>
      <c r="D59" s="47"/>
      <c r="E59" s="44"/>
      <c r="F59" s="44"/>
    </row>
    <row r="60" spans="1:6" ht="30" customHeight="1">
      <c r="A60" s="44"/>
      <c r="B60" s="44"/>
      <c r="C60" s="44"/>
      <c r="D60" s="47"/>
      <c r="E60" s="44"/>
      <c r="F60" s="44"/>
    </row>
    <row r="61" spans="1:6" ht="30" customHeight="1">
      <c r="A61" s="44"/>
      <c r="B61" s="44"/>
      <c r="C61" s="44"/>
      <c r="D61" s="47"/>
      <c r="E61" s="44"/>
      <c r="F61" s="44"/>
    </row>
    <row r="62" spans="1:6" ht="30" customHeight="1">
      <c r="A62" s="44"/>
      <c r="B62" s="44"/>
      <c r="C62" s="44"/>
      <c r="D62" s="47"/>
      <c r="E62" s="44"/>
      <c r="F62" s="44"/>
    </row>
    <row r="63" spans="1:6" ht="30" customHeight="1">
      <c r="A63" s="44"/>
      <c r="B63" s="44"/>
      <c r="C63" s="44"/>
      <c r="D63" s="47"/>
      <c r="E63" s="44"/>
      <c r="F63" s="44"/>
    </row>
    <row r="64" spans="1:6" ht="30" customHeight="1">
      <c r="A64" s="44"/>
      <c r="B64" s="44"/>
      <c r="C64" s="44"/>
      <c r="D64" s="47"/>
      <c r="E64" s="44"/>
      <c r="F64" s="44"/>
    </row>
    <row r="65" spans="1:6" ht="30" customHeight="1">
      <c r="A65" s="44"/>
      <c r="B65" s="44"/>
      <c r="C65" s="44"/>
      <c r="D65" s="47"/>
      <c r="E65" s="44"/>
      <c r="F65" s="44"/>
    </row>
    <row r="66" spans="1:6" ht="30" customHeight="1">
      <c r="A66" s="44"/>
      <c r="B66" s="44"/>
      <c r="C66" s="44"/>
      <c r="D66" s="47"/>
      <c r="E66" s="44"/>
      <c r="F66" s="44"/>
    </row>
    <row r="67" spans="1:6" ht="30" customHeight="1">
      <c r="A67" s="44"/>
      <c r="B67" s="44"/>
      <c r="C67" s="44"/>
      <c r="D67" s="47"/>
      <c r="E67" s="44"/>
      <c r="F67" s="44"/>
    </row>
    <row r="68" spans="1:6" ht="30" customHeight="1">
      <c r="A68" s="44"/>
      <c r="B68" s="44"/>
      <c r="C68" s="44"/>
      <c r="D68" s="47"/>
      <c r="E68" s="44"/>
      <c r="F68" s="44"/>
    </row>
    <row r="69" spans="1:6" ht="30" customHeight="1">
      <c r="A69" s="44"/>
      <c r="B69" s="44"/>
      <c r="C69" s="44"/>
      <c r="D69" s="47"/>
      <c r="E69" s="44"/>
      <c r="F69" s="44"/>
    </row>
    <row r="70" spans="1:6" ht="30" customHeight="1">
      <c r="A70" s="44"/>
      <c r="B70" s="44"/>
      <c r="C70" s="44"/>
      <c r="D70" s="47"/>
      <c r="E70" s="44"/>
      <c r="F70" s="44"/>
    </row>
    <row r="71" spans="1:6" ht="30" customHeight="1">
      <c r="A71" s="44"/>
      <c r="B71" s="44"/>
      <c r="C71" s="44"/>
      <c r="D71" s="47"/>
      <c r="E71" s="44"/>
      <c r="F71" s="44"/>
    </row>
    <row r="72" spans="1:6" ht="30" customHeight="1">
      <c r="A72" s="44"/>
      <c r="B72" s="44"/>
      <c r="C72" s="44"/>
      <c r="D72" s="47"/>
      <c r="E72" s="44"/>
      <c r="F72" s="44"/>
    </row>
    <row r="73" spans="1:6" ht="30" customHeight="1">
      <c r="A73" s="44"/>
      <c r="B73" s="44"/>
      <c r="C73" s="44"/>
      <c r="D73" s="47"/>
      <c r="E73" s="44"/>
      <c r="F73" s="44"/>
    </row>
    <row r="74" spans="1:6" ht="30" customHeight="1">
      <c r="A74" s="44"/>
      <c r="B74" s="44"/>
      <c r="C74" s="44"/>
      <c r="D74" s="47"/>
      <c r="E74" s="44"/>
      <c r="F74" s="44"/>
    </row>
    <row r="75" spans="1:6" ht="30" customHeight="1">
      <c r="A75" s="44"/>
      <c r="B75" s="44"/>
      <c r="C75" s="44"/>
      <c r="D75" s="47"/>
      <c r="E75" s="44"/>
      <c r="F75" s="44"/>
    </row>
    <row r="76" spans="1:6" ht="30" customHeight="1">
      <c r="A76" s="44"/>
      <c r="B76" s="44"/>
      <c r="C76" s="44"/>
      <c r="D76" s="47"/>
      <c r="E76" s="44"/>
      <c r="F76" s="44"/>
    </row>
    <row r="77" spans="1:6" ht="30" customHeight="1">
      <c r="A77" s="44"/>
      <c r="B77" s="44"/>
      <c r="C77" s="44"/>
      <c r="D77" s="47"/>
      <c r="E77" s="44"/>
      <c r="F77" s="44"/>
    </row>
    <row r="78" spans="1:6" ht="30" customHeight="1">
      <c r="A78" s="44"/>
      <c r="B78" s="44"/>
      <c r="C78" s="44"/>
      <c r="D78" s="47"/>
      <c r="E78" s="44"/>
      <c r="F78" s="44"/>
    </row>
    <row r="79" spans="1:6" ht="30" customHeight="1">
      <c r="A79" s="44"/>
      <c r="B79" s="44"/>
      <c r="C79" s="44"/>
      <c r="D79" s="47"/>
      <c r="E79" s="44"/>
      <c r="F79" s="44"/>
    </row>
    <row r="80" spans="1:6" ht="30" customHeight="1">
      <c r="A80" s="44"/>
      <c r="B80" s="44"/>
      <c r="C80" s="44"/>
      <c r="D80" s="47"/>
      <c r="E80" s="44"/>
      <c r="F80" s="44"/>
    </row>
    <row r="81" spans="1:6" ht="30" customHeight="1">
      <c r="A81" s="44"/>
      <c r="B81" s="44"/>
      <c r="C81" s="44"/>
      <c r="D81" s="47"/>
      <c r="E81" s="44"/>
      <c r="F81" s="44"/>
    </row>
    <row r="82" spans="1:6" ht="30" customHeight="1">
      <c r="A82" s="44"/>
      <c r="B82" s="44"/>
      <c r="C82" s="44"/>
      <c r="D82" s="47"/>
      <c r="E82" s="44"/>
      <c r="F82" s="44"/>
    </row>
    <row r="83" spans="1:6" ht="30" customHeight="1">
      <c r="A83" s="44"/>
      <c r="B83" s="44"/>
      <c r="C83" s="44"/>
      <c r="D83" s="47"/>
      <c r="E83" s="44"/>
      <c r="F83" s="44"/>
    </row>
    <row r="84" spans="1:6" ht="30" customHeight="1">
      <c r="A84" s="44"/>
      <c r="B84" s="44"/>
      <c r="C84" s="44"/>
      <c r="D84" s="47"/>
      <c r="E84" s="44"/>
      <c r="F84" s="44"/>
    </row>
    <row r="85" spans="1:6" ht="30" customHeight="1">
      <c r="A85" s="44"/>
      <c r="B85" s="44"/>
      <c r="C85" s="44"/>
      <c r="D85" s="47"/>
      <c r="E85" s="44"/>
      <c r="F85" s="44"/>
    </row>
  </sheetData>
  <phoneticPr fontId="7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D21"/>
  <sheetViews>
    <sheetView showGridLines="0" showZeros="0" view="pageBreakPreview" zoomScale="85" zoomScaleNormal="60" zoomScaleSheetLayoutView="85" workbookViewId="0">
      <selection activeCell="E1" sqref="E1"/>
    </sheetView>
  </sheetViews>
  <sheetFormatPr defaultColWidth="8.140625" defaultRowHeight="30" customHeight="1"/>
  <cols>
    <col min="1" max="1" width="11.5703125" style="86" customWidth="1"/>
    <col min="2" max="2" width="24.5703125" style="86" customWidth="1"/>
    <col min="3" max="3" width="15.85546875" style="86" bestFit="1" customWidth="1"/>
    <col min="4" max="4" width="42.5703125" style="86" customWidth="1"/>
    <col min="5" max="16384" width="8.140625" style="86"/>
  </cols>
  <sheetData>
    <row r="1" spans="1:4" ht="39.950000000000003" customHeight="1">
      <c r="A1" s="1003" t="str">
        <f>간지!$A$1</f>
        <v>[ 경기문화재단 2017년도 파견용역 ]</v>
      </c>
      <c r="B1" s="1003"/>
      <c r="C1" s="1003"/>
      <c r="D1" s="1003"/>
    </row>
    <row r="2" spans="1:4" s="89" customFormat="1" ht="30" customHeight="1">
      <c r="A2" s="87"/>
      <c r="B2" s="88"/>
      <c r="C2" s="88"/>
      <c r="D2" s="88"/>
    </row>
    <row r="3" spans="1:4" s="91" customFormat="1" ht="30" customHeight="1">
      <c r="A3" s="90"/>
      <c r="B3" s="90"/>
      <c r="C3" s="90"/>
      <c r="D3" s="90"/>
    </row>
    <row r="4" spans="1:4" ht="30" customHeight="1">
      <c r="A4" s="90"/>
      <c r="B4" s="93"/>
      <c r="C4" s="93"/>
      <c r="D4" s="93"/>
    </row>
    <row r="5" spans="1:4" ht="39.950000000000003" customHeight="1">
      <c r="A5" s="94"/>
      <c r="B5" s="95"/>
      <c r="C5" s="1004" t="s">
        <v>499</v>
      </c>
      <c r="D5" s="1004"/>
    </row>
    <row r="6" spans="1:4" ht="31.5" customHeight="1">
      <c r="A6" s="94"/>
      <c r="B6" s="95"/>
      <c r="C6" s="96"/>
      <c r="D6" s="99"/>
    </row>
    <row r="7" spans="1:4" ht="31.5" customHeight="1">
      <c r="A7" s="94"/>
      <c r="B7" s="95"/>
      <c r="C7" s="100" t="s">
        <v>446</v>
      </c>
      <c r="D7" s="101" t="str">
        <f>경비집계표!A2</f>
        <v>경비집계표</v>
      </c>
    </row>
    <row r="8" spans="1:4" ht="31.5" customHeight="1">
      <c r="A8" s="94"/>
      <c r="B8" s="95"/>
      <c r="C8" s="100" t="s">
        <v>447</v>
      </c>
      <c r="D8" s="101" t="str">
        <f>보험료!A2</f>
        <v>보험료산출표</v>
      </c>
    </row>
    <row r="9" spans="1:4" ht="31.5" customHeight="1">
      <c r="A9" s="94"/>
      <c r="B9" s="95"/>
      <c r="C9" s="100" t="s">
        <v>448</v>
      </c>
      <c r="D9" s="101" t="str">
        <f>보험료산출기준!A2</f>
        <v>경비산정기준표</v>
      </c>
    </row>
    <row r="10" spans="1:4" ht="31.5" customHeight="1">
      <c r="A10" s="94"/>
      <c r="B10" s="95"/>
      <c r="C10" s="100" t="s">
        <v>449</v>
      </c>
      <c r="D10" s="101" t="str">
        <f>산재비율!A2</f>
        <v>산업재해보상보험요율</v>
      </c>
    </row>
    <row r="11" spans="1:4" ht="31.5" customHeight="1">
      <c r="A11" s="94"/>
      <c r="B11" s="95"/>
      <c r="C11" s="100" t="s">
        <v>450</v>
      </c>
      <c r="D11" s="101" t="str">
        <f>복리후생비!A2</f>
        <v>복리후생비집계표</v>
      </c>
    </row>
    <row r="12" spans="1:4" ht="31.5" customHeight="1">
      <c r="A12" s="94"/>
      <c r="B12" s="95"/>
      <c r="C12" s="100" t="s">
        <v>451</v>
      </c>
      <c r="D12" s="101" t="str">
        <f>식대!A2</f>
        <v>식비산출표</v>
      </c>
    </row>
    <row r="13" spans="1:4" ht="31.5" customHeight="1">
      <c r="A13" s="94"/>
      <c r="B13" s="95"/>
      <c r="C13" s="100" t="s">
        <v>452</v>
      </c>
      <c r="D13" s="101" t="str">
        <f>체력단련비!A2</f>
        <v>체력단련비산출표</v>
      </c>
    </row>
    <row r="14" spans="1:4" ht="31.5" customHeight="1">
      <c r="A14" s="94"/>
      <c r="B14" s="95"/>
      <c r="C14" s="100" t="s">
        <v>453</v>
      </c>
      <c r="D14" s="101" t="str">
        <f>피복비!A2</f>
        <v>피복비산출표</v>
      </c>
    </row>
    <row r="15" spans="1:4" ht="31.5" customHeight="1">
      <c r="A15" s="94"/>
      <c r="B15" s="95"/>
      <c r="C15" s="100" t="s">
        <v>454</v>
      </c>
      <c r="D15" s="101" t="str">
        <f>사업소세!A2</f>
        <v>사업소세산출표</v>
      </c>
    </row>
    <row r="16" spans="1:4" ht="31.5" customHeight="1">
      <c r="A16" s="94"/>
      <c r="B16" s="95"/>
      <c r="C16" s="100" t="s">
        <v>455</v>
      </c>
      <c r="D16" s="101" t="str">
        <f>교육비!A2</f>
        <v>교육비산출표</v>
      </c>
    </row>
    <row r="17" spans="1:4" ht="31.5" customHeight="1">
      <c r="A17" s="94"/>
      <c r="B17" s="95"/>
      <c r="C17" s="100"/>
      <c r="D17" s="101"/>
    </row>
    <row r="18" spans="1:4" ht="39.75" customHeight="1">
      <c r="A18" s="94"/>
      <c r="B18" s="95"/>
      <c r="C18" s="100"/>
      <c r="D18" s="101"/>
    </row>
    <row r="19" spans="1:4" ht="31.5" customHeight="1">
      <c r="A19" s="94"/>
      <c r="B19" s="95"/>
      <c r="C19" s="100"/>
      <c r="D19" s="101"/>
    </row>
    <row r="20" spans="1:4" ht="31.5" customHeight="1">
      <c r="A20" s="94"/>
      <c r="B20" s="95"/>
      <c r="C20" s="102"/>
      <c r="D20" s="103"/>
    </row>
    <row r="21" spans="1:4" ht="39.950000000000003" customHeight="1">
      <c r="A21" s="98"/>
      <c r="B21" s="98"/>
      <c r="C21" s="98"/>
      <c r="D21" s="98"/>
    </row>
  </sheetData>
  <mergeCells count="2">
    <mergeCell ref="A1:D1"/>
    <mergeCell ref="C5:D5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41" orientation="portrait" useFirstPageNumber="1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">
    <tabColor rgb="FFFF0000"/>
  </sheetPr>
  <dimension ref="A1:I72"/>
  <sheetViews>
    <sheetView showGridLines="0" showZeros="0" view="pageBreakPreview" topLeftCell="C49" zoomScaleNormal="100" workbookViewId="0">
      <selection activeCell="G65" sqref="G65"/>
    </sheetView>
  </sheetViews>
  <sheetFormatPr defaultColWidth="10.28515625" defaultRowHeight="34.15" customHeight="1"/>
  <cols>
    <col min="1" max="1" width="5.7109375" style="780" customWidth="1"/>
    <col min="2" max="2" width="1.7109375" style="779" customWidth="1"/>
    <col min="3" max="3" width="20.7109375" style="779" customWidth="1"/>
    <col min="4" max="4" width="1.7109375" style="779" customWidth="1"/>
    <col min="5" max="8" width="13.7109375" style="780" customWidth="1"/>
    <col min="9" max="9" width="10.5703125" style="780" customWidth="1"/>
    <col min="10" max="10" width="26.28515625" style="779" customWidth="1"/>
    <col min="11" max="16384" width="10.28515625" style="779"/>
  </cols>
  <sheetData>
    <row r="1" spans="1:9" ht="20.100000000000001" customHeight="1">
      <c r="A1" s="779" t="s">
        <v>486</v>
      </c>
    </row>
    <row r="2" spans="1:9" s="783" customFormat="1" ht="39.950000000000003" customHeight="1">
      <c r="A2" s="781" t="s">
        <v>64</v>
      </c>
      <c r="B2" s="781"/>
      <c r="C2" s="781"/>
      <c r="D2" s="781"/>
      <c r="E2" s="782"/>
      <c r="F2" s="782"/>
      <c r="G2" s="782"/>
      <c r="H2" s="782"/>
      <c r="I2" s="782"/>
    </row>
    <row r="3" spans="1:9" ht="20.100000000000001" customHeight="1">
      <c r="A3" s="784"/>
      <c r="B3" s="785"/>
      <c r="C3" s="785"/>
      <c r="D3" s="785"/>
      <c r="E3" s="784"/>
      <c r="F3" s="784"/>
      <c r="G3" s="784"/>
      <c r="H3" s="784"/>
      <c r="I3" s="784"/>
    </row>
    <row r="4" spans="1:9" ht="20.100000000000001" customHeight="1">
      <c r="A4" s="784"/>
      <c r="C4" s="785"/>
      <c r="D4" s="786"/>
      <c r="E4" s="784"/>
      <c r="F4" s="784"/>
      <c r="G4" s="784"/>
      <c r="H4" s="784"/>
      <c r="I4" s="787" t="s">
        <v>33</v>
      </c>
    </row>
    <row r="5" spans="1:9" ht="24.95" customHeight="1">
      <c r="A5" s="1095" t="s">
        <v>65</v>
      </c>
      <c r="B5" s="1096"/>
      <c r="C5" s="1096"/>
      <c r="D5" s="1097"/>
      <c r="E5" s="788">
        <f>인집!B6</f>
        <v>0</v>
      </c>
      <c r="F5" s="788">
        <f>인집!B7</f>
        <v>0</v>
      </c>
      <c r="G5" s="788">
        <f>인집!B8</f>
        <v>0</v>
      </c>
      <c r="H5" s="788">
        <f>인집!B9</f>
        <v>0</v>
      </c>
      <c r="I5" s="1101" t="s">
        <v>247</v>
      </c>
    </row>
    <row r="6" spans="1:9" ht="24.95" customHeight="1">
      <c r="A6" s="1098"/>
      <c r="B6" s="1099"/>
      <c r="C6" s="1099"/>
      <c r="D6" s="1100"/>
      <c r="E6" s="789" t="str">
        <f>"("&amp;인집!E6&amp;")"</f>
        <v>(0)</v>
      </c>
      <c r="F6" s="789" t="str">
        <f>"("&amp;인집!E7&amp;")"</f>
        <v>(0)</v>
      </c>
      <c r="G6" s="789" t="str">
        <f>"("&amp;인집!E8&amp;")"</f>
        <v>(0)</v>
      </c>
      <c r="H6" s="789" t="str">
        <f>"("&amp;인집!E9&amp;")"</f>
        <v>(0)</v>
      </c>
      <c r="I6" s="1102"/>
    </row>
    <row r="7" spans="1:9" ht="30" customHeight="1">
      <c r="A7" s="1087" t="s">
        <v>277</v>
      </c>
      <c r="B7" s="790"/>
      <c r="C7" s="791" t="s">
        <v>27</v>
      </c>
      <c r="D7" s="792"/>
      <c r="E7" s="793">
        <f>보험료!I9</f>
        <v>0</v>
      </c>
      <c r="F7" s="793">
        <f>보험료!I29</f>
        <v>0</v>
      </c>
      <c r="G7" s="793">
        <f>보험료!I50</f>
        <v>0</v>
      </c>
      <c r="H7" s="793">
        <f>보험료!I71</f>
        <v>0</v>
      </c>
      <c r="I7" s="794" t="s">
        <v>67</v>
      </c>
    </row>
    <row r="8" spans="1:9" ht="30" customHeight="1">
      <c r="A8" s="1088"/>
      <c r="B8" s="790"/>
      <c r="C8" s="791" t="s">
        <v>78</v>
      </c>
      <c r="D8" s="792"/>
      <c r="E8" s="793">
        <f>보험료!I10</f>
        <v>0</v>
      </c>
      <c r="F8" s="793">
        <f>보험료!I30</f>
        <v>0</v>
      </c>
      <c r="G8" s="793">
        <f>보험료!I51</f>
        <v>0</v>
      </c>
      <c r="H8" s="793">
        <f>보험료!I72</f>
        <v>0</v>
      </c>
      <c r="I8" s="795"/>
    </row>
    <row r="9" spans="1:9" ht="30" customHeight="1">
      <c r="A9" s="1088"/>
      <c r="B9" s="790"/>
      <c r="C9" s="791" t="s">
        <v>201</v>
      </c>
      <c r="D9" s="792"/>
      <c r="E9" s="793">
        <f>보험료!I11</f>
        <v>0</v>
      </c>
      <c r="F9" s="793">
        <f>보험료!I31</f>
        <v>0</v>
      </c>
      <c r="G9" s="793">
        <f>보험료!I52</f>
        <v>0</v>
      </c>
      <c r="H9" s="793">
        <f>보험료!I73</f>
        <v>0</v>
      </c>
      <c r="I9" s="795"/>
    </row>
    <row r="10" spans="1:9" ht="30" customHeight="1">
      <c r="A10" s="1088"/>
      <c r="B10" s="790"/>
      <c r="C10" s="791" t="s">
        <v>80</v>
      </c>
      <c r="D10" s="792"/>
      <c r="E10" s="793">
        <f>보험료!I12</f>
        <v>0</v>
      </c>
      <c r="F10" s="793">
        <f>보험료!I32</f>
        <v>0</v>
      </c>
      <c r="G10" s="793">
        <f>보험료!I53</f>
        <v>0</v>
      </c>
      <c r="H10" s="793">
        <f>보험료!I74</f>
        <v>0</v>
      </c>
      <c r="I10" s="795"/>
    </row>
    <row r="11" spans="1:9" ht="30" customHeight="1">
      <c r="A11" s="1088"/>
      <c r="B11" s="790"/>
      <c r="C11" s="791" t="s">
        <v>237</v>
      </c>
      <c r="D11" s="792"/>
      <c r="E11" s="793">
        <f>보험료!I13</f>
        <v>0</v>
      </c>
      <c r="F11" s="793">
        <f>보험료!I33</f>
        <v>0</v>
      </c>
      <c r="G11" s="793">
        <f>보험료!I54</f>
        <v>0</v>
      </c>
      <c r="H11" s="793">
        <f>보험료!I75</f>
        <v>0</v>
      </c>
      <c r="I11" s="795"/>
    </row>
    <row r="12" spans="1:9" ht="30" customHeight="1">
      <c r="A12" s="1088"/>
      <c r="B12" s="790"/>
      <c r="C12" s="791" t="s">
        <v>81</v>
      </c>
      <c r="D12" s="792"/>
      <c r="E12" s="793">
        <f>보험료!I14</f>
        <v>0</v>
      </c>
      <c r="F12" s="793">
        <f>보험료!I34</f>
        <v>0</v>
      </c>
      <c r="G12" s="793">
        <f>보험료!I55</f>
        <v>0</v>
      </c>
      <c r="H12" s="793">
        <f>보험료!I76</f>
        <v>0</v>
      </c>
      <c r="I12" s="796"/>
    </row>
    <row r="13" spans="1:9" ht="30" customHeight="1">
      <c r="A13" s="1089"/>
      <c r="B13" s="790"/>
      <c r="C13" s="797" t="s">
        <v>2</v>
      </c>
      <c r="D13" s="792"/>
      <c r="E13" s="793">
        <f>SUM(E7:E12)</f>
        <v>0</v>
      </c>
      <c r="F13" s="793">
        <f>SUM(F7:F12)</f>
        <v>0</v>
      </c>
      <c r="G13" s="793">
        <f>SUM(G7:G12)</f>
        <v>0</v>
      </c>
      <c r="H13" s="793">
        <f>SUM(H7:H12)</f>
        <v>0</v>
      </c>
      <c r="I13" s="795"/>
    </row>
    <row r="14" spans="1:9" ht="30" customHeight="1">
      <c r="A14" s="1087" t="s">
        <v>68</v>
      </c>
      <c r="B14" s="798"/>
      <c r="C14" s="791" t="s">
        <v>69</v>
      </c>
      <c r="D14" s="792"/>
      <c r="E14" s="793">
        <f>복리후생비!G7</f>
        <v>0</v>
      </c>
      <c r="F14" s="793">
        <f>복리후생비!G8</f>
        <v>0</v>
      </c>
      <c r="G14" s="793">
        <f>복리후생비!G9</f>
        <v>0</v>
      </c>
      <c r="H14" s="793">
        <f>복리후생비!G10</f>
        <v>0</v>
      </c>
      <c r="I14" s="799" t="s">
        <v>70</v>
      </c>
    </row>
    <row r="15" spans="1:9" ht="30" customHeight="1">
      <c r="A15" s="1088"/>
      <c r="B15" s="798"/>
      <c r="C15" s="791" t="s">
        <v>463</v>
      </c>
      <c r="D15" s="792"/>
      <c r="E15" s="793">
        <f>복리후생비!J7</f>
        <v>0</v>
      </c>
      <c r="F15" s="793">
        <f>복리후생비!J8</f>
        <v>0</v>
      </c>
      <c r="G15" s="793">
        <f>복리후생비!J9</f>
        <v>0</v>
      </c>
      <c r="H15" s="793">
        <f>복리후생비!J10</f>
        <v>0</v>
      </c>
      <c r="I15" s="800"/>
    </row>
    <row r="16" spans="1:9" ht="30" customHeight="1">
      <c r="A16" s="1088"/>
      <c r="B16" s="798"/>
      <c r="C16" s="791" t="s">
        <v>459</v>
      </c>
      <c r="D16" s="792"/>
      <c r="E16" s="793">
        <f>복리후생비!K7</f>
        <v>0</v>
      </c>
      <c r="F16" s="793">
        <f>복리후생비!K8</f>
        <v>0</v>
      </c>
      <c r="G16" s="793">
        <f>복리후생비!K9</f>
        <v>0</v>
      </c>
      <c r="H16" s="793">
        <f>복리후생비!K10</f>
        <v>0</v>
      </c>
      <c r="I16" s="800"/>
    </row>
    <row r="17" spans="1:9" ht="30" customHeight="1">
      <c r="A17" s="1089"/>
      <c r="B17" s="798"/>
      <c r="C17" s="797" t="s">
        <v>2</v>
      </c>
      <c r="D17" s="792"/>
      <c r="E17" s="793">
        <f>SUM(E14:E16)</f>
        <v>0</v>
      </c>
      <c r="F17" s="793">
        <f>SUM(F14:F16)</f>
        <v>0</v>
      </c>
      <c r="G17" s="793">
        <f>SUM(G14:G16)</f>
        <v>0</v>
      </c>
      <c r="H17" s="793">
        <f>SUM(H14:H16)</f>
        <v>0</v>
      </c>
      <c r="I17" s="796"/>
    </row>
    <row r="18" spans="1:9" ht="30" customHeight="1">
      <c r="A18" s="1090" t="s">
        <v>238</v>
      </c>
      <c r="B18" s="1093"/>
      <c r="C18" s="1093"/>
      <c r="D18" s="1094"/>
      <c r="E18" s="793">
        <f>사업소세!J8</f>
        <v>0</v>
      </c>
      <c r="F18" s="793">
        <f>사업소세!J9</f>
        <v>0</v>
      </c>
      <c r="G18" s="793">
        <f>사업소세!J10</f>
        <v>0</v>
      </c>
      <c r="H18" s="793">
        <f>사업소세!J11</f>
        <v>0</v>
      </c>
      <c r="I18" s="796" t="s">
        <v>215</v>
      </c>
    </row>
    <row r="19" spans="1:9" ht="30" customHeight="1">
      <c r="A19" s="1090" t="s">
        <v>259</v>
      </c>
      <c r="B19" s="1093"/>
      <c r="C19" s="1093"/>
      <c r="D19" s="1094"/>
      <c r="E19" s="793">
        <f>교육비!J7</f>
        <v>0</v>
      </c>
      <c r="F19" s="793">
        <f>교육비!J8</f>
        <v>0</v>
      </c>
      <c r="G19" s="793">
        <f>교육비!J9</f>
        <v>0</v>
      </c>
      <c r="H19" s="793">
        <f>교육비!J10</f>
        <v>0</v>
      </c>
      <c r="I19" s="796" t="s">
        <v>12</v>
      </c>
    </row>
    <row r="20" spans="1:9" ht="39.950000000000003" customHeight="1">
      <c r="A20" s="801" t="s">
        <v>178</v>
      </c>
      <c r="B20" s="790"/>
      <c r="C20" s="798"/>
      <c r="D20" s="792"/>
      <c r="E20" s="793">
        <f>SUM(E13,E17,E18,E19)</f>
        <v>0</v>
      </c>
      <c r="F20" s="793">
        <f>SUM(F13,F17,F18,F19)</f>
        <v>0</v>
      </c>
      <c r="G20" s="793">
        <f>SUM(G13,G17,G18,G19)</f>
        <v>0</v>
      </c>
      <c r="H20" s="793">
        <f>SUM(H13,H17,H18,H19)</f>
        <v>0</v>
      </c>
      <c r="I20" s="802"/>
    </row>
    <row r="21" spans="1:9" ht="24.95" customHeight="1">
      <c r="A21" s="803" t="str">
        <f>"주 1) 보험료 : "&amp;보험료!$A$1&amp;보험료!$A$2&amp;" 참조"</f>
        <v>주 1) 보험료 : &lt; 표 : 12 &gt; 보험료산출표 참조</v>
      </c>
    </row>
    <row r="22" spans="1:9" ht="24.95" customHeight="1">
      <c r="A22" s="803" t="str">
        <f>"   2) 복리후생비 : "&amp;복리후생비!$A$1&amp;복리후생비!$A$2&amp;" 참조"</f>
        <v xml:space="preserve">   2) 복리후생비 : &lt; 표 : 15 &gt; 복리후생비집계표 참조</v>
      </c>
    </row>
    <row r="23" spans="1:9" ht="24.95" customHeight="1">
      <c r="A23" s="803" t="str">
        <f>"   3) 사업소세 : "&amp;사업소세!$A$1&amp;사업소세!$A$2&amp;" 참조"</f>
        <v xml:space="preserve">   3) 사업소세 : &lt; 표 : 19 &gt; 사업소세산출표 참조</v>
      </c>
    </row>
    <row r="24" spans="1:9" ht="24.95" customHeight="1">
      <c r="A24" s="803" t="str">
        <f>"   4) 교육비 : "&amp;교육비!$A$1&amp;교육비!$A$2&amp;" 참조"</f>
        <v xml:space="preserve">   4) 교육비 : &lt; 표 : 20 &gt; 교육비산출표 참조</v>
      </c>
    </row>
    <row r="25" spans="1:9" ht="20.100000000000001" customHeight="1">
      <c r="A25" s="779"/>
    </row>
    <row r="26" spans="1:9" s="783" customFormat="1" ht="39.950000000000003" customHeight="1">
      <c r="A26" s="781" t="s">
        <v>64</v>
      </c>
      <c r="B26" s="781"/>
      <c r="C26" s="781"/>
      <c r="D26" s="781"/>
      <c r="E26" s="782"/>
      <c r="F26" s="782"/>
      <c r="G26" s="782"/>
      <c r="H26" s="782"/>
      <c r="I26" s="782"/>
    </row>
    <row r="27" spans="1:9" ht="20.100000000000001" customHeight="1">
      <c r="A27" s="784"/>
      <c r="B27" s="785"/>
      <c r="C27" s="785"/>
      <c r="D27" s="785"/>
      <c r="E27" s="784"/>
      <c r="F27" s="784"/>
      <c r="G27" s="784"/>
      <c r="H27" s="784"/>
      <c r="I27" s="784"/>
    </row>
    <row r="28" spans="1:9" ht="20.100000000000001" customHeight="1">
      <c r="A28" s="784"/>
      <c r="C28" s="785"/>
      <c r="D28" s="786"/>
      <c r="E28" s="784"/>
      <c r="F28" s="784"/>
      <c r="G28" s="784"/>
      <c r="H28" s="784"/>
      <c r="I28" s="787" t="s">
        <v>33</v>
      </c>
    </row>
    <row r="29" spans="1:9" ht="24.95" customHeight="1">
      <c r="A29" s="1095" t="s">
        <v>65</v>
      </c>
      <c r="B29" s="1096"/>
      <c r="C29" s="1096"/>
      <c r="D29" s="1097"/>
      <c r="E29" s="788">
        <f>인집!B10</f>
        <v>0</v>
      </c>
      <c r="F29" s="788">
        <f>인집!B11</f>
        <v>0</v>
      </c>
      <c r="G29" s="788">
        <f>인집!B12</f>
        <v>0</v>
      </c>
      <c r="H29" s="788">
        <f>인집!B13</f>
        <v>0</v>
      </c>
      <c r="I29" s="1101" t="s">
        <v>247</v>
      </c>
    </row>
    <row r="30" spans="1:9" ht="24.95" customHeight="1">
      <c r="A30" s="1098"/>
      <c r="B30" s="1099"/>
      <c r="C30" s="1099"/>
      <c r="D30" s="1100"/>
      <c r="E30" s="789" t="str">
        <f>"("&amp;인집!E10&amp;")"</f>
        <v>(0)</v>
      </c>
      <c r="F30" s="789" t="str">
        <f>"("&amp;인집!E11&amp;")"</f>
        <v>(0)</v>
      </c>
      <c r="G30" s="789" t="str">
        <f>"("&amp;인집!E12&amp;")"</f>
        <v>(0)</v>
      </c>
      <c r="H30" s="789" t="str">
        <f>"("&amp;인집!E13&amp;")"</f>
        <v>(0)</v>
      </c>
      <c r="I30" s="1102"/>
    </row>
    <row r="31" spans="1:9" ht="30" customHeight="1">
      <c r="A31" s="1087" t="s">
        <v>66</v>
      </c>
      <c r="B31" s="790"/>
      <c r="C31" s="791" t="s">
        <v>27</v>
      </c>
      <c r="D31" s="792"/>
      <c r="E31" s="793">
        <f>보험료!I92</f>
        <v>0</v>
      </c>
      <c r="F31" s="793">
        <f>보험료!I113</f>
        <v>0</v>
      </c>
      <c r="G31" s="793">
        <f>보험료!I134</f>
        <v>0</v>
      </c>
      <c r="H31" s="793">
        <f>보험료!I155</f>
        <v>0</v>
      </c>
      <c r="I31" s="794" t="s">
        <v>67</v>
      </c>
    </row>
    <row r="32" spans="1:9" ht="30" customHeight="1">
      <c r="A32" s="1088"/>
      <c r="B32" s="790"/>
      <c r="C32" s="791" t="s">
        <v>78</v>
      </c>
      <c r="D32" s="792"/>
      <c r="E32" s="793">
        <f>보험료!I93</f>
        <v>0</v>
      </c>
      <c r="F32" s="793">
        <f>보험료!I114</f>
        <v>0</v>
      </c>
      <c r="G32" s="793">
        <f>보험료!I135</f>
        <v>0</v>
      </c>
      <c r="H32" s="793">
        <f>보험료!I156</f>
        <v>0</v>
      </c>
      <c r="I32" s="795"/>
    </row>
    <row r="33" spans="1:9" ht="30" customHeight="1">
      <c r="A33" s="1088"/>
      <c r="B33" s="790"/>
      <c r="C33" s="791" t="s">
        <v>201</v>
      </c>
      <c r="D33" s="792"/>
      <c r="E33" s="793">
        <f>보험료!I94</f>
        <v>0</v>
      </c>
      <c r="F33" s="793">
        <f>보험료!I115</f>
        <v>0</v>
      </c>
      <c r="G33" s="793">
        <f>보험료!I136</f>
        <v>0</v>
      </c>
      <c r="H33" s="793">
        <f>보험료!I157</f>
        <v>0</v>
      </c>
      <c r="I33" s="795"/>
    </row>
    <row r="34" spans="1:9" ht="30" customHeight="1">
      <c r="A34" s="1088"/>
      <c r="B34" s="790"/>
      <c r="C34" s="791" t="s">
        <v>80</v>
      </c>
      <c r="D34" s="792"/>
      <c r="E34" s="793">
        <f>보험료!I95</f>
        <v>0</v>
      </c>
      <c r="F34" s="793">
        <f>보험료!I116</f>
        <v>0</v>
      </c>
      <c r="G34" s="793">
        <f>보험료!I137</f>
        <v>0</v>
      </c>
      <c r="H34" s="793">
        <f>보험료!I158</f>
        <v>0</v>
      </c>
      <c r="I34" s="795"/>
    </row>
    <row r="35" spans="1:9" ht="30" customHeight="1">
      <c r="A35" s="1088"/>
      <c r="B35" s="790"/>
      <c r="C35" s="791" t="s">
        <v>237</v>
      </c>
      <c r="D35" s="792"/>
      <c r="E35" s="793">
        <f>보험료!I96</f>
        <v>0</v>
      </c>
      <c r="F35" s="793">
        <f>보험료!I117</f>
        <v>0</v>
      </c>
      <c r="G35" s="793">
        <f>보험료!I138</f>
        <v>0</v>
      </c>
      <c r="H35" s="793">
        <f>보험료!I159</f>
        <v>0</v>
      </c>
      <c r="I35" s="795"/>
    </row>
    <row r="36" spans="1:9" ht="30" customHeight="1">
      <c r="A36" s="1088"/>
      <c r="B36" s="790"/>
      <c r="C36" s="791" t="s">
        <v>81</v>
      </c>
      <c r="D36" s="792"/>
      <c r="E36" s="793">
        <f>보험료!I97</f>
        <v>0</v>
      </c>
      <c r="F36" s="793">
        <f>보험료!I118</f>
        <v>0</v>
      </c>
      <c r="G36" s="793">
        <f>보험료!I139</f>
        <v>0</v>
      </c>
      <c r="H36" s="793">
        <f>보험료!I160</f>
        <v>0</v>
      </c>
      <c r="I36" s="796"/>
    </row>
    <row r="37" spans="1:9" ht="30" customHeight="1">
      <c r="A37" s="1089"/>
      <c r="B37" s="790"/>
      <c r="C37" s="797" t="s">
        <v>2</v>
      </c>
      <c r="D37" s="792"/>
      <c r="E37" s="793">
        <f>SUM(E31:E36)</f>
        <v>0</v>
      </c>
      <c r="F37" s="793">
        <f>SUM(F31:F36)</f>
        <v>0</v>
      </c>
      <c r="G37" s="793">
        <f>SUM(G31:G36)</f>
        <v>0</v>
      </c>
      <c r="H37" s="793">
        <f>SUM(H31:H36)</f>
        <v>0</v>
      </c>
      <c r="I37" s="795"/>
    </row>
    <row r="38" spans="1:9" ht="30" customHeight="1">
      <c r="A38" s="1087" t="s">
        <v>68</v>
      </c>
      <c r="B38" s="798"/>
      <c r="C38" s="791" t="s">
        <v>69</v>
      </c>
      <c r="D38" s="792"/>
      <c r="E38" s="793">
        <f>복리후생비!G11</f>
        <v>0</v>
      </c>
      <c r="F38" s="793">
        <f>복리후생비!G12</f>
        <v>0</v>
      </c>
      <c r="G38" s="793">
        <f>복리후생비!G13</f>
        <v>0</v>
      </c>
      <c r="H38" s="793">
        <f>복리후생비!G14</f>
        <v>0</v>
      </c>
      <c r="I38" s="794" t="s">
        <v>70</v>
      </c>
    </row>
    <row r="39" spans="1:9" ht="30" customHeight="1">
      <c r="A39" s="1088"/>
      <c r="B39" s="798"/>
      <c r="C39" s="791" t="s">
        <v>463</v>
      </c>
      <c r="D39" s="792"/>
      <c r="E39" s="793">
        <f>복리후생비!J11</f>
        <v>0</v>
      </c>
      <c r="F39" s="793">
        <f>복리후생비!J12</f>
        <v>0</v>
      </c>
      <c r="G39" s="793">
        <f>복리후생비!J13</f>
        <v>0</v>
      </c>
      <c r="H39" s="793">
        <f>복리후생비!J14</f>
        <v>0</v>
      </c>
      <c r="I39" s="800"/>
    </row>
    <row r="40" spans="1:9" ht="30" customHeight="1">
      <c r="A40" s="1088"/>
      <c r="B40" s="798"/>
      <c r="C40" s="791" t="s">
        <v>459</v>
      </c>
      <c r="D40" s="792"/>
      <c r="E40" s="793">
        <f>복리후생비!K11</f>
        <v>0</v>
      </c>
      <c r="F40" s="793">
        <f>복리후생비!K12</f>
        <v>0</v>
      </c>
      <c r="G40" s="793">
        <f>복리후생비!K13</f>
        <v>0</v>
      </c>
      <c r="H40" s="793">
        <f>복리후생비!K14</f>
        <v>0</v>
      </c>
      <c r="I40" s="795"/>
    </row>
    <row r="41" spans="1:9" ht="30" customHeight="1">
      <c r="A41" s="1089"/>
      <c r="B41" s="798"/>
      <c r="C41" s="797" t="s">
        <v>2</v>
      </c>
      <c r="D41" s="792"/>
      <c r="E41" s="793">
        <f>SUM(E38:E40)</f>
        <v>0</v>
      </c>
      <c r="F41" s="793">
        <f>SUM(F38:F40)</f>
        <v>0</v>
      </c>
      <c r="G41" s="793">
        <f>SUM(G38:G40)</f>
        <v>0</v>
      </c>
      <c r="H41" s="793">
        <f>SUM(H38:H40)</f>
        <v>0</v>
      </c>
      <c r="I41" s="796"/>
    </row>
    <row r="42" spans="1:9" ht="30" customHeight="1">
      <c r="A42" s="1090" t="s">
        <v>238</v>
      </c>
      <c r="B42" s="1091"/>
      <c r="C42" s="1091"/>
      <c r="D42" s="1092"/>
      <c r="E42" s="793">
        <f>사업소세!J12</f>
        <v>0</v>
      </c>
      <c r="F42" s="793">
        <f>사업소세!J13</f>
        <v>0</v>
      </c>
      <c r="G42" s="793">
        <f>사업소세!J14</f>
        <v>0</v>
      </c>
      <c r="H42" s="793">
        <f>사업소세!J15</f>
        <v>0</v>
      </c>
      <c r="I42" s="796" t="s">
        <v>215</v>
      </c>
    </row>
    <row r="43" spans="1:9" ht="30" customHeight="1">
      <c r="A43" s="1090" t="s">
        <v>259</v>
      </c>
      <c r="B43" s="1093"/>
      <c r="C43" s="1093"/>
      <c r="D43" s="1094"/>
      <c r="E43" s="793">
        <f>교육비!J11</f>
        <v>0</v>
      </c>
      <c r="F43" s="793">
        <f>교육비!J12</f>
        <v>0</v>
      </c>
      <c r="G43" s="793">
        <f>교육비!J13</f>
        <v>0</v>
      </c>
      <c r="H43" s="793">
        <f>교육비!J14</f>
        <v>0</v>
      </c>
      <c r="I43" s="796" t="s">
        <v>12</v>
      </c>
    </row>
    <row r="44" spans="1:9" ht="39.950000000000003" customHeight="1">
      <c r="A44" s="801" t="s">
        <v>178</v>
      </c>
      <c r="B44" s="790"/>
      <c r="C44" s="798"/>
      <c r="D44" s="792"/>
      <c r="E44" s="793">
        <f>SUM(E37,E41,E42,E43)</f>
        <v>0</v>
      </c>
      <c r="F44" s="793">
        <f>SUM(F37,F41,F42,F43)</f>
        <v>0</v>
      </c>
      <c r="G44" s="793">
        <f>SUM(G37,G41,G42,G43)</f>
        <v>0</v>
      </c>
      <c r="H44" s="793">
        <f>SUM(H37,H41,H42,H43)</f>
        <v>0</v>
      </c>
      <c r="I44" s="802"/>
    </row>
    <row r="45" spans="1:9" ht="24.95" customHeight="1">
      <c r="A45" s="803" t="str">
        <f>"주 1) 보험료 : "&amp;보험료!$A$1&amp;보험료!$A$2&amp;" 참조"</f>
        <v>주 1) 보험료 : &lt; 표 : 12 &gt; 보험료산출표 참조</v>
      </c>
    </row>
    <row r="46" spans="1:9" ht="24.95" customHeight="1">
      <c r="A46" s="803" t="str">
        <f>"   2) 복리후생비 : "&amp;복리후생비!$A$1&amp;복리후생비!$A$2&amp;" 참조"</f>
        <v xml:space="preserve">   2) 복리후생비 : &lt; 표 : 15 &gt; 복리후생비집계표 참조</v>
      </c>
    </row>
    <row r="47" spans="1:9" ht="24.95" customHeight="1">
      <c r="A47" s="803" t="str">
        <f>"   3) 사업소세 : "&amp;사업소세!$A$1&amp;사업소세!$A$2&amp;" 참조"</f>
        <v xml:space="preserve">   3) 사업소세 : &lt; 표 : 19 &gt; 사업소세산출표 참조</v>
      </c>
    </row>
    <row r="48" spans="1:9" ht="24.95" customHeight="1">
      <c r="A48" s="803" t="str">
        <f>"   4) 교육비 : "&amp;교육비!$A$1&amp;교육비!$A$2&amp;" 참조"</f>
        <v xml:space="preserve">   4) 교육비 : &lt; 표 : 20 &gt; 교육비산출표 참조</v>
      </c>
    </row>
    <row r="49" spans="1:9" ht="20.100000000000001" customHeight="1">
      <c r="A49" s="779"/>
    </row>
    <row r="50" spans="1:9" s="783" customFormat="1" ht="39.950000000000003" customHeight="1">
      <c r="A50" s="781" t="s">
        <v>64</v>
      </c>
      <c r="B50" s="781"/>
      <c r="C50" s="781"/>
      <c r="D50" s="781"/>
      <c r="E50" s="782"/>
      <c r="F50" s="782"/>
      <c r="G50" s="782"/>
      <c r="H50" s="782"/>
      <c r="I50" s="782"/>
    </row>
    <row r="51" spans="1:9" ht="20.100000000000001" customHeight="1">
      <c r="A51" s="784"/>
      <c r="B51" s="785"/>
      <c r="C51" s="785"/>
      <c r="D51" s="785"/>
      <c r="E51" s="784"/>
      <c r="F51" s="784"/>
      <c r="G51" s="784"/>
      <c r="H51" s="784"/>
      <c r="I51" s="784"/>
    </row>
    <row r="52" spans="1:9" ht="20.100000000000001" customHeight="1">
      <c r="A52" s="784"/>
      <c r="C52" s="785"/>
      <c r="D52" s="786"/>
      <c r="E52" s="784"/>
      <c r="F52" s="784"/>
      <c r="G52" s="784"/>
      <c r="H52" s="784"/>
      <c r="I52" s="787" t="s">
        <v>33</v>
      </c>
    </row>
    <row r="53" spans="1:9" ht="24.95" customHeight="1">
      <c r="A53" s="1095" t="s">
        <v>65</v>
      </c>
      <c r="B53" s="1096"/>
      <c r="C53" s="1096"/>
      <c r="D53" s="1097"/>
      <c r="E53" s="788" t="str">
        <f>인집!B14</f>
        <v>다산홀운영</v>
      </c>
      <c r="F53" s="788" t="str">
        <f>인집!B15</f>
        <v>운 전 원</v>
      </c>
      <c r="G53" s="788" t="str">
        <f>인집!B16</f>
        <v>사무보조원</v>
      </c>
      <c r="H53" s="788"/>
      <c r="I53" s="1101" t="s">
        <v>247</v>
      </c>
    </row>
    <row r="54" spans="1:9" ht="24.95" customHeight="1">
      <c r="A54" s="1098"/>
      <c r="B54" s="1099"/>
      <c r="C54" s="1099"/>
      <c r="D54" s="1100"/>
      <c r="E54" s="789" t="str">
        <f>"("&amp;인집!E14&amp;")"</f>
        <v>(전기기능사)</v>
      </c>
      <c r="F54" s="789" t="str">
        <f>"("&amp;인집!E15&amp;")"</f>
        <v>(단순노무종사원)</v>
      </c>
      <c r="G54" s="789" t="str">
        <f>"("&amp;인집!E16&amp;")"</f>
        <v>(단순노무종사원)</v>
      </c>
      <c r="H54" s="789"/>
      <c r="I54" s="1102"/>
    </row>
    <row r="55" spans="1:9" ht="30" customHeight="1">
      <c r="A55" s="1087" t="s">
        <v>66</v>
      </c>
      <c r="B55" s="790"/>
      <c r="C55" s="791" t="s">
        <v>27</v>
      </c>
      <c r="D55" s="792"/>
      <c r="E55" s="895">
        <f>보험료!I176</f>
        <v>57133</v>
      </c>
      <c r="F55" s="895">
        <f>보험료!I197</f>
        <v>53663</v>
      </c>
      <c r="G55" s="895">
        <f>보험료!I218</f>
        <v>55553</v>
      </c>
      <c r="H55" s="793"/>
      <c r="I55" s="794" t="s">
        <v>67</v>
      </c>
    </row>
    <row r="56" spans="1:9" ht="30" customHeight="1">
      <c r="A56" s="1088"/>
      <c r="B56" s="790"/>
      <c r="C56" s="791" t="s">
        <v>78</v>
      </c>
      <c r="D56" s="792"/>
      <c r="E56" s="793">
        <f>보험료!I177</f>
        <v>135317</v>
      </c>
      <c r="F56" s="793">
        <f>보험료!I198</f>
        <v>127098</v>
      </c>
      <c r="G56" s="793">
        <f>보험료!I219</f>
        <v>131574</v>
      </c>
      <c r="H56" s="793"/>
      <c r="I56" s="795"/>
    </row>
    <row r="57" spans="1:9" ht="30" customHeight="1">
      <c r="A57" s="1088"/>
      <c r="B57" s="790"/>
      <c r="C57" s="791" t="s">
        <v>201</v>
      </c>
      <c r="D57" s="792"/>
      <c r="E57" s="793">
        <f>보험료!I178</f>
        <v>27063</v>
      </c>
      <c r="F57" s="793">
        <f>보험료!I199</f>
        <v>25419</v>
      </c>
      <c r="G57" s="793">
        <f>보험료!I220</f>
        <v>26314</v>
      </c>
      <c r="H57" s="793"/>
      <c r="I57" s="795"/>
    </row>
    <row r="58" spans="1:9" ht="30" customHeight="1">
      <c r="A58" s="1088"/>
      <c r="B58" s="790"/>
      <c r="C58" s="791" t="s">
        <v>80</v>
      </c>
      <c r="D58" s="792"/>
      <c r="E58" s="895">
        <f>보험료!I179</f>
        <v>92015</v>
      </c>
      <c r="F58" s="895">
        <f>보험료!I200</f>
        <v>86427</v>
      </c>
      <c r="G58" s="895">
        <f>보험료!I221</f>
        <v>89470</v>
      </c>
      <c r="H58" s="793"/>
      <c r="I58" s="795"/>
    </row>
    <row r="59" spans="1:9" ht="30" customHeight="1">
      <c r="A59" s="1088"/>
      <c r="B59" s="790"/>
      <c r="C59" s="791" t="s">
        <v>237</v>
      </c>
      <c r="D59" s="792"/>
      <c r="E59" s="895">
        <f>보험료!I180</f>
        <v>6026</v>
      </c>
      <c r="F59" s="895">
        <f>보험료!I201</f>
        <v>5660</v>
      </c>
      <c r="G59" s="895">
        <f>보험료!I222</f>
        <v>5860</v>
      </c>
      <c r="H59" s="793"/>
      <c r="I59" s="795"/>
    </row>
    <row r="60" spans="1:9" ht="30" customHeight="1">
      <c r="A60" s="1088"/>
      <c r="B60" s="790"/>
      <c r="C60" s="791" t="s">
        <v>81</v>
      </c>
      <c r="D60" s="792"/>
      <c r="E60" s="895">
        <f>보험료!I181</f>
        <v>1804</v>
      </c>
      <c r="F60" s="895">
        <f>보험료!I202</f>
        <v>1694</v>
      </c>
      <c r="G60" s="895">
        <f>보험료!I223</f>
        <v>1754</v>
      </c>
      <c r="H60" s="793"/>
      <c r="I60" s="796"/>
    </row>
    <row r="61" spans="1:9" ht="30" customHeight="1">
      <c r="A61" s="1089"/>
      <c r="B61" s="790"/>
      <c r="C61" s="797" t="s">
        <v>2</v>
      </c>
      <c r="D61" s="792"/>
      <c r="E61" s="895">
        <f>SUM(E55:E60)</f>
        <v>319358</v>
      </c>
      <c r="F61" s="895">
        <f>SUM(F55:F60)</f>
        <v>299961</v>
      </c>
      <c r="G61" s="895">
        <f>SUM(G55:G60)</f>
        <v>310525</v>
      </c>
      <c r="H61" s="793"/>
      <c r="I61" s="795"/>
    </row>
    <row r="62" spans="1:9" ht="30" customHeight="1">
      <c r="A62" s="1087" t="s">
        <v>68</v>
      </c>
      <c r="B62" s="798"/>
      <c r="C62" s="791" t="s">
        <v>69</v>
      </c>
      <c r="D62" s="792"/>
      <c r="E62" s="793">
        <f>복리후생비!I15</f>
        <v>0</v>
      </c>
      <c r="F62" s="793">
        <f>복리후생비!I16</f>
        <v>0</v>
      </c>
      <c r="G62" s="793">
        <f>복리후생비!I17</f>
        <v>0</v>
      </c>
      <c r="H62" s="793"/>
      <c r="I62" s="794" t="s">
        <v>70</v>
      </c>
    </row>
    <row r="63" spans="1:9" ht="30" customHeight="1">
      <c r="A63" s="1088"/>
      <c r="B63" s="798"/>
      <c r="C63" s="791" t="s">
        <v>463</v>
      </c>
      <c r="D63" s="792"/>
      <c r="E63" s="793">
        <f>복리후생비!J15</f>
        <v>0</v>
      </c>
      <c r="F63" s="793">
        <f>복리후생비!J16</f>
        <v>0</v>
      </c>
      <c r="G63" s="793">
        <f>복리후생비!J17</f>
        <v>0</v>
      </c>
      <c r="H63" s="793">
        <f>복리후생비!J40</f>
        <v>0</v>
      </c>
      <c r="I63" s="800"/>
    </row>
    <row r="64" spans="1:9" ht="30" customHeight="1">
      <c r="A64" s="1088"/>
      <c r="B64" s="798"/>
      <c r="C64" s="791" t="s">
        <v>459</v>
      </c>
      <c r="D64" s="792"/>
      <c r="E64" s="793">
        <f>복리후생비!K15</f>
        <v>0</v>
      </c>
      <c r="F64" s="793">
        <f>복리후생비!K16</f>
        <v>0</v>
      </c>
      <c r="G64" s="793">
        <f>복리후생비!K17</f>
        <v>0</v>
      </c>
      <c r="H64" s="793"/>
      <c r="I64" s="795"/>
    </row>
    <row r="65" spans="1:9" ht="30" customHeight="1">
      <c r="A65" s="1089"/>
      <c r="B65" s="798"/>
      <c r="C65" s="797" t="s">
        <v>2</v>
      </c>
      <c r="D65" s="792"/>
      <c r="E65" s="793">
        <f>SUM(E62:E64)</f>
        <v>0</v>
      </c>
      <c r="F65" s="793">
        <f>SUM(F62:F64)</f>
        <v>0</v>
      </c>
      <c r="G65" s="793">
        <f>SUM(G62:G64)</f>
        <v>0</v>
      </c>
      <c r="H65" s="793"/>
      <c r="I65" s="796"/>
    </row>
    <row r="66" spans="1:9" ht="30" customHeight="1">
      <c r="A66" s="1090" t="s">
        <v>238</v>
      </c>
      <c r="B66" s="1091"/>
      <c r="C66" s="1091"/>
      <c r="D66" s="1092"/>
      <c r="E66" s="793">
        <f>사업소세!J16</f>
        <v>15035</v>
      </c>
      <c r="F66" s="793">
        <f>사업소세!J17</f>
        <v>14122</v>
      </c>
      <c r="G66" s="793">
        <f>사업소세!J18</f>
        <v>14619</v>
      </c>
      <c r="H66" s="793"/>
      <c r="I66" s="796" t="s">
        <v>215</v>
      </c>
    </row>
    <row r="67" spans="1:9" ht="30" customHeight="1">
      <c r="A67" s="1090" t="s">
        <v>259</v>
      </c>
      <c r="B67" s="1093"/>
      <c r="C67" s="1093"/>
      <c r="D67" s="1094"/>
      <c r="E67" s="793">
        <f>교육비!J15</f>
        <v>0</v>
      </c>
      <c r="F67" s="793">
        <f>교육비!J16</f>
        <v>0</v>
      </c>
      <c r="G67" s="793">
        <f>교육비!J17</f>
        <v>0</v>
      </c>
      <c r="H67" s="793"/>
      <c r="I67" s="796" t="s">
        <v>12</v>
      </c>
    </row>
    <row r="68" spans="1:9" ht="39.950000000000003" customHeight="1">
      <c r="A68" s="801" t="s">
        <v>178</v>
      </c>
      <c r="B68" s="790"/>
      <c r="C68" s="798"/>
      <c r="D68" s="792"/>
      <c r="E68" s="895">
        <f>SUM(E61,E65,E66,E67)</f>
        <v>334393</v>
      </c>
      <c r="F68" s="895">
        <f>SUM(F61,F65,F66,F67)</f>
        <v>314083</v>
      </c>
      <c r="G68" s="895">
        <f>SUM(G61,G65,G66,G67)</f>
        <v>325144</v>
      </c>
      <c r="H68" s="793"/>
      <c r="I68" s="802"/>
    </row>
    <row r="69" spans="1:9" ht="24.95" customHeight="1">
      <c r="A69" s="803" t="str">
        <f>"주 1) 보험료 : "&amp;보험료!$A$1&amp;보험료!$A$2&amp;" 참조"</f>
        <v>주 1) 보험료 : &lt; 표 : 12 &gt; 보험료산출표 참조</v>
      </c>
    </row>
    <row r="70" spans="1:9" ht="24.95" customHeight="1">
      <c r="A70" s="803" t="str">
        <f>"   2) 복리후생비 : "&amp;복리후생비!$A$1&amp;복리후생비!$A$2&amp;" 참조"</f>
        <v xml:space="preserve">   2) 복리후생비 : &lt; 표 : 15 &gt; 복리후생비집계표 참조</v>
      </c>
    </row>
    <row r="71" spans="1:9" ht="24.95" customHeight="1">
      <c r="A71" s="803" t="str">
        <f>"   3) 사업소세 : "&amp;사업소세!$A$1&amp;사업소세!$A$2&amp;" 참조"</f>
        <v xml:space="preserve">   3) 사업소세 : &lt; 표 : 19 &gt; 사업소세산출표 참조</v>
      </c>
    </row>
    <row r="72" spans="1:9" ht="24.95" customHeight="1">
      <c r="A72" s="803" t="str">
        <f>"   4) 교육비 : "&amp;교육비!$A$1&amp;교육비!$A$2&amp;" 참조"</f>
        <v xml:space="preserve">   4) 교육비 : &lt; 표 : 20 &gt; 교육비산출표 참조</v>
      </c>
    </row>
  </sheetData>
  <mergeCells count="18">
    <mergeCell ref="A5:D6"/>
    <mergeCell ref="A19:D19"/>
    <mergeCell ref="I53:I54"/>
    <mergeCell ref="A43:D43"/>
    <mergeCell ref="A55:A61"/>
    <mergeCell ref="I5:I6"/>
    <mergeCell ref="A29:D30"/>
    <mergeCell ref="I29:I30"/>
    <mergeCell ref="A31:A37"/>
    <mergeCell ref="A14:A17"/>
    <mergeCell ref="A7:A13"/>
    <mergeCell ref="A18:D18"/>
    <mergeCell ref="A62:A65"/>
    <mergeCell ref="A66:D66"/>
    <mergeCell ref="A67:D67"/>
    <mergeCell ref="A38:A41"/>
    <mergeCell ref="A42:D42"/>
    <mergeCell ref="A53:D54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53" orientation="portrait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4">
    <tabColor rgb="FFFF0000"/>
  </sheetPr>
  <dimension ref="A1:J233"/>
  <sheetViews>
    <sheetView showGridLines="0" showZeros="0" view="pageBreakPreview" topLeftCell="A231" zoomScaleNormal="100" zoomScaleSheetLayoutView="100" workbookViewId="0">
      <selection activeCell="G225" sqref="G225"/>
    </sheetView>
  </sheetViews>
  <sheetFormatPr defaultRowHeight="12"/>
  <cols>
    <col min="1" max="1" width="1.7109375" style="693" customWidth="1"/>
    <col min="2" max="2" width="19.7109375" style="693" customWidth="1"/>
    <col min="3" max="3" width="1.7109375" style="693" customWidth="1"/>
    <col min="4" max="4" width="11.7109375" style="738" customWidth="1"/>
    <col min="5" max="5" width="11.7109375" style="688" customWidth="1"/>
    <col min="6" max="6" width="9.7109375" style="688" customWidth="1"/>
    <col min="7" max="7" width="11.7109375" style="688" customWidth="1"/>
    <col min="8" max="8" width="7.7109375" style="688" customWidth="1"/>
    <col min="9" max="9" width="10.7109375" style="688" customWidth="1"/>
    <col min="10" max="10" width="9" style="612" customWidth="1"/>
    <col min="11" max="16384" width="9.140625" style="614"/>
  </cols>
  <sheetData>
    <row r="1" spans="1:10" ht="20.100000000000001" hidden="1" customHeight="1">
      <c r="A1" s="613" t="s">
        <v>487</v>
      </c>
      <c r="B1" s="739"/>
      <c r="C1" s="739"/>
      <c r="D1" s="613"/>
    </row>
    <row r="2" spans="1:10" s="617" customFormat="1" ht="39.950000000000003" hidden="1" customHeight="1">
      <c r="A2" s="615" t="s">
        <v>211</v>
      </c>
      <c r="B2" s="740"/>
      <c r="C2" s="740"/>
      <c r="D2" s="741"/>
      <c r="E2" s="742"/>
      <c r="F2" s="743"/>
      <c r="G2" s="742"/>
      <c r="H2" s="742"/>
      <c r="I2" s="742"/>
      <c r="J2" s="616"/>
    </row>
    <row r="3" spans="1:10" s="617" customFormat="1" ht="20.100000000000001" hidden="1" customHeight="1">
      <c r="A3" s="740"/>
      <c r="B3" s="740"/>
      <c r="C3" s="740"/>
      <c r="D3" s="741"/>
      <c r="E3" s="742"/>
      <c r="F3" s="743"/>
      <c r="G3" s="742"/>
      <c r="H3" s="742"/>
      <c r="I3" s="742"/>
      <c r="J3" s="616"/>
    </row>
    <row r="4" spans="1:10" ht="20.100000000000001" hidden="1" customHeight="1">
      <c r="A4" s="654" t="str">
        <f>원가!A4</f>
        <v xml:space="preserve">구 분 :                        직종명 : </v>
      </c>
      <c r="C4" s="610"/>
      <c r="D4" s="654"/>
      <c r="I4" s="659"/>
      <c r="J4" s="659" t="s">
        <v>36</v>
      </c>
    </row>
    <row r="5" spans="1:10" ht="24.95" hidden="1" customHeight="1">
      <c r="A5" s="1105" t="s">
        <v>71</v>
      </c>
      <c r="B5" s="1106"/>
      <c r="C5" s="1107"/>
      <c r="D5" s="1057" t="s">
        <v>72</v>
      </c>
      <c r="E5" s="1111"/>
      <c r="F5" s="1111"/>
      <c r="G5" s="1058"/>
      <c r="H5" s="1112" t="s">
        <v>206</v>
      </c>
      <c r="I5" s="1114" t="s">
        <v>73</v>
      </c>
      <c r="J5" s="1103" t="s">
        <v>74</v>
      </c>
    </row>
    <row r="6" spans="1:10" ht="24.95" hidden="1" customHeight="1">
      <c r="A6" s="1108"/>
      <c r="B6" s="1109"/>
      <c r="C6" s="1110"/>
      <c r="D6" s="705" t="s">
        <v>75</v>
      </c>
      <c r="E6" s="706" t="s">
        <v>76</v>
      </c>
      <c r="F6" s="706" t="s">
        <v>77</v>
      </c>
      <c r="G6" s="706" t="s">
        <v>55</v>
      </c>
      <c r="H6" s="1113"/>
      <c r="I6" s="1115"/>
      <c r="J6" s="1104"/>
    </row>
    <row r="7" spans="1:10" ht="20.100000000000001" hidden="1" customHeight="1">
      <c r="A7" s="628"/>
      <c r="B7" s="701"/>
      <c r="C7" s="702"/>
      <c r="D7" s="704"/>
      <c r="E7" s="703"/>
      <c r="F7" s="703"/>
      <c r="G7" s="627"/>
      <c r="H7" s="707"/>
      <c r="I7" s="703"/>
      <c r="J7" s="704"/>
    </row>
    <row r="8" spans="1:10" ht="39.950000000000003" hidden="1" customHeight="1">
      <c r="A8" s="608"/>
      <c r="B8" s="612"/>
      <c r="C8" s="708"/>
      <c r="D8" s="709"/>
      <c r="E8" s="710"/>
      <c r="F8" s="710"/>
      <c r="G8" s="607"/>
      <c r="H8" s="711" t="s">
        <v>1</v>
      </c>
      <c r="I8" s="710"/>
      <c r="J8" s="709"/>
    </row>
    <row r="9" spans="1:10" ht="39.950000000000003" hidden="1" customHeight="1">
      <c r="A9" s="712"/>
      <c r="B9" s="713" t="s">
        <v>27</v>
      </c>
      <c r="C9" s="714"/>
      <c r="D9" s="715">
        <f>인집!G6</f>
        <v>0</v>
      </c>
      <c r="E9" s="715">
        <f>인집!H6</f>
        <v>0</v>
      </c>
      <c r="F9" s="715">
        <f>인집!I6</f>
        <v>0</v>
      </c>
      <c r="G9" s="716">
        <f>SUM(D9:F9)</f>
        <v>0</v>
      </c>
      <c r="H9" s="830">
        <f>보험료산출기준!I6</f>
        <v>1.8</v>
      </c>
      <c r="I9" s="717">
        <f>TRUNC(G9*H9%,0)</f>
        <v>0</v>
      </c>
      <c r="J9" s="710"/>
    </row>
    <row r="10" spans="1:10" ht="39.950000000000003" hidden="1" customHeight="1">
      <c r="A10" s="608"/>
      <c r="B10" s="713" t="s">
        <v>78</v>
      </c>
      <c r="C10" s="708"/>
      <c r="D10" s="715">
        <f t="shared" ref="D10:F12" si="0">D9</f>
        <v>0</v>
      </c>
      <c r="E10" s="715">
        <f t="shared" si="0"/>
        <v>0</v>
      </c>
      <c r="F10" s="715">
        <f t="shared" si="0"/>
        <v>0</v>
      </c>
      <c r="G10" s="716">
        <f>SUM(D10:F10)</f>
        <v>0</v>
      </c>
      <c r="H10" s="830">
        <f>보험료산출기준!I7</f>
        <v>4.5</v>
      </c>
      <c r="I10" s="717">
        <f>TRUNC(G10*H10%,0)</f>
        <v>0</v>
      </c>
      <c r="J10" s="710"/>
    </row>
    <row r="11" spans="1:10" ht="39.950000000000003" hidden="1" customHeight="1">
      <c r="A11" s="608"/>
      <c r="B11" s="713" t="s">
        <v>79</v>
      </c>
      <c r="C11" s="708"/>
      <c r="D11" s="715">
        <f t="shared" si="0"/>
        <v>0</v>
      </c>
      <c r="E11" s="715">
        <f t="shared" si="0"/>
        <v>0</v>
      </c>
      <c r="F11" s="715">
        <f t="shared" si="0"/>
        <v>0</v>
      </c>
      <c r="G11" s="716">
        <f>SUM(D11:F11)</f>
        <v>0</v>
      </c>
      <c r="H11" s="830">
        <f>보험료산출기준!I8</f>
        <v>0.9</v>
      </c>
      <c r="I11" s="717">
        <f>TRUNC(G11*H11%,0)</f>
        <v>0</v>
      </c>
      <c r="J11" s="710"/>
    </row>
    <row r="12" spans="1:10" ht="39.950000000000003" hidden="1" customHeight="1">
      <c r="A12" s="608"/>
      <c r="B12" s="713" t="s">
        <v>80</v>
      </c>
      <c r="C12" s="708"/>
      <c r="D12" s="715">
        <f t="shared" si="0"/>
        <v>0</v>
      </c>
      <c r="E12" s="715">
        <f t="shared" si="0"/>
        <v>0</v>
      </c>
      <c r="F12" s="715">
        <f t="shared" si="0"/>
        <v>0</v>
      </c>
      <c r="G12" s="716">
        <f>SUM(D12:F12)</f>
        <v>0</v>
      </c>
      <c r="H12" s="830">
        <f>보험료산출기준!I9</f>
        <v>3.0350000000000001</v>
      </c>
      <c r="I12" s="717">
        <f>TRUNC(G12*H12%,0)</f>
        <v>0</v>
      </c>
      <c r="J12" s="710"/>
    </row>
    <row r="13" spans="1:10" ht="39.950000000000003" hidden="1" customHeight="1">
      <c r="A13" s="608"/>
      <c r="B13" s="713" t="s">
        <v>237</v>
      </c>
      <c r="C13" s="708"/>
      <c r="D13" s="715"/>
      <c r="E13" s="715"/>
      <c r="F13" s="715"/>
      <c r="G13" s="716"/>
      <c r="H13" s="830">
        <f>보험료산출기준!I10</f>
        <v>6.55</v>
      </c>
      <c r="I13" s="717">
        <f>TRUNC(I12*H13%,0)</f>
        <v>0</v>
      </c>
      <c r="J13" s="710" t="s">
        <v>215</v>
      </c>
    </row>
    <row r="14" spans="1:10" ht="39.950000000000003" hidden="1" customHeight="1">
      <c r="A14" s="718"/>
      <c r="B14" s="719" t="s">
        <v>81</v>
      </c>
      <c r="C14" s="720"/>
      <c r="D14" s="715">
        <f>D12</f>
        <v>0</v>
      </c>
      <c r="E14" s="715">
        <f>E12</f>
        <v>0</v>
      </c>
      <c r="F14" s="715">
        <f>F12</f>
        <v>0</v>
      </c>
      <c r="G14" s="716">
        <f>SUM(D14:F14)</f>
        <v>0</v>
      </c>
      <c r="H14" s="830">
        <f>보험료산출기준!I11</f>
        <v>0.08</v>
      </c>
      <c r="I14" s="717">
        <f>TRUNC(G14*H14%,0)</f>
        <v>0</v>
      </c>
      <c r="J14" s="710"/>
    </row>
    <row r="15" spans="1:10" ht="20.100000000000001" hidden="1" customHeight="1">
      <c r="A15" s="721"/>
      <c r="B15" s="722"/>
      <c r="C15" s="723"/>
      <c r="D15" s="724"/>
      <c r="E15" s="724"/>
      <c r="F15" s="724"/>
      <c r="G15" s="725"/>
      <c r="H15" s="744"/>
      <c r="I15" s="727"/>
      <c r="J15" s="706"/>
    </row>
    <row r="16" spans="1:10" ht="45" hidden="1" customHeight="1">
      <c r="A16" s="728"/>
      <c r="B16" s="729" t="s">
        <v>178</v>
      </c>
      <c r="C16" s="730"/>
      <c r="D16" s="731"/>
      <c r="E16" s="732"/>
      <c r="F16" s="732"/>
      <c r="G16" s="733"/>
      <c r="H16" s="733"/>
      <c r="I16" s="732">
        <f>SUM(I9:I15)</f>
        <v>0</v>
      </c>
      <c r="J16" s="734"/>
    </row>
    <row r="17" spans="1:10" s="681" customFormat="1" ht="24.95" hidden="1" customHeight="1">
      <c r="A17" s="679" t="str">
        <f>"주 1) 적용대상액 : "&amp;인집!$A$1&amp;인집!$A$2&amp;" 참조"</f>
        <v>주 1) 적용대상액 : &lt; 표 : 3 &gt; 단위당인건비집계표 참조</v>
      </c>
      <c r="C17" s="679"/>
      <c r="D17" s="679"/>
      <c r="E17" s="680"/>
      <c r="F17" s="680"/>
      <c r="G17" s="604"/>
      <c r="H17" s="604"/>
      <c r="I17" s="604"/>
      <c r="J17" s="735"/>
    </row>
    <row r="18" spans="1:10" s="681" customFormat="1" ht="24.95" hidden="1" customHeight="1">
      <c r="A18" s="679" t="str">
        <f>"   2) 비율(%) : "&amp;보험료산출기준!$A$1&amp;보험료산출기준!$A$2&amp;" 참조"</f>
        <v xml:space="preserve">   2) 비율(%) : &lt; 표 : 13 &gt; 경비산정기준표 참조</v>
      </c>
      <c r="C18" s="679"/>
      <c r="D18" s="679"/>
      <c r="E18" s="680"/>
      <c r="F18" s="680"/>
      <c r="G18" s="604"/>
      <c r="H18" s="604"/>
      <c r="I18" s="604"/>
      <c r="J18" s="735"/>
    </row>
    <row r="19" spans="1:10" s="681" customFormat="1" ht="24.95" hidden="1" customHeight="1">
      <c r="A19" s="683" t="s">
        <v>427</v>
      </c>
      <c r="C19" s="679"/>
      <c r="D19" s="682"/>
      <c r="E19" s="736"/>
      <c r="F19" s="736"/>
      <c r="G19" s="737"/>
      <c r="H19" s="737"/>
      <c r="I19" s="737"/>
    </row>
    <row r="20" spans="1:10" s="681" customFormat="1" ht="24.95" hidden="1" customHeight="1">
      <c r="A20" s="683"/>
      <c r="C20" s="679"/>
      <c r="D20" s="682"/>
      <c r="E20" s="736"/>
      <c r="F20" s="736"/>
      <c r="G20" s="737"/>
      <c r="H20" s="737"/>
      <c r="I20" s="737"/>
    </row>
    <row r="21" spans="1:10" s="681" customFormat="1" ht="24.95" hidden="1" customHeight="1">
      <c r="A21" s="683"/>
      <c r="C21" s="679"/>
      <c r="D21" s="682"/>
      <c r="E21" s="736"/>
      <c r="F21" s="736"/>
      <c r="G21" s="737"/>
      <c r="H21" s="737"/>
      <c r="I21" s="737"/>
    </row>
    <row r="22" spans="1:10" s="681" customFormat="1" ht="24.95" hidden="1" customHeight="1">
      <c r="A22" s="683"/>
      <c r="C22" s="679"/>
      <c r="D22" s="682"/>
      <c r="E22" s="736"/>
      <c r="F22" s="736"/>
      <c r="G22" s="737"/>
      <c r="H22" s="737"/>
      <c r="I22" s="737"/>
    </row>
    <row r="23" spans="1:10" ht="20.100000000000001" hidden="1" customHeight="1">
      <c r="A23" s="739"/>
      <c r="B23" s="739"/>
      <c r="C23" s="739"/>
      <c r="D23" s="613"/>
    </row>
    <row r="24" spans="1:10" ht="20.100000000000001" hidden="1" customHeight="1">
      <c r="A24" s="654" t="str">
        <f>원가!A39</f>
        <v xml:space="preserve">구 분 :                        직종명 : </v>
      </c>
      <c r="B24" s="610"/>
      <c r="C24" s="610"/>
      <c r="D24" s="654"/>
      <c r="I24" s="659"/>
      <c r="J24" s="659" t="s">
        <v>36</v>
      </c>
    </row>
    <row r="25" spans="1:10" ht="24.95" hidden="1" customHeight="1">
      <c r="A25" s="1105" t="s">
        <v>71</v>
      </c>
      <c r="B25" s="1106"/>
      <c r="C25" s="1107"/>
      <c r="D25" s="1057" t="s">
        <v>72</v>
      </c>
      <c r="E25" s="1111"/>
      <c r="F25" s="1111"/>
      <c r="G25" s="1058"/>
      <c r="H25" s="1112" t="s">
        <v>206</v>
      </c>
      <c r="I25" s="1114" t="s">
        <v>73</v>
      </c>
      <c r="J25" s="1103" t="s">
        <v>74</v>
      </c>
    </row>
    <row r="26" spans="1:10" ht="24.95" hidden="1" customHeight="1">
      <c r="A26" s="1108"/>
      <c r="B26" s="1109"/>
      <c r="C26" s="1110"/>
      <c r="D26" s="705" t="s">
        <v>75</v>
      </c>
      <c r="E26" s="706" t="s">
        <v>76</v>
      </c>
      <c r="F26" s="706" t="s">
        <v>77</v>
      </c>
      <c r="G26" s="706" t="s">
        <v>55</v>
      </c>
      <c r="H26" s="1113"/>
      <c r="I26" s="1115"/>
      <c r="J26" s="1104"/>
    </row>
    <row r="27" spans="1:10" ht="20.100000000000001" hidden="1" customHeight="1">
      <c r="A27" s="628"/>
      <c r="B27" s="701"/>
      <c r="C27" s="702"/>
      <c r="D27" s="704"/>
      <c r="E27" s="703"/>
      <c r="F27" s="703"/>
      <c r="G27" s="627"/>
      <c r="H27" s="707"/>
      <c r="I27" s="703"/>
      <c r="J27" s="704"/>
    </row>
    <row r="28" spans="1:10" ht="39.950000000000003" hidden="1" customHeight="1">
      <c r="A28" s="608"/>
      <c r="B28" s="612"/>
      <c r="C28" s="708"/>
      <c r="D28" s="709"/>
      <c r="E28" s="710"/>
      <c r="F28" s="710"/>
      <c r="G28" s="607"/>
      <c r="H28" s="711" t="s">
        <v>1</v>
      </c>
      <c r="I28" s="710"/>
      <c r="J28" s="709"/>
    </row>
    <row r="29" spans="1:10" ht="39.950000000000003" hidden="1" customHeight="1">
      <c r="A29" s="712"/>
      <c r="B29" s="713" t="s">
        <v>27</v>
      </c>
      <c r="C29" s="714"/>
      <c r="D29" s="715">
        <f>인집!G7</f>
        <v>0</v>
      </c>
      <c r="E29" s="715">
        <f>인집!H7</f>
        <v>0</v>
      </c>
      <c r="F29" s="715">
        <f>인집!I7</f>
        <v>0</v>
      </c>
      <c r="G29" s="716">
        <f>SUM(D29:F29)</f>
        <v>0</v>
      </c>
      <c r="H29" s="830">
        <f>$H$9</f>
        <v>1.8</v>
      </c>
      <c r="I29" s="717">
        <f>TRUNC(G29*H29%,0)</f>
        <v>0</v>
      </c>
      <c r="J29" s="710"/>
    </row>
    <row r="30" spans="1:10" ht="39.950000000000003" hidden="1" customHeight="1">
      <c r="A30" s="608"/>
      <c r="B30" s="713" t="s">
        <v>78</v>
      </c>
      <c r="C30" s="708"/>
      <c r="D30" s="715">
        <f t="shared" ref="D30:F32" si="1">D29</f>
        <v>0</v>
      </c>
      <c r="E30" s="715">
        <f t="shared" si="1"/>
        <v>0</v>
      </c>
      <c r="F30" s="715">
        <f t="shared" si="1"/>
        <v>0</v>
      </c>
      <c r="G30" s="716">
        <f>SUM(D30:F30)</f>
        <v>0</v>
      </c>
      <c r="H30" s="830">
        <f>$H$10</f>
        <v>4.5</v>
      </c>
      <c r="I30" s="717">
        <f>TRUNC(G30*H30%,0)</f>
        <v>0</v>
      </c>
      <c r="J30" s="710"/>
    </row>
    <row r="31" spans="1:10" ht="39.950000000000003" hidden="1" customHeight="1">
      <c r="A31" s="608"/>
      <c r="B31" s="713" t="s">
        <v>79</v>
      </c>
      <c r="C31" s="708"/>
      <c r="D31" s="715">
        <f t="shared" si="1"/>
        <v>0</v>
      </c>
      <c r="E31" s="715">
        <f t="shared" si="1"/>
        <v>0</v>
      </c>
      <c r="F31" s="715">
        <f t="shared" si="1"/>
        <v>0</v>
      </c>
      <c r="G31" s="716">
        <f>SUM(D31:F31)</f>
        <v>0</v>
      </c>
      <c r="H31" s="830">
        <f>$H$11</f>
        <v>0.9</v>
      </c>
      <c r="I31" s="717">
        <f>TRUNC(G31*H31%,0)</f>
        <v>0</v>
      </c>
      <c r="J31" s="710"/>
    </row>
    <row r="32" spans="1:10" ht="39.950000000000003" hidden="1" customHeight="1">
      <c r="A32" s="608"/>
      <c r="B32" s="713" t="s">
        <v>80</v>
      </c>
      <c r="C32" s="708"/>
      <c r="D32" s="715">
        <f t="shared" si="1"/>
        <v>0</v>
      </c>
      <c r="E32" s="715">
        <f t="shared" si="1"/>
        <v>0</v>
      </c>
      <c r="F32" s="715">
        <f t="shared" si="1"/>
        <v>0</v>
      </c>
      <c r="G32" s="716">
        <f>SUM(D32:F32)</f>
        <v>0</v>
      </c>
      <c r="H32" s="830">
        <f>$H$12</f>
        <v>3.0350000000000001</v>
      </c>
      <c r="I32" s="717">
        <f>TRUNC(G32*H32%,0)</f>
        <v>0</v>
      </c>
      <c r="J32" s="710"/>
    </row>
    <row r="33" spans="1:10" ht="39.950000000000003" hidden="1" customHeight="1">
      <c r="A33" s="608"/>
      <c r="B33" s="713" t="s">
        <v>237</v>
      </c>
      <c r="C33" s="708"/>
      <c r="D33" s="715"/>
      <c r="E33" s="715"/>
      <c r="F33" s="715"/>
      <c r="G33" s="715"/>
      <c r="H33" s="830">
        <f>$H$13</f>
        <v>6.55</v>
      </c>
      <c r="I33" s="717">
        <f>TRUNC(I32*H33%,0)</f>
        <v>0</v>
      </c>
      <c r="J33" s="710" t="s">
        <v>215</v>
      </c>
    </row>
    <row r="34" spans="1:10" ht="39.950000000000003" hidden="1" customHeight="1">
      <c r="A34" s="718"/>
      <c r="B34" s="719" t="s">
        <v>81</v>
      </c>
      <c r="C34" s="720"/>
      <c r="D34" s="715">
        <f>D32</f>
        <v>0</v>
      </c>
      <c r="E34" s="715">
        <f>E32</f>
        <v>0</v>
      </c>
      <c r="F34" s="715">
        <f>F32</f>
        <v>0</v>
      </c>
      <c r="G34" s="716">
        <f>SUM(D34:F34)</f>
        <v>0</v>
      </c>
      <c r="H34" s="830">
        <f>$H$14</f>
        <v>0.08</v>
      </c>
      <c r="I34" s="717">
        <f>TRUNC(G34*H34%,0)</f>
        <v>0</v>
      </c>
      <c r="J34" s="710"/>
    </row>
    <row r="35" spans="1:10" ht="20.100000000000001" hidden="1" customHeight="1">
      <c r="A35" s="721"/>
      <c r="B35" s="722"/>
      <c r="C35" s="723"/>
      <c r="D35" s="724"/>
      <c r="E35" s="724"/>
      <c r="F35" s="724"/>
      <c r="G35" s="725"/>
      <c r="H35" s="726"/>
      <c r="I35" s="727"/>
      <c r="J35" s="706"/>
    </row>
    <row r="36" spans="1:10" ht="45" hidden="1" customHeight="1">
      <c r="A36" s="728"/>
      <c r="B36" s="729" t="s">
        <v>178</v>
      </c>
      <c r="C36" s="730"/>
      <c r="D36" s="731"/>
      <c r="E36" s="732"/>
      <c r="F36" s="732"/>
      <c r="G36" s="733"/>
      <c r="H36" s="733"/>
      <c r="I36" s="732">
        <f>SUM(I29:I35)</f>
        <v>0</v>
      </c>
      <c r="J36" s="734"/>
    </row>
    <row r="37" spans="1:10" s="681" customFormat="1" ht="24.95" hidden="1" customHeight="1">
      <c r="A37" s="679" t="str">
        <f>"주 1) 적용대상액 : "&amp;인집!$A$1&amp;인집!$A$2&amp;" 참조"</f>
        <v>주 1) 적용대상액 : &lt; 표 : 3 &gt; 단위당인건비집계표 참조</v>
      </c>
      <c r="C37" s="679"/>
      <c r="D37" s="679"/>
      <c r="E37" s="680"/>
      <c r="F37" s="680"/>
      <c r="G37" s="604"/>
      <c r="H37" s="604"/>
      <c r="I37" s="604"/>
      <c r="J37" s="735"/>
    </row>
    <row r="38" spans="1:10" s="681" customFormat="1" ht="24.95" hidden="1" customHeight="1">
      <c r="A38" s="679" t="str">
        <f>"   2) 비율(%) : "&amp;보험료산출기준!$A$1&amp;보험료산출기준!$A$2&amp;" 참조"</f>
        <v xml:space="preserve">   2) 비율(%) : &lt; 표 : 13 &gt; 경비산정기준표 참조</v>
      </c>
      <c r="C38" s="679"/>
      <c r="D38" s="679"/>
      <c r="E38" s="680"/>
      <c r="F38" s="680"/>
      <c r="G38" s="604"/>
      <c r="H38" s="604"/>
      <c r="I38" s="604"/>
      <c r="J38" s="735"/>
    </row>
    <row r="39" spans="1:10" s="681" customFormat="1" ht="24.95" hidden="1" customHeight="1">
      <c r="A39" s="683" t="s">
        <v>427</v>
      </c>
      <c r="C39" s="679"/>
      <c r="D39" s="682"/>
      <c r="E39" s="736"/>
      <c r="F39" s="736"/>
      <c r="G39" s="737"/>
      <c r="H39" s="737"/>
      <c r="I39" s="737"/>
    </row>
    <row r="40" spans="1:10" s="681" customFormat="1" ht="24.95" hidden="1" customHeight="1">
      <c r="A40" s="683"/>
      <c r="C40" s="679"/>
      <c r="D40" s="682"/>
      <c r="E40" s="736"/>
      <c r="F40" s="736"/>
      <c r="G40" s="737"/>
      <c r="H40" s="737"/>
      <c r="I40" s="737"/>
    </row>
    <row r="41" spans="1:10" s="681" customFormat="1" ht="24.95" hidden="1" customHeight="1">
      <c r="A41" s="683"/>
      <c r="C41" s="679"/>
      <c r="D41" s="682"/>
      <c r="E41" s="736"/>
      <c r="F41" s="736"/>
      <c r="G41" s="737"/>
      <c r="H41" s="737"/>
      <c r="I41" s="737"/>
    </row>
    <row r="42" spans="1:10" s="681" customFormat="1" ht="24.95" hidden="1" customHeight="1">
      <c r="A42" s="683"/>
      <c r="C42" s="679"/>
      <c r="D42" s="682"/>
      <c r="E42" s="736"/>
      <c r="F42" s="736"/>
      <c r="G42" s="737"/>
      <c r="H42" s="737"/>
      <c r="I42" s="737"/>
    </row>
    <row r="43" spans="1:10" s="681" customFormat="1" ht="24.95" hidden="1" customHeight="1">
      <c r="A43" s="683"/>
      <c r="C43" s="679"/>
      <c r="D43" s="682"/>
      <c r="E43" s="736"/>
      <c r="F43" s="736"/>
      <c r="G43" s="737"/>
      <c r="H43" s="737"/>
      <c r="I43" s="737"/>
    </row>
    <row r="44" spans="1:10" s="681" customFormat="1" ht="20.100000000000001" hidden="1" customHeight="1">
      <c r="A44" s="683"/>
      <c r="C44" s="679"/>
      <c r="D44" s="682"/>
      <c r="E44" s="736"/>
      <c r="F44" s="736"/>
      <c r="G44" s="737"/>
      <c r="H44" s="737"/>
      <c r="I44" s="737"/>
    </row>
    <row r="45" spans="1:10" ht="20.100000000000001" hidden="1" customHeight="1">
      <c r="A45" s="654" t="str">
        <f>원가!A74</f>
        <v xml:space="preserve">구 분 :                        직종명 : </v>
      </c>
      <c r="B45" s="610"/>
      <c r="C45" s="610"/>
      <c r="D45" s="654"/>
      <c r="I45" s="659"/>
      <c r="J45" s="659" t="s">
        <v>36</v>
      </c>
    </row>
    <row r="46" spans="1:10" ht="24.95" hidden="1" customHeight="1">
      <c r="A46" s="1105" t="s">
        <v>71</v>
      </c>
      <c r="B46" s="1106"/>
      <c r="C46" s="1107"/>
      <c r="D46" s="1057" t="s">
        <v>72</v>
      </c>
      <c r="E46" s="1111"/>
      <c r="F46" s="1111"/>
      <c r="G46" s="1058"/>
      <c r="H46" s="1112" t="s">
        <v>206</v>
      </c>
      <c r="I46" s="1114" t="s">
        <v>73</v>
      </c>
      <c r="J46" s="1103" t="s">
        <v>74</v>
      </c>
    </row>
    <row r="47" spans="1:10" ht="24.95" hidden="1" customHeight="1">
      <c r="A47" s="1108"/>
      <c r="B47" s="1109"/>
      <c r="C47" s="1110"/>
      <c r="D47" s="705" t="s">
        <v>75</v>
      </c>
      <c r="E47" s="706" t="s">
        <v>76</v>
      </c>
      <c r="F47" s="706" t="s">
        <v>77</v>
      </c>
      <c r="G47" s="706" t="s">
        <v>55</v>
      </c>
      <c r="H47" s="1113"/>
      <c r="I47" s="1115"/>
      <c r="J47" s="1104"/>
    </row>
    <row r="48" spans="1:10" ht="20.100000000000001" hidden="1" customHeight="1">
      <c r="A48" s="628"/>
      <c r="B48" s="701"/>
      <c r="C48" s="702"/>
      <c r="D48" s="704"/>
      <c r="E48" s="703"/>
      <c r="F48" s="703"/>
      <c r="G48" s="627"/>
      <c r="H48" s="707"/>
      <c r="I48" s="703"/>
      <c r="J48" s="704"/>
    </row>
    <row r="49" spans="1:10" ht="39.950000000000003" hidden="1" customHeight="1">
      <c r="A49" s="608"/>
      <c r="B49" s="612"/>
      <c r="C49" s="708"/>
      <c r="D49" s="709"/>
      <c r="E49" s="710"/>
      <c r="F49" s="710"/>
      <c r="G49" s="607"/>
      <c r="H49" s="711" t="s">
        <v>1</v>
      </c>
      <c r="I49" s="710"/>
      <c r="J49" s="709"/>
    </row>
    <row r="50" spans="1:10" ht="39.950000000000003" hidden="1" customHeight="1">
      <c r="A50" s="712"/>
      <c r="B50" s="713" t="s">
        <v>27</v>
      </c>
      <c r="C50" s="714"/>
      <c r="D50" s="715">
        <f>인집!G8</f>
        <v>0</v>
      </c>
      <c r="E50" s="715">
        <f>인집!H8</f>
        <v>0</v>
      </c>
      <c r="F50" s="715">
        <f>인집!I8</f>
        <v>0</v>
      </c>
      <c r="G50" s="716">
        <f>SUM(D50:F50)</f>
        <v>0</v>
      </c>
      <c r="H50" s="830">
        <f>$H$9</f>
        <v>1.8</v>
      </c>
      <c r="I50" s="717">
        <f>TRUNC(G50*H50%,0)</f>
        <v>0</v>
      </c>
      <c r="J50" s="710"/>
    </row>
    <row r="51" spans="1:10" ht="39.950000000000003" hidden="1" customHeight="1">
      <c r="A51" s="608"/>
      <c r="B51" s="713" t="s">
        <v>78</v>
      </c>
      <c r="C51" s="708"/>
      <c r="D51" s="715">
        <f t="shared" ref="D51:F53" si="2">D50</f>
        <v>0</v>
      </c>
      <c r="E51" s="715">
        <f t="shared" si="2"/>
        <v>0</v>
      </c>
      <c r="F51" s="715">
        <f t="shared" si="2"/>
        <v>0</v>
      </c>
      <c r="G51" s="716">
        <f>SUM(D51:F51)</f>
        <v>0</v>
      </c>
      <c r="H51" s="830">
        <f>$H$10</f>
        <v>4.5</v>
      </c>
      <c r="I51" s="717">
        <f>TRUNC(G51*H51%,0)</f>
        <v>0</v>
      </c>
      <c r="J51" s="710"/>
    </row>
    <row r="52" spans="1:10" ht="39.950000000000003" hidden="1" customHeight="1">
      <c r="A52" s="608"/>
      <c r="B52" s="713" t="s">
        <v>79</v>
      </c>
      <c r="C52" s="708"/>
      <c r="D52" s="715">
        <f t="shared" si="2"/>
        <v>0</v>
      </c>
      <c r="E52" s="715">
        <f t="shared" si="2"/>
        <v>0</v>
      </c>
      <c r="F52" s="715">
        <f t="shared" si="2"/>
        <v>0</v>
      </c>
      <c r="G52" s="716">
        <f>SUM(D52:F52)</f>
        <v>0</v>
      </c>
      <c r="H52" s="830">
        <f>$H$11</f>
        <v>0.9</v>
      </c>
      <c r="I52" s="717">
        <f>TRUNC(G52*H52%,0)</f>
        <v>0</v>
      </c>
      <c r="J52" s="710"/>
    </row>
    <row r="53" spans="1:10" ht="39.950000000000003" hidden="1" customHeight="1">
      <c r="A53" s="608"/>
      <c r="B53" s="713" t="s">
        <v>80</v>
      </c>
      <c r="C53" s="708"/>
      <c r="D53" s="715">
        <f t="shared" si="2"/>
        <v>0</v>
      </c>
      <c r="E53" s="715">
        <f t="shared" si="2"/>
        <v>0</v>
      </c>
      <c r="F53" s="715">
        <f t="shared" si="2"/>
        <v>0</v>
      </c>
      <c r="G53" s="716">
        <f>SUM(D53:F53)</f>
        <v>0</v>
      </c>
      <c r="H53" s="830">
        <f>$H$12</f>
        <v>3.0350000000000001</v>
      </c>
      <c r="I53" s="717">
        <f>TRUNC(G53*H53%,0)</f>
        <v>0</v>
      </c>
      <c r="J53" s="710"/>
    </row>
    <row r="54" spans="1:10" ht="39.950000000000003" hidden="1" customHeight="1">
      <c r="A54" s="608"/>
      <c r="B54" s="713" t="s">
        <v>237</v>
      </c>
      <c r="C54" s="708"/>
      <c r="D54" s="715"/>
      <c r="E54" s="715"/>
      <c r="F54" s="715"/>
      <c r="G54" s="715"/>
      <c r="H54" s="830">
        <f>$H$13</f>
        <v>6.55</v>
      </c>
      <c r="I54" s="717">
        <f>TRUNC(I53*H54%,0)</f>
        <v>0</v>
      </c>
      <c r="J54" s="710" t="s">
        <v>215</v>
      </c>
    </row>
    <row r="55" spans="1:10" ht="39.950000000000003" hidden="1" customHeight="1">
      <c r="A55" s="718"/>
      <c r="B55" s="719" t="s">
        <v>81</v>
      </c>
      <c r="C55" s="720"/>
      <c r="D55" s="715">
        <f>D53</f>
        <v>0</v>
      </c>
      <c r="E55" s="715">
        <f>E53</f>
        <v>0</v>
      </c>
      <c r="F55" s="715">
        <f>F53</f>
        <v>0</v>
      </c>
      <c r="G55" s="716">
        <f>SUM(D55:F55)</f>
        <v>0</v>
      </c>
      <c r="H55" s="830">
        <f>$H$14</f>
        <v>0.08</v>
      </c>
      <c r="I55" s="717">
        <f>TRUNC(G55*H55%,0)</f>
        <v>0</v>
      </c>
      <c r="J55" s="710"/>
    </row>
    <row r="56" spans="1:10" ht="20.100000000000001" hidden="1" customHeight="1">
      <c r="A56" s="721"/>
      <c r="B56" s="722"/>
      <c r="C56" s="723"/>
      <c r="D56" s="724"/>
      <c r="E56" s="724"/>
      <c r="F56" s="724"/>
      <c r="G56" s="725"/>
      <c r="H56" s="726"/>
      <c r="I56" s="727"/>
      <c r="J56" s="706"/>
    </row>
    <row r="57" spans="1:10" ht="45" hidden="1" customHeight="1">
      <c r="A57" s="728"/>
      <c r="B57" s="729" t="s">
        <v>178</v>
      </c>
      <c r="C57" s="730"/>
      <c r="D57" s="731"/>
      <c r="E57" s="732"/>
      <c r="F57" s="732"/>
      <c r="G57" s="733"/>
      <c r="H57" s="733"/>
      <c r="I57" s="732">
        <f>SUM(I50:I56)</f>
        <v>0</v>
      </c>
      <c r="J57" s="734"/>
    </row>
    <row r="58" spans="1:10" s="681" customFormat="1" ht="24.95" hidden="1" customHeight="1">
      <c r="A58" s="679" t="str">
        <f>"주 1) 적용대상액 : "&amp;인집!$A$1&amp;인집!$A$2&amp;" 참조"</f>
        <v>주 1) 적용대상액 : &lt; 표 : 3 &gt; 단위당인건비집계표 참조</v>
      </c>
      <c r="C58" s="679"/>
      <c r="D58" s="679"/>
      <c r="E58" s="680"/>
      <c r="F58" s="680"/>
      <c r="G58" s="604"/>
      <c r="H58" s="604"/>
      <c r="I58" s="604"/>
      <c r="J58" s="735"/>
    </row>
    <row r="59" spans="1:10" s="681" customFormat="1" ht="24.95" hidden="1" customHeight="1">
      <c r="A59" s="679" t="str">
        <f>"   2) 비율(%) : "&amp;보험료산출기준!$A$1&amp;보험료산출기준!$A$2&amp;" 참조"</f>
        <v xml:space="preserve">   2) 비율(%) : &lt; 표 : 13 &gt; 경비산정기준표 참조</v>
      </c>
      <c r="C59" s="679"/>
      <c r="D59" s="679"/>
      <c r="E59" s="680"/>
      <c r="F59" s="680"/>
      <c r="G59" s="604"/>
      <c r="H59" s="604"/>
      <c r="I59" s="604"/>
      <c r="J59" s="735"/>
    </row>
    <row r="60" spans="1:10" s="681" customFormat="1" ht="24.95" hidden="1" customHeight="1">
      <c r="A60" s="683" t="s">
        <v>427</v>
      </c>
      <c r="C60" s="679"/>
      <c r="D60" s="682"/>
      <c r="E60" s="736"/>
      <c r="F60" s="736"/>
      <c r="G60" s="737"/>
      <c r="H60" s="737"/>
      <c r="I60" s="737"/>
    </row>
    <row r="61" spans="1:10" s="681" customFormat="1" ht="24.95" hidden="1" customHeight="1">
      <c r="A61" s="683"/>
      <c r="C61" s="679"/>
      <c r="D61" s="682"/>
      <c r="E61" s="736"/>
      <c r="F61" s="736"/>
      <c r="G61" s="737"/>
      <c r="H61" s="737"/>
      <c r="I61" s="737"/>
    </row>
    <row r="62" spans="1:10" s="681" customFormat="1" ht="24.95" hidden="1" customHeight="1">
      <c r="A62" s="683"/>
      <c r="C62" s="679"/>
      <c r="D62" s="682"/>
      <c r="E62" s="736"/>
      <c r="F62" s="736"/>
      <c r="G62" s="737"/>
      <c r="H62" s="737"/>
      <c r="I62" s="737"/>
    </row>
    <row r="63" spans="1:10" s="681" customFormat="1" ht="24.95" hidden="1" customHeight="1">
      <c r="A63" s="683"/>
      <c r="C63" s="679"/>
      <c r="D63" s="682"/>
      <c r="E63" s="736"/>
      <c r="F63" s="736"/>
      <c r="G63" s="737"/>
      <c r="H63" s="737"/>
      <c r="I63" s="737"/>
    </row>
    <row r="64" spans="1:10" s="681" customFormat="1" ht="24.95" hidden="1" customHeight="1">
      <c r="A64" s="683"/>
      <c r="C64" s="679"/>
      <c r="D64" s="682"/>
      <c r="E64" s="736"/>
      <c r="F64" s="736"/>
      <c r="G64" s="737"/>
      <c r="H64" s="737"/>
      <c r="I64" s="737"/>
    </row>
    <row r="65" spans="1:10" s="681" customFormat="1" ht="20.100000000000001" hidden="1" customHeight="1">
      <c r="A65" s="683"/>
      <c r="C65" s="679"/>
      <c r="D65" s="682"/>
      <c r="E65" s="736"/>
      <c r="F65" s="736"/>
      <c r="G65" s="737"/>
      <c r="H65" s="737"/>
      <c r="I65" s="737"/>
    </row>
    <row r="66" spans="1:10" ht="20.100000000000001" hidden="1" customHeight="1">
      <c r="A66" s="654" t="str">
        <f>원가!A109</f>
        <v xml:space="preserve">구 분 :                        직종명 : </v>
      </c>
      <c r="B66" s="610"/>
      <c r="C66" s="610"/>
      <c r="D66" s="654"/>
      <c r="I66" s="659"/>
      <c r="J66" s="659" t="s">
        <v>36</v>
      </c>
    </row>
    <row r="67" spans="1:10" ht="24.95" hidden="1" customHeight="1">
      <c r="A67" s="1105" t="s">
        <v>71</v>
      </c>
      <c r="B67" s="1106"/>
      <c r="C67" s="1107"/>
      <c r="D67" s="1057" t="s">
        <v>72</v>
      </c>
      <c r="E67" s="1111"/>
      <c r="F67" s="1111"/>
      <c r="G67" s="1058"/>
      <c r="H67" s="1112" t="s">
        <v>206</v>
      </c>
      <c r="I67" s="1114" t="s">
        <v>73</v>
      </c>
      <c r="J67" s="1103" t="s">
        <v>74</v>
      </c>
    </row>
    <row r="68" spans="1:10" ht="24.95" hidden="1" customHeight="1">
      <c r="A68" s="1108"/>
      <c r="B68" s="1109"/>
      <c r="C68" s="1110"/>
      <c r="D68" s="705" t="s">
        <v>75</v>
      </c>
      <c r="E68" s="706" t="s">
        <v>76</v>
      </c>
      <c r="F68" s="706" t="s">
        <v>77</v>
      </c>
      <c r="G68" s="706" t="s">
        <v>55</v>
      </c>
      <c r="H68" s="1113"/>
      <c r="I68" s="1115"/>
      <c r="J68" s="1104"/>
    </row>
    <row r="69" spans="1:10" ht="20.100000000000001" hidden="1" customHeight="1">
      <c r="A69" s="628"/>
      <c r="B69" s="701"/>
      <c r="C69" s="702"/>
      <c r="D69" s="704"/>
      <c r="E69" s="703"/>
      <c r="F69" s="703"/>
      <c r="G69" s="627"/>
      <c r="H69" s="707"/>
      <c r="I69" s="703"/>
      <c r="J69" s="704"/>
    </row>
    <row r="70" spans="1:10" ht="39.950000000000003" hidden="1" customHeight="1">
      <c r="A70" s="608"/>
      <c r="B70" s="612"/>
      <c r="C70" s="708"/>
      <c r="D70" s="709"/>
      <c r="E70" s="710"/>
      <c r="F70" s="710"/>
      <c r="G70" s="607"/>
      <c r="H70" s="711" t="s">
        <v>1</v>
      </c>
      <c r="I70" s="710"/>
      <c r="J70" s="709"/>
    </row>
    <row r="71" spans="1:10" ht="39.950000000000003" hidden="1" customHeight="1">
      <c r="A71" s="712"/>
      <c r="B71" s="713" t="s">
        <v>27</v>
      </c>
      <c r="C71" s="714"/>
      <c r="D71" s="715">
        <f>인집!G9</f>
        <v>0</v>
      </c>
      <c r="E71" s="715">
        <f>인집!H9</f>
        <v>0</v>
      </c>
      <c r="F71" s="715">
        <f>인집!I9</f>
        <v>0</v>
      </c>
      <c r="G71" s="716">
        <f>SUM(D71:F71)</f>
        <v>0</v>
      </c>
      <c r="H71" s="830">
        <f>$H$9</f>
        <v>1.8</v>
      </c>
      <c r="I71" s="717">
        <f>TRUNC(G71*H71%,0)</f>
        <v>0</v>
      </c>
      <c r="J71" s="710"/>
    </row>
    <row r="72" spans="1:10" ht="39.950000000000003" hidden="1" customHeight="1">
      <c r="A72" s="608"/>
      <c r="B72" s="713" t="s">
        <v>78</v>
      </c>
      <c r="C72" s="708"/>
      <c r="D72" s="715">
        <f t="shared" ref="D72:F74" si="3">D71</f>
        <v>0</v>
      </c>
      <c r="E72" s="715">
        <f t="shared" si="3"/>
        <v>0</v>
      </c>
      <c r="F72" s="715">
        <f t="shared" si="3"/>
        <v>0</v>
      </c>
      <c r="G72" s="716">
        <f>SUM(D72:F72)</f>
        <v>0</v>
      </c>
      <c r="H72" s="830">
        <f>$H$10</f>
        <v>4.5</v>
      </c>
      <c r="I72" s="717">
        <f>TRUNC(G72*H72%,0)</f>
        <v>0</v>
      </c>
      <c r="J72" s="710"/>
    </row>
    <row r="73" spans="1:10" ht="39.950000000000003" hidden="1" customHeight="1">
      <c r="A73" s="608"/>
      <c r="B73" s="713" t="s">
        <v>79</v>
      </c>
      <c r="C73" s="708"/>
      <c r="D73" s="715">
        <f t="shared" si="3"/>
        <v>0</v>
      </c>
      <c r="E73" s="715">
        <f t="shared" si="3"/>
        <v>0</v>
      </c>
      <c r="F73" s="715">
        <f t="shared" si="3"/>
        <v>0</v>
      </c>
      <c r="G73" s="716">
        <f>SUM(D73:F73)</f>
        <v>0</v>
      </c>
      <c r="H73" s="830">
        <f>$H$11</f>
        <v>0.9</v>
      </c>
      <c r="I73" s="717">
        <f>TRUNC(G73*H73%,0)</f>
        <v>0</v>
      </c>
      <c r="J73" s="710"/>
    </row>
    <row r="74" spans="1:10" ht="39.950000000000003" hidden="1" customHeight="1">
      <c r="A74" s="608"/>
      <c r="B74" s="713" t="s">
        <v>80</v>
      </c>
      <c r="C74" s="708"/>
      <c r="D74" s="715">
        <f t="shared" si="3"/>
        <v>0</v>
      </c>
      <c r="E74" s="715">
        <f t="shared" si="3"/>
        <v>0</v>
      </c>
      <c r="F74" s="715">
        <f t="shared" si="3"/>
        <v>0</v>
      </c>
      <c r="G74" s="716">
        <f>SUM(D74:F74)</f>
        <v>0</v>
      </c>
      <c r="H74" s="830">
        <f>$H$12</f>
        <v>3.0350000000000001</v>
      </c>
      <c r="I74" s="717">
        <f>TRUNC(G74*H74%,0)</f>
        <v>0</v>
      </c>
      <c r="J74" s="710"/>
    </row>
    <row r="75" spans="1:10" ht="39.950000000000003" hidden="1" customHeight="1">
      <c r="A75" s="608"/>
      <c r="B75" s="713" t="s">
        <v>237</v>
      </c>
      <c r="C75" s="708"/>
      <c r="D75" s="715"/>
      <c r="E75" s="715"/>
      <c r="F75" s="715"/>
      <c r="G75" s="715"/>
      <c r="H75" s="830">
        <f>$H$13</f>
        <v>6.55</v>
      </c>
      <c r="I75" s="717">
        <f>TRUNC(I74*H75%,0)</f>
        <v>0</v>
      </c>
      <c r="J75" s="710" t="s">
        <v>215</v>
      </c>
    </row>
    <row r="76" spans="1:10" ht="39.950000000000003" hidden="1" customHeight="1">
      <c r="A76" s="718"/>
      <c r="B76" s="719" t="s">
        <v>81</v>
      </c>
      <c r="C76" s="720"/>
      <c r="D76" s="715">
        <f>D74</f>
        <v>0</v>
      </c>
      <c r="E76" s="715">
        <f>E74</f>
        <v>0</v>
      </c>
      <c r="F76" s="715">
        <f>F74</f>
        <v>0</v>
      </c>
      <c r="G76" s="716">
        <f>SUM(D76:F76)</f>
        <v>0</v>
      </c>
      <c r="H76" s="830">
        <f>$H$14</f>
        <v>0.08</v>
      </c>
      <c r="I76" s="717">
        <f>TRUNC(G76*H76%,0)</f>
        <v>0</v>
      </c>
      <c r="J76" s="710"/>
    </row>
    <row r="77" spans="1:10" ht="20.100000000000001" hidden="1" customHeight="1">
      <c r="A77" s="721"/>
      <c r="B77" s="722"/>
      <c r="C77" s="723"/>
      <c r="D77" s="724"/>
      <c r="E77" s="724"/>
      <c r="F77" s="724"/>
      <c r="G77" s="725"/>
      <c r="H77" s="726"/>
      <c r="I77" s="727"/>
      <c r="J77" s="706"/>
    </row>
    <row r="78" spans="1:10" ht="45" hidden="1" customHeight="1">
      <c r="A78" s="728"/>
      <c r="B78" s="729" t="s">
        <v>178</v>
      </c>
      <c r="C78" s="730"/>
      <c r="D78" s="731"/>
      <c r="E78" s="732"/>
      <c r="F78" s="732"/>
      <c r="G78" s="733"/>
      <c r="H78" s="733"/>
      <c r="I78" s="732">
        <f>SUM(I71:I77)</f>
        <v>0</v>
      </c>
      <c r="J78" s="734"/>
    </row>
    <row r="79" spans="1:10" s="681" customFormat="1" ht="24.95" hidden="1" customHeight="1">
      <c r="A79" s="679" t="str">
        <f>"주 1) 적용대상액 : "&amp;인집!$A$1&amp;인집!$A$2&amp;" 참조"</f>
        <v>주 1) 적용대상액 : &lt; 표 : 3 &gt; 단위당인건비집계표 참조</v>
      </c>
      <c r="C79" s="679"/>
      <c r="D79" s="679"/>
      <c r="E79" s="680"/>
      <c r="F79" s="680"/>
      <c r="G79" s="604"/>
      <c r="H79" s="604"/>
      <c r="I79" s="604"/>
      <c r="J79" s="735"/>
    </row>
    <row r="80" spans="1:10" s="681" customFormat="1" ht="24.95" hidden="1" customHeight="1">
      <c r="A80" s="679" t="str">
        <f>"   2) 비율(%) : "&amp;보험료산출기준!$A$1&amp;보험료산출기준!$A$2&amp;" 참조"</f>
        <v xml:space="preserve">   2) 비율(%) : &lt; 표 : 13 &gt; 경비산정기준표 참조</v>
      </c>
      <c r="C80" s="679"/>
      <c r="D80" s="679"/>
      <c r="E80" s="680"/>
      <c r="F80" s="680"/>
      <c r="G80" s="604"/>
      <c r="H80" s="604"/>
      <c r="I80" s="604"/>
      <c r="J80" s="735"/>
    </row>
    <row r="81" spans="1:10" s="681" customFormat="1" ht="24.95" hidden="1" customHeight="1">
      <c r="A81" s="683" t="s">
        <v>427</v>
      </c>
      <c r="C81" s="679"/>
      <c r="D81" s="682"/>
      <c r="E81" s="736"/>
      <c r="F81" s="736"/>
      <c r="G81" s="737"/>
      <c r="H81" s="737"/>
      <c r="I81" s="737"/>
    </row>
    <row r="82" spans="1:10" s="681" customFormat="1" ht="24.95" hidden="1" customHeight="1">
      <c r="A82" s="683"/>
      <c r="C82" s="679"/>
      <c r="D82" s="682"/>
      <c r="E82" s="736"/>
      <c r="F82" s="736"/>
      <c r="G82" s="737"/>
      <c r="H82" s="737"/>
      <c r="I82" s="737"/>
    </row>
    <row r="83" spans="1:10" s="681" customFormat="1" ht="24.95" hidden="1" customHeight="1">
      <c r="A83" s="683"/>
      <c r="C83" s="679"/>
      <c r="D83" s="682"/>
      <c r="E83" s="736"/>
      <c r="F83" s="736"/>
      <c r="G83" s="737"/>
      <c r="H83" s="737"/>
      <c r="I83" s="737"/>
    </row>
    <row r="84" spans="1:10" s="681" customFormat="1" ht="24.95" hidden="1" customHeight="1">
      <c r="A84" s="683"/>
      <c r="C84" s="679"/>
      <c r="D84" s="682"/>
      <c r="E84" s="736"/>
      <c r="F84" s="736"/>
      <c r="G84" s="737"/>
      <c r="H84" s="737"/>
      <c r="I84" s="737"/>
    </row>
    <row r="85" spans="1:10" s="681" customFormat="1" ht="24.95" hidden="1" customHeight="1">
      <c r="A85" s="683"/>
      <c r="C85" s="679"/>
      <c r="D85" s="682"/>
      <c r="E85" s="736"/>
      <c r="F85" s="736"/>
      <c r="G85" s="737"/>
      <c r="H85" s="737"/>
      <c r="I85" s="737"/>
    </row>
    <row r="86" spans="1:10" s="681" customFormat="1" ht="20.100000000000001" hidden="1" customHeight="1">
      <c r="A86" s="683"/>
      <c r="C86" s="679"/>
      <c r="D86" s="682"/>
      <c r="E86" s="736"/>
      <c r="F86" s="736"/>
      <c r="G86" s="737"/>
      <c r="H86" s="737"/>
      <c r="I86" s="737"/>
    </row>
    <row r="87" spans="1:10" ht="20.100000000000001" hidden="1" customHeight="1">
      <c r="A87" s="654" t="str">
        <f>원가!A144</f>
        <v xml:space="preserve">구 분 :                        직종명 : </v>
      </c>
      <c r="B87" s="610"/>
      <c r="C87" s="610"/>
      <c r="D87" s="654"/>
      <c r="I87" s="659"/>
      <c r="J87" s="659" t="s">
        <v>36</v>
      </c>
    </row>
    <row r="88" spans="1:10" ht="24.95" hidden="1" customHeight="1">
      <c r="A88" s="1105" t="s">
        <v>71</v>
      </c>
      <c r="B88" s="1106"/>
      <c r="C88" s="1107"/>
      <c r="D88" s="1057" t="s">
        <v>72</v>
      </c>
      <c r="E88" s="1111"/>
      <c r="F88" s="1111"/>
      <c r="G88" s="1058"/>
      <c r="H88" s="1112" t="s">
        <v>206</v>
      </c>
      <c r="I88" s="1114" t="s">
        <v>73</v>
      </c>
      <c r="J88" s="1103" t="s">
        <v>74</v>
      </c>
    </row>
    <row r="89" spans="1:10" ht="24.95" hidden="1" customHeight="1">
      <c r="A89" s="1108"/>
      <c r="B89" s="1109"/>
      <c r="C89" s="1110"/>
      <c r="D89" s="705" t="s">
        <v>75</v>
      </c>
      <c r="E89" s="706" t="s">
        <v>76</v>
      </c>
      <c r="F89" s="706" t="s">
        <v>77</v>
      </c>
      <c r="G89" s="706" t="s">
        <v>55</v>
      </c>
      <c r="H89" s="1113"/>
      <c r="I89" s="1115"/>
      <c r="J89" s="1104"/>
    </row>
    <row r="90" spans="1:10" ht="20.100000000000001" hidden="1" customHeight="1">
      <c r="A90" s="628"/>
      <c r="B90" s="701"/>
      <c r="C90" s="702"/>
      <c r="D90" s="704"/>
      <c r="E90" s="703"/>
      <c r="F90" s="703"/>
      <c r="G90" s="627"/>
      <c r="H90" s="707"/>
      <c r="I90" s="703"/>
      <c r="J90" s="704"/>
    </row>
    <row r="91" spans="1:10" ht="39.950000000000003" hidden="1" customHeight="1">
      <c r="A91" s="608"/>
      <c r="B91" s="612"/>
      <c r="C91" s="708"/>
      <c r="D91" s="709"/>
      <c r="E91" s="710"/>
      <c r="F91" s="710"/>
      <c r="G91" s="607"/>
      <c r="H91" s="711" t="s">
        <v>1</v>
      </c>
      <c r="I91" s="710"/>
      <c r="J91" s="709"/>
    </row>
    <row r="92" spans="1:10" ht="39.950000000000003" hidden="1" customHeight="1">
      <c r="A92" s="712"/>
      <c r="B92" s="713" t="s">
        <v>27</v>
      </c>
      <c r="C92" s="714"/>
      <c r="D92" s="715">
        <f>인집!G10</f>
        <v>0</v>
      </c>
      <c r="E92" s="715">
        <f>인집!H10</f>
        <v>0</v>
      </c>
      <c r="F92" s="715">
        <f>인집!I10</f>
        <v>0</v>
      </c>
      <c r="G92" s="716">
        <f>SUM(D92:F92)</f>
        <v>0</v>
      </c>
      <c r="H92" s="830">
        <f>$H$9</f>
        <v>1.8</v>
      </c>
      <c r="I92" s="717">
        <f>TRUNC(G92*H92%,0)</f>
        <v>0</v>
      </c>
      <c r="J92" s="710"/>
    </row>
    <row r="93" spans="1:10" ht="39.950000000000003" hidden="1" customHeight="1">
      <c r="A93" s="608"/>
      <c r="B93" s="713" t="s">
        <v>78</v>
      </c>
      <c r="C93" s="708"/>
      <c r="D93" s="715">
        <f t="shared" ref="D93:F95" si="4">D92</f>
        <v>0</v>
      </c>
      <c r="E93" s="715">
        <f t="shared" si="4"/>
        <v>0</v>
      </c>
      <c r="F93" s="715">
        <f t="shared" si="4"/>
        <v>0</v>
      </c>
      <c r="G93" s="716">
        <f>SUM(D93:F93)</f>
        <v>0</v>
      </c>
      <c r="H93" s="830">
        <f>$H$10</f>
        <v>4.5</v>
      </c>
      <c r="I93" s="717">
        <f>TRUNC(G93*H93%,0)</f>
        <v>0</v>
      </c>
      <c r="J93" s="710"/>
    </row>
    <row r="94" spans="1:10" ht="39.950000000000003" hidden="1" customHeight="1">
      <c r="A94" s="608"/>
      <c r="B94" s="713" t="s">
        <v>79</v>
      </c>
      <c r="C94" s="708"/>
      <c r="D94" s="715">
        <f t="shared" si="4"/>
        <v>0</v>
      </c>
      <c r="E94" s="715">
        <f t="shared" si="4"/>
        <v>0</v>
      </c>
      <c r="F94" s="715">
        <f t="shared" si="4"/>
        <v>0</v>
      </c>
      <c r="G94" s="716">
        <f>SUM(D94:F94)</f>
        <v>0</v>
      </c>
      <c r="H94" s="830">
        <f>$H$11</f>
        <v>0.9</v>
      </c>
      <c r="I94" s="717">
        <f>TRUNC(G94*H94%,0)</f>
        <v>0</v>
      </c>
      <c r="J94" s="710"/>
    </row>
    <row r="95" spans="1:10" ht="39.950000000000003" hidden="1" customHeight="1">
      <c r="A95" s="608"/>
      <c r="B95" s="713" t="s">
        <v>80</v>
      </c>
      <c r="C95" s="708"/>
      <c r="D95" s="715">
        <f t="shared" si="4"/>
        <v>0</v>
      </c>
      <c r="E95" s="715">
        <f t="shared" si="4"/>
        <v>0</v>
      </c>
      <c r="F95" s="715">
        <f t="shared" si="4"/>
        <v>0</v>
      </c>
      <c r="G95" s="716">
        <f>SUM(D95:F95)</f>
        <v>0</v>
      </c>
      <c r="H95" s="830">
        <f>$H$12</f>
        <v>3.0350000000000001</v>
      </c>
      <c r="I95" s="717">
        <f>TRUNC(G95*H95%,0)</f>
        <v>0</v>
      </c>
      <c r="J95" s="710"/>
    </row>
    <row r="96" spans="1:10" ht="39.950000000000003" hidden="1" customHeight="1">
      <c r="A96" s="608"/>
      <c r="B96" s="713" t="s">
        <v>237</v>
      </c>
      <c r="C96" s="708"/>
      <c r="D96" s="715"/>
      <c r="E96" s="715"/>
      <c r="F96" s="715"/>
      <c r="G96" s="715"/>
      <c r="H96" s="830">
        <f>$H$13</f>
        <v>6.55</v>
      </c>
      <c r="I96" s="717">
        <f>TRUNC(I95*H96%,0)</f>
        <v>0</v>
      </c>
      <c r="J96" s="710" t="s">
        <v>215</v>
      </c>
    </row>
    <row r="97" spans="1:10" ht="39.950000000000003" hidden="1" customHeight="1">
      <c r="A97" s="718"/>
      <c r="B97" s="719" t="s">
        <v>81</v>
      </c>
      <c r="C97" s="720"/>
      <c r="D97" s="715">
        <f>D95</f>
        <v>0</v>
      </c>
      <c r="E97" s="715">
        <f>E95</f>
        <v>0</v>
      </c>
      <c r="F97" s="715">
        <f>F95</f>
        <v>0</v>
      </c>
      <c r="G97" s="716">
        <f>SUM(D97:F97)</f>
        <v>0</v>
      </c>
      <c r="H97" s="830">
        <f>$H$14</f>
        <v>0.08</v>
      </c>
      <c r="I97" s="717">
        <f>TRUNC(G97*H97%,0)</f>
        <v>0</v>
      </c>
      <c r="J97" s="710"/>
    </row>
    <row r="98" spans="1:10" ht="20.100000000000001" hidden="1" customHeight="1">
      <c r="A98" s="721"/>
      <c r="B98" s="722"/>
      <c r="C98" s="723"/>
      <c r="D98" s="724"/>
      <c r="E98" s="724"/>
      <c r="F98" s="724"/>
      <c r="G98" s="725"/>
      <c r="H98" s="726"/>
      <c r="I98" s="727"/>
      <c r="J98" s="706"/>
    </row>
    <row r="99" spans="1:10" ht="45" hidden="1" customHeight="1">
      <c r="A99" s="728"/>
      <c r="B99" s="729" t="s">
        <v>178</v>
      </c>
      <c r="C99" s="730"/>
      <c r="D99" s="731"/>
      <c r="E99" s="732"/>
      <c r="F99" s="732"/>
      <c r="G99" s="733"/>
      <c r="H99" s="733"/>
      <c r="I99" s="732">
        <f>SUM(I92:I98)</f>
        <v>0</v>
      </c>
      <c r="J99" s="734"/>
    </row>
    <row r="100" spans="1:10" s="681" customFormat="1" ht="24.95" hidden="1" customHeight="1">
      <c r="A100" s="679" t="str">
        <f>"주 1) 적용대상액 : "&amp;인집!$A$1&amp;인집!$A$2&amp;" 참조"</f>
        <v>주 1) 적용대상액 : &lt; 표 : 3 &gt; 단위당인건비집계표 참조</v>
      </c>
      <c r="C100" s="679"/>
      <c r="D100" s="679"/>
      <c r="E100" s="680"/>
      <c r="F100" s="680"/>
      <c r="G100" s="604"/>
      <c r="H100" s="604"/>
      <c r="I100" s="604"/>
      <c r="J100" s="735"/>
    </row>
    <row r="101" spans="1:10" s="681" customFormat="1" ht="24.95" hidden="1" customHeight="1">
      <c r="A101" s="679" t="str">
        <f>"   2) 비율(%) : "&amp;보험료산출기준!$A$1&amp;보험료산출기준!$A$2&amp;" 참조"</f>
        <v xml:space="preserve">   2) 비율(%) : &lt; 표 : 13 &gt; 경비산정기준표 참조</v>
      </c>
      <c r="C101" s="679"/>
      <c r="D101" s="679"/>
      <c r="E101" s="680"/>
      <c r="F101" s="680"/>
      <c r="G101" s="604"/>
      <c r="H101" s="604"/>
      <c r="I101" s="604"/>
      <c r="J101" s="735"/>
    </row>
    <row r="102" spans="1:10" s="681" customFormat="1" ht="24.95" hidden="1" customHeight="1">
      <c r="A102" s="683" t="s">
        <v>427</v>
      </c>
      <c r="C102" s="679"/>
      <c r="D102" s="682"/>
      <c r="E102" s="736"/>
      <c r="F102" s="736"/>
      <c r="G102" s="737"/>
      <c r="H102" s="737"/>
      <c r="I102" s="737"/>
    </row>
    <row r="103" spans="1:10" s="681" customFormat="1" ht="24.95" hidden="1" customHeight="1">
      <c r="A103" s="683"/>
      <c r="C103" s="679"/>
      <c r="D103" s="682"/>
      <c r="E103" s="736"/>
      <c r="F103" s="736"/>
      <c r="G103" s="737"/>
      <c r="H103" s="737"/>
      <c r="I103" s="737"/>
    </row>
    <row r="104" spans="1:10" s="681" customFormat="1" ht="24.95" hidden="1" customHeight="1">
      <c r="A104" s="683"/>
      <c r="C104" s="679"/>
      <c r="D104" s="682"/>
      <c r="E104" s="736"/>
      <c r="F104" s="736"/>
      <c r="G104" s="737"/>
      <c r="H104" s="737"/>
      <c r="I104" s="737"/>
    </row>
    <row r="105" spans="1:10" s="681" customFormat="1" ht="24.95" hidden="1" customHeight="1">
      <c r="A105" s="683"/>
      <c r="C105" s="679"/>
      <c r="D105" s="682"/>
      <c r="E105" s="736"/>
      <c r="F105" s="736"/>
      <c r="G105" s="737"/>
      <c r="H105" s="737"/>
      <c r="I105" s="737"/>
    </row>
    <row r="106" spans="1:10" s="681" customFormat="1" ht="24.95" hidden="1" customHeight="1">
      <c r="A106" s="683"/>
      <c r="C106" s="679"/>
      <c r="D106" s="682"/>
      <c r="E106" s="736"/>
      <c r="F106" s="736"/>
      <c r="G106" s="737"/>
      <c r="H106" s="737"/>
      <c r="I106" s="737"/>
    </row>
    <row r="107" spans="1:10" s="681" customFormat="1" ht="20.100000000000001" hidden="1" customHeight="1">
      <c r="A107" s="683"/>
      <c r="C107" s="679"/>
      <c r="D107" s="682"/>
      <c r="E107" s="736"/>
      <c r="F107" s="736"/>
      <c r="G107" s="737"/>
      <c r="H107" s="737"/>
      <c r="I107" s="737"/>
    </row>
    <row r="108" spans="1:10" ht="20.100000000000001" hidden="1" customHeight="1">
      <c r="A108" s="654" t="str">
        <f>원가!A179</f>
        <v xml:space="preserve">구 분 :                        직종명 : </v>
      </c>
      <c r="B108" s="610"/>
      <c r="C108" s="610"/>
      <c r="D108" s="654"/>
      <c r="I108" s="659"/>
      <c r="J108" s="659" t="s">
        <v>36</v>
      </c>
    </row>
    <row r="109" spans="1:10" ht="24.95" hidden="1" customHeight="1">
      <c r="A109" s="1105" t="s">
        <v>71</v>
      </c>
      <c r="B109" s="1106"/>
      <c r="C109" s="1107"/>
      <c r="D109" s="1057" t="s">
        <v>72</v>
      </c>
      <c r="E109" s="1111"/>
      <c r="F109" s="1111"/>
      <c r="G109" s="1058"/>
      <c r="H109" s="1112" t="s">
        <v>206</v>
      </c>
      <c r="I109" s="1114" t="s">
        <v>73</v>
      </c>
      <c r="J109" s="1103" t="s">
        <v>74</v>
      </c>
    </row>
    <row r="110" spans="1:10" ht="24.95" hidden="1" customHeight="1">
      <c r="A110" s="1108"/>
      <c r="B110" s="1109"/>
      <c r="C110" s="1110"/>
      <c r="D110" s="705" t="s">
        <v>75</v>
      </c>
      <c r="E110" s="706" t="s">
        <v>76</v>
      </c>
      <c r="F110" s="706" t="s">
        <v>77</v>
      </c>
      <c r="G110" s="706" t="s">
        <v>55</v>
      </c>
      <c r="H110" s="1113"/>
      <c r="I110" s="1115"/>
      <c r="J110" s="1104"/>
    </row>
    <row r="111" spans="1:10" ht="20.100000000000001" hidden="1" customHeight="1">
      <c r="A111" s="628"/>
      <c r="B111" s="701"/>
      <c r="C111" s="702"/>
      <c r="D111" s="704"/>
      <c r="E111" s="703"/>
      <c r="F111" s="703"/>
      <c r="G111" s="627"/>
      <c r="H111" s="707"/>
      <c r="I111" s="703"/>
      <c r="J111" s="704"/>
    </row>
    <row r="112" spans="1:10" ht="39.950000000000003" hidden="1" customHeight="1">
      <c r="A112" s="608"/>
      <c r="B112" s="612"/>
      <c r="C112" s="708"/>
      <c r="D112" s="709"/>
      <c r="E112" s="710"/>
      <c r="F112" s="710"/>
      <c r="G112" s="607"/>
      <c r="H112" s="711" t="s">
        <v>1</v>
      </c>
      <c r="I112" s="710"/>
      <c r="J112" s="709"/>
    </row>
    <row r="113" spans="1:10" ht="39.950000000000003" hidden="1" customHeight="1">
      <c r="A113" s="712"/>
      <c r="B113" s="713" t="s">
        <v>27</v>
      </c>
      <c r="C113" s="714"/>
      <c r="D113" s="715">
        <f>인집!G11</f>
        <v>0</v>
      </c>
      <c r="E113" s="715">
        <f>인집!H11</f>
        <v>0</v>
      </c>
      <c r="F113" s="715">
        <f>인집!I11</f>
        <v>0</v>
      </c>
      <c r="G113" s="716">
        <f>SUM(D113:F113)</f>
        <v>0</v>
      </c>
      <c r="H113" s="830">
        <f>$H$9</f>
        <v>1.8</v>
      </c>
      <c r="I113" s="717">
        <f>TRUNC(G113*H113%,0)</f>
        <v>0</v>
      </c>
      <c r="J113" s="710"/>
    </row>
    <row r="114" spans="1:10" ht="39.950000000000003" hidden="1" customHeight="1">
      <c r="A114" s="608"/>
      <c r="B114" s="713" t="s">
        <v>78</v>
      </c>
      <c r="C114" s="708"/>
      <c r="D114" s="715">
        <f t="shared" ref="D114:F116" si="5">D113</f>
        <v>0</v>
      </c>
      <c r="E114" s="715">
        <f t="shared" si="5"/>
        <v>0</v>
      </c>
      <c r="F114" s="715">
        <f t="shared" si="5"/>
        <v>0</v>
      </c>
      <c r="G114" s="716">
        <f>SUM(D114:F114)</f>
        <v>0</v>
      </c>
      <c r="H114" s="830">
        <f>$H$10</f>
        <v>4.5</v>
      </c>
      <c r="I114" s="717">
        <f>TRUNC(G114*H114%,0)</f>
        <v>0</v>
      </c>
      <c r="J114" s="710"/>
    </row>
    <row r="115" spans="1:10" ht="39.950000000000003" hidden="1" customHeight="1">
      <c r="A115" s="608"/>
      <c r="B115" s="713" t="s">
        <v>79</v>
      </c>
      <c r="C115" s="708"/>
      <c r="D115" s="715">
        <f t="shared" si="5"/>
        <v>0</v>
      </c>
      <c r="E115" s="715">
        <f t="shared" si="5"/>
        <v>0</v>
      </c>
      <c r="F115" s="715">
        <f t="shared" si="5"/>
        <v>0</v>
      </c>
      <c r="G115" s="716">
        <f>SUM(D115:F115)</f>
        <v>0</v>
      </c>
      <c r="H115" s="830">
        <f>$H$11</f>
        <v>0.9</v>
      </c>
      <c r="I115" s="717">
        <f>TRUNC(G115*H115%,0)</f>
        <v>0</v>
      </c>
      <c r="J115" s="710"/>
    </row>
    <row r="116" spans="1:10" ht="39.950000000000003" hidden="1" customHeight="1">
      <c r="A116" s="608"/>
      <c r="B116" s="713" t="s">
        <v>80</v>
      </c>
      <c r="C116" s="708"/>
      <c r="D116" s="715">
        <f t="shared" si="5"/>
        <v>0</v>
      </c>
      <c r="E116" s="715">
        <f t="shared" si="5"/>
        <v>0</v>
      </c>
      <c r="F116" s="715">
        <f t="shared" si="5"/>
        <v>0</v>
      </c>
      <c r="G116" s="716">
        <f>SUM(D116:F116)</f>
        <v>0</v>
      </c>
      <c r="H116" s="830">
        <f>$H$12</f>
        <v>3.0350000000000001</v>
      </c>
      <c r="I116" s="717">
        <f>TRUNC(G116*H116%,0)</f>
        <v>0</v>
      </c>
      <c r="J116" s="710"/>
    </row>
    <row r="117" spans="1:10" ht="39.950000000000003" hidden="1" customHeight="1">
      <c r="A117" s="608"/>
      <c r="B117" s="713" t="s">
        <v>237</v>
      </c>
      <c r="C117" s="708"/>
      <c r="D117" s="715"/>
      <c r="E117" s="715"/>
      <c r="F117" s="715"/>
      <c r="G117" s="715"/>
      <c r="H117" s="830">
        <f>$H$13</f>
        <v>6.55</v>
      </c>
      <c r="I117" s="717">
        <f>TRUNC(I116*H117%,0)</f>
        <v>0</v>
      </c>
      <c r="J117" s="710" t="s">
        <v>215</v>
      </c>
    </row>
    <row r="118" spans="1:10" ht="39.950000000000003" hidden="1" customHeight="1">
      <c r="A118" s="718"/>
      <c r="B118" s="719" t="s">
        <v>81</v>
      </c>
      <c r="C118" s="720"/>
      <c r="D118" s="715">
        <f>D116</f>
        <v>0</v>
      </c>
      <c r="E118" s="715">
        <f>E116</f>
        <v>0</v>
      </c>
      <c r="F118" s="715">
        <f>F116</f>
        <v>0</v>
      </c>
      <c r="G118" s="716">
        <f>SUM(D118:F118)</f>
        <v>0</v>
      </c>
      <c r="H118" s="830">
        <f>$H$14</f>
        <v>0.08</v>
      </c>
      <c r="I118" s="717">
        <f>TRUNC(G118*H118%,0)</f>
        <v>0</v>
      </c>
      <c r="J118" s="710"/>
    </row>
    <row r="119" spans="1:10" ht="20.100000000000001" hidden="1" customHeight="1">
      <c r="A119" s="721"/>
      <c r="B119" s="722"/>
      <c r="C119" s="723"/>
      <c r="D119" s="724"/>
      <c r="E119" s="724"/>
      <c r="F119" s="724"/>
      <c r="G119" s="725"/>
      <c r="H119" s="726"/>
      <c r="I119" s="727"/>
      <c r="J119" s="706"/>
    </row>
    <row r="120" spans="1:10" ht="45" hidden="1" customHeight="1">
      <c r="A120" s="728"/>
      <c r="B120" s="729" t="s">
        <v>178</v>
      </c>
      <c r="C120" s="730"/>
      <c r="D120" s="731"/>
      <c r="E120" s="732"/>
      <c r="F120" s="732"/>
      <c r="G120" s="733"/>
      <c r="H120" s="733"/>
      <c r="I120" s="732">
        <f>SUM(I113:I119)</f>
        <v>0</v>
      </c>
      <c r="J120" s="734"/>
    </row>
    <row r="121" spans="1:10" s="681" customFormat="1" ht="24.95" hidden="1" customHeight="1">
      <c r="A121" s="679" t="str">
        <f>"주 1) 적용대상액 : "&amp;인집!$A$1&amp;인집!$A$2&amp;" 참조"</f>
        <v>주 1) 적용대상액 : &lt; 표 : 3 &gt; 단위당인건비집계표 참조</v>
      </c>
      <c r="C121" s="679"/>
      <c r="D121" s="679"/>
      <c r="E121" s="680"/>
      <c r="F121" s="680"/>
      <c r="G121" s="604"/>
      <c r="H121" s="604"/>
      <c r="I121" s="604"/>
      <c r="J121" s="735"/>
    </row>
    <row r="122" spans="1:10" s="681" customFormat="1" ht="24.95" hidden="1" customHeight="1">
      <c r="A122" s="679" t="str">
        <f>"   2) 비율(%) : "&amp;보험료산출기준!$A$1&amp;보험료산출기준!$A$2&amp;" 참조"</f>
        <v xml:space="preserve">   2) 비율(%) : &lt; 표 : 13 &gt; 경비산정기준표 참조</v>
      </c>
      <c r="C122" s="679"/>
      <c r="D122" s="679"/>
      <c r="E122" s="680"/>
      <c r="F122" s="680"/>
      <c r="G122" s="604"/>
      <c r="H122" s="604"/>
      <c r="I122" s="604"/>
      <c r="J122" s="735"/>
    </row>
    <row r="123" spans="1:10" s="681" customFormat="1" ht="24.95" hidden="1" customHeight="1">
      <c r="A123" s="683" t="s">
        <v>427</v>
      </c>
      <c r="C123" s="679"/>
      <c r="D123" s="682"/>
      <c r="E123" s="736"/>
      <c r="F123" s="736"/>
      <c r="G123" s="737"/>
      <c r="H123" s="737"/>
      <c r="I123" s="737"/>
    </row>
    <row r="124" spans="1:10" s="681" customFormat="1" ht="24.95" hidden="1" customHeight="1">
      <c r="A124" s="683"/>
      <c r="C124" s="679"/>
      <c r="D124" s="682"/>
      <c r="E124" s="736"/>
      <c r="F124" s="736"/>
      <c r="G124" s="737"/>
      <c r="H124" s="737"/>
      <c r="I124" s="737"/>
    </row>
    <row r="125" spans="1:10" s="681" customFormat="1" ht="24.95" hidden="1" customHeight="1">
      <c r="A125" s="683"/>
      <c r="C125" s="679"/>
      <c r="D125" s="682"/>
      <c r="E125" s="736"/>
      <c r="F125" s="736"/>
      <c r="G125" s="737"/>
      <c r="H125" s="737"/>
      <c r="I125" s="737"/>
    </row>
    <row r="126" spans="1:10" s="681" customFormat="1" ht="24.95" hidden="1" customHeight="1">
      <c r="A126" s="683"/>
      <c r="C126" s="679"/>
      <c r="D126" s="682"/>
      <c r="E126" s="736"/>
      <c r="F126" s="736"/>
      <c r="G126" s="737"/>
      <c r="H126" s="737"/>
      <c r="I126" s="737"/>
    </row>
    <row r="127" spans="1:10" s="681" customFormat="1" ht="24.95" hidden="1" customHeight="1">
      <c r="A127" s="683"/>
      <c r="C127" s="679"/>
      <c r="D127" s="682"/>
      <c r="E127" s="736"/>
      <c r="F127" s="736"/>
      <c r="G127" s="737"/>
      <c r="H127" s="737"/>
      <c r="I127" s="737"/>
    </row>
    <row r="128" spans="1:10" s="681" customFormat="1" ht="20.100000000000001" hidden="1" customHeight="1">
      <c r="A128" s="683"/>
      <c r="C128" s="679"/>
      <c r="D128" s="682"/>
      <c r="E128" s="736"/>
      <c r="F128" s="736"/>
      <c r="G128" s="737"/>
      <c r="H128" s="737"/>
      <c r="I128" s="737"/>
    </row>
    <row r="129" spans="1:10" ht="20.100000000000001" hidden="1" customHeight="1">
      <c r="A129" s="654" t="str">
        <f>원가!A214</f>
        <v xml:space="preserve">구 분 :                        직종명 : </v>
      </c>
      <c r="B129" s="610"/>
      <c r="C129" s="610"/>
      <c r="D129" s="654"/>
      <c r="I129" s="659"/>
      <c r="J129" s="659" t="s">
        <v>36</v>
      </c>
    </row>
    <row r="130" spans="1:10" ht="24.95" hidden="1" customHeight="1">
      <c r="A130" s="1105" t="s">
        <v>71</v>
      </c>
      <c r="B130" s="1106"/>
      <c r="C130" s="1107"/>
      <c r="D130" s="1057" t="s">
        <v>72</v>
      </c>
      <c r="E130" s="1111"/>
      <c r="F130" s="1111"/>
      <c r="G130" s="1058"/>
      <c r="H130" s="1112" t="s">
        <v>206</v>
      </c>
      <c r="I130" s="1114" t="s">
        <v>73</v>
      </c>
      <c r="J130" s="1103" t="s">
        <v>74</v>
      </c>
    </row>
    <row r="131" spans="1:10" ht="24.95" hidden="1" customHeight="1">
      <c r="A131" s="1108"/>
      <c r="B131" s="1109"/>
      <c r="C131" s="1110"/>
      <c r="D131" s="705" t="s">
        <v>75</v>
      </c>
      <c r="E131" s="706" t="s">
        <v>76</v>
      </c>
      <c r="F131" s="706" t="s">
        <v>77</v>
      </c>
      <c r="G131" s="706" t="s">
        <v>55</v>
      </c>
      <c r="H131" s="1113"/>
      <c r="I131" s="1115"/>
      <c r="J131" s="1104"/>
    </row>
    <row r="132" spans="1:10" ht="20.100000000000001" hidden="1" customHeight="1">
      <c r="A132" s="628"/>
      <c r="B132" s="701"/>
      <c r="C132" s="702"/>
      <c r="D132" s="704"/>
      <c r="E132" s="703"/>
      <c r="F132" s="703"/>
      <c r="G132" s="627"/>
      <c r="H132" s="707"/>
      <c r="I132" s="703"/>
      <c r="J132" s="704"/>
    </row>
    <row r="133" spans="1:10" ht="39.950000000000003" hidden="1" customHeight="1">
      <c r="A133" s="608"/>
      <c r="B133" s="612"/>
      <c r="C133" s="708"/>
      <c r="D133" s="709"/>
      <c r="E133" s="710"/>
      <c r="F133" s="710"/>
      <c r="G133" s="607"/>
      <c r="H133" s="711" t="s">
        <v>1</v>
      </c>
      <c r="I133" s="710"/>
      <c r="J133" s="709"/>
    </row>
    <row r="134" spans="1:10" ht="39.950000000000003" hidden="1" customHeight="1">
      <c r="A134" s="712"/>
      <c r="B134" s="713" t="s">
        <v>27</v>
      </c>
      <c r="C134" s="714"/>
      <c r="D134" s="715">
        <f>인집!G12</f>
        <v>0</v>
      </c>
      <c r="E134" s="715">
        <f>인집!H12</f>
        <v>0</v>
      </c>
      <c r="F134" s="715">
        <f>인집!I12</f>
        <v>0</v>
      </c>
      <c r="G134" s="716">
        <f>SUM(D134:F134)</f>
        <v>0</v>
      </c>
      <c r="H134" s="830">
        <f>$H$9</f>
        <v>1.8</v>
      </c>
      <c r="I134" s="717">
        <f>TRUNC(G134*H134%,0)</f>
        <v>0</v>
      </c>
      <c r="J134" s="710"/>
    </row>
    <row r="135" spans="1:10" ht="39.950000000000003" hidden="1" customHeight="1">
      <c r="A135" s="608"/>
      <c r="B135" s="713" t="s">
        <v>78</v>
      </c>
      <c r="C135" s="708"/>
      <c r="D135" s="715">
        <f t="shared" ref="D135:F137" si="6">D134</f>
        <v>0</v>
      </c>
      <c r="E135" s="715">
        <f t="shared" si="6"/>
        <v>0</v>
      </c>
      <c r="F135" s="715">
        <f t="shared" si="6"/>
        <v>0</v>
      </c>
      <c r="G135" s="716">
        <f>SUM(D135:F135)</f>
        <v>0</v>
      </c>
      <c r="H135" s="830">
        <f>$H$10</f>
        <v>4.5</v>
      </c>
      <c r="I135" s="717">
        <f>TRUNC(G135*H135%,0)</f>
        <v>0</v>
      </c>
      <c r="J135" s="710"/>
    </row>
    <row r="136" spans="1:10" ht="39.950000000000003" hidden="1" customHeight="1">
      <c r="A136" s="608"/>
      <c r="B136" s="713" t="s">
        <v>79</v>
      </c>
      <c r="C136" s="708"/>
      <c r="D136" s="715">
        <f t="shared" si="6"/>
        <v>0</v>
      </c>
      <c r="E136" s="715">
        <f t="shared" si="6"/>
        <v>0</v>
      </c>
      <c r="F136" s="715">
        <f t="shared" si="6"/>
        <v>0</v>
      </c>
      <c r="G136" s="716">
        <f>SUM(D136:F136)</f>
        <v>0</v>
      </c>
      <c r="H136" s="830">
        <f>$H$11</f>
        <v>0.9</v>
      </c>
      <c r="I136" s="717">
        <f>TRUNC(G136*H136%,0)</f>
        <v>0</v>
      </c>
      <c r="J136" s="710"/>
    </row>
    <row r="137" spans="1:10" ht="39.950000000000003" hidden="1" customHeight="1">
      <c r="A137" s="608"/>
      <c r="B137" s="713" t="s">
        <v>80</v>
      </c>
      <c r="C137" s="708"/>
      <c r="D137" s="715">
        <f t="shared" si="6"/>
        <v>0</v>
      </c>
      <c r="E137" s="715">
        <f t="shared" si="6"/>
        <v>0</v>
      </c>
      <c r="F137" s="715">
        <f t="shared" si="6"/>
        <v>0</v>
      </c>
      <c r="G137" s="716">
        <f>SUM(D137:F137)</f>
        <v>0</v>
      </c>
      <c r="H137" s="830">
        <f>$H$12</f>
        <v>3.0350000000000001</v>
      </c>
      <c r="I137" s="717">
        <f>TRUNC(G137*H137%,0)</f>
        <v>0</v>
      </c>
      <c r="J137" s="710"/>
    </row>
    <row r="138" spans="1:10" ht="39.950000000000003" hidden="1" customHeight="1">
      <c r="A138" s="608"/>
      <c r="B138" s="713" t="s">
        <v>237</v>
      </c>
      <c r="C138" s="708"/>
      <c r="D138" s="715"/>
      <c r="E138" s="715"/>
      <c r="F138" s="715"/>
      <c r="G138" s="715"/>
      <c r="H138" s="830">
        <f>$H$13</f>
        <v>6.55</v>
      </c>
      <c r="I138" s="717">
        <f>TRUNC(I137*H138%,0)</f>
        <v>0</v>
      </c>
      <c r="J138" s="710" t="s">
        <v>215</v>
      </c>
    </row>
    <row r="139" spans="1:10" ht="39.950000000000003" hidden="1" customHeight="1">
      <c r="A139" s="718"/>
      <c r="B139" s="719" t="s">
        <v>81</v>
      </c>
      <c r="C139" s="720"/>
      <c r="D139" s="715">
        <f>D137</f>
        <v>0</v>
      </c>
      <c r="E139" s="715">
        <f>E137</f>
        <v>0</v>
      </c>
      <c r="F139" s="715">
        <f>F137</f>
        <v>0</v>
      </c>
      <c r="G139" s="716">
        <f>SUM(D139:F139)</f>
        <v>0</v>
      </c>
      <c r="H139" s="830">
        <f>$H$14</f>
        <v>0.08</v>
      </c>
      <c r="I139" s="717">
        <f>TRUNC(G139*H139%,0)</f>
        <v>0</v>
      </c>
      <c r="J139" s="710"/>
    </row>
    <row r="140" spans="1:10" ht="20.100000000000001" hidden="1" customHeight="1">
      <c r="A140" s="721"/>
      <c r="B140" s="722"/>
      <c r="C140" s="723"/>
      <c r="D140" s="724"/>
      <c r="E140" s="724"/>
      <c r="F140" s="724"/>
      <c r="G140" s="725"/>
      <c r="H140" s="726"/>
      <c r="I140" s="727"/>
      <c r="J140" s="706"/>
    </row>
    <row r="141" spans="1:10" ht="45" hidden="1" customHeight="1">
      <c r="A141" s="728"/>
      <c r="B141" s="729" t="s">
        <v>178</v>
      </c>
      <c r="C141" s="730"/>
      <c r="D141" s="731"/>
      <c r="E141" s="732"/>
      <c r="F141" s="732"/>
      <c r="G141" s="733"/>
      <c r="H141" s="733"/>
      <c r="I141" s="732">
        <f>SUM(I134:I140)</f>
        <v>0</v>
      </c>
      <c r="J141" s="734"/>
    </row>
    <row r="142" spans="1:10" s="681" customFormat="1" ht="24.95" hidden="1" customHeight="1">
      <c r="A142" s="679" t="str">
        <f>"주 1) 적용대상액 : "&amp;인집!$A$1&amp;인집!$A$2&amp;" 참조"</f>
        <v>주 1) 적용대상액 : &lt; 표 : 3 &gt; 단위당인건비집계표 참조</v>
      </c>
      <c r="C142" s="679"/>
      <c r="D142" s="679"/>
      <c r="E142" s="680"/>
      <c r="F142" s="680"/>
      <c r="G142" s="604"/>
      <c r="H142" s="604"/>
      <c r="I142" s="604"/>
      <c r="J142" s="735"/>
    </row>
    <row r="143" spans="1:10" s="681" customFormat="1" ht="24.95" hidden="1" customHeight="1">
      <c r="A143" s="679" t="str">
        <f>"   2) 비율(%) : "&amp;보험료산출기준!$A$1&amp;보험료산출기준!$A$2&amp;" 참조"</f>
        <v xml:space="preserve">   2) 비율(%) : &lt; 표 : 13 &gt; 경비산정기준표 참조</v>
      </c>
      <c r="C143" s="679"/>
      <c r="D143" s="679"/>
      <c r="E143" s="680"/>
      <c r="F143" s="680"/>
      <c r="G143" s="604"/>
      <c r="H143" s="604"/>
      <c r="I143" s="604"/>
      <c r="J143" s="735"/>
    </row>
    <row r="144" spans="1:10" s="681" customFormat="1" ht="24.95" hidden="1" customHeight="1">
      <c r="A144" s="683" t="s">
        <v>427</v>
      </c>
      <c r="C144" s="679"/>
      <c r="D144" s="682"/>
      <c r="E144" s="736"/>
      <c r="F144" s="736"/>
      <c r="G144" s="737"/>
      <c r="H144" s="737"/>
      <c r="I144" s="737"/>
    </row>
    <row r="145" spans="1:10" s="681" customFormat="1" ht="24.95" hidden="1" customHeight="1">
      <c r="A145" s="683"/>
      <c r="C145" s="679"/>
      <c r="D145" s="682"/>
      <c r="E145" s="736"/>
      <c r="F145" s="736"/>
      <c r="G145" s="737"/>
      <c r="H145" s="737"/>
      <c r="I145" s="737"/>
    </row>
    <row r="146" spans="1:10" s="681" customFormat="1" ht="24.95" hidden="1" customHeight="1">
      <c r="A146" s="683"/>
      <c r="C146" s="679"/>
      <c r="D146" s="682"/>
      <c r="E146" s="736"/>
      <c r="F146" s="736"/>
      <c r="G146" s="737"/>
      <c r="H146" s="737"/>
      <c r="I146" s="737"/>
    </row>
    <row r="147" spans="1:10" s="681" customFormat="1" ht="24.95" hidden="1" customHeight="1">
      <c r="A147" s="683"/>
      <c r="C147" s="679"/>
      <c r="D147" s="682"/>
      <c r="E147" s="736"/>
      <c r="F147" s="736"/>
      <c r="G147" s="737"/>
      <c r="H147" s="737"/>
      <c r="I147" s="737"/>
    </row>
    <row r="148" spans="1:10" s="681" customFormat="1" ht="24.95" hidden="1" customHeight="1">
      <c r="A148" s="683"/>
      <c r="C148" s="679"/>
      <c r="D148" s="682"/>
      <c r="E148" s="736"/>
      <c r="F148" s="736"/>
      <c r="G148" s="737"/>
      <c r="H148" s="737"/>
      <c r="I148" s="737"/>
    </row>
    <row r="149" spans="1:10" s="681" customFormat="1" ht="20.100000000000001" hidden="1" customHeight="1">
      <c r="A149" s="683"/>
      <c r="C149" s="679"/>
      <c r="D149" s="682"/>
      <c r="E149" s="736"/>
      <c r="F149" s="736"/>
      <c r="G149" s="737"/>
      <c r="H149" s="737"/>
      <c r="I149" s="737"/>
    </row>
    <row r="150" spans="1:10" ht="20.100000000000001" hidden="1" customHeight="1">
      <c r="A150" s="654" t="str">
        <f>원가!A249</f>
        <v xml:space="preserve">구 분 :                        직종명 : </v>
      </c>
      <c r="B150" s="610"/>
      <c r="C150" s="610"/>
      <c r="D150" s="654"/>
      <c r="I150" s="659"/>
      <c r="J150" s="659" t="s">
        <v>36</v>
      </c>
    </row>
    <row r="151" spans="1:10" ht="24.95" hidden="1" customHeight="1">
      <c r="A151" s="1105" t="s">
        <v>71</v>
      </c>
      <c r="B151" s="1106"/>
      <c r="C151" s="1107"/>
      <c r="D151" s="1057" t="s">
        <v>72</v>
      </c>
      <c r="E151" s="1111"/>
      <c r="F151" s="1111"/>
      <c r="G151" s="1058"/>
      <c r="H151" s="1112" t="s">
        <v>206</v>
      </c>
      <c r="I151" s="1114" t="s">
        <v>73</v>
      </c>
      <c r="J151" s="1103" t="s">
        <v>74</v>
      </c>
    </row>
    <row r="152" spans="1:10" ht="24.95" hidden="1" customHeight="1">
      <c r="A152" s="1108"/>
      <c r="B152" s="1109"/>
      <c r="C152" s="1110"/>
      <c r="D152" s="705" t="s">
        <v>75</v>
      </c>
      <c r="E152" s="706" t="s">
        <v>76</v>
      </c>
      <c r="F152" s="706" t="s">
        <v>77</v>
      </c>
      <c r="G152" s="706" t="s">
        <v>55</v>
      </c>
      <c r="H152" s="1113"/>
      <c r="I152" s="1115"/>
      <c r="J152" s="1104"/>
    </row>
    <row r="153" spans="1:10" ht="20.100000000000001" hidden="1" customHeight="1">
      <c r="A153" s="628"/>
      <c r="B153" s="701"/>
      <c r="C153" s="702"/>
      <c r="D153" s="704"/>
      <c r="E153" s="703"/>
      <c r="F153" s="703"/>
      <c r="G153" s="627"/>
      <c r="H153" s="707"/>
      <c r="I153" s="703"/>
      <c r="J153" s="704"/>
    </row>
    <row r="154" spans="1:10" ht="39.950000000000003" hidden="1" customHeight="1">
      <c r="A154" s="608"/>
      <c r="B154" s="612"/>
      <c r="C154" s="708"/>
      <c r="D154" s="709"/>
      <c r="E154" s="710"/>
      <c r="F154" s="710"/>
      <c r="G154" s="607"/>
      <c r="H154" s="711" t="s">
        <v>1</v>
      </c>
      <c r="I154" s="710"/>
      <c r="J154" s="709"/>
    </row>
    <row r="155" spans="1:10" ht="39.950000000000003" hidden="1" customHeight="1">
      <c r="A155" s="712"/>
      <c r="B155" s="713" t="s">
        <v>27</v>
      </c>
      <c r="C155" s="714"/>
      <c r="D155" s="715">
        <f>인집!G13</f>
        <v>0</v>
      </c>
      <c r="E155" s="715">
        <f>인집!H13</f>
        <v>0</v>
      </c>
      <c r="F155" s="715">
        <f>인집!I13</f>
        <v>0</v>
      </c>
      <c r="G155" s="716">
        <f>SUM(D155:F155)</f>
        <v>0</v>
      </c>
      <c r="H155" s="830">
        <f>$H$9</f>
        <v>1.8</v>
      </c>
      <c r="I155" s="717">
        <f>TRUNC(G155*H155%,0)</f>
        <v>0</v>
      </c>
      <c r="J155" s="710"/>
    </row>
    <row r="156" spans="1:10" ht="39.950000000000003" hidden="1" customHeight="1">
      <c r="A156" s="608"/>
      <c r="B156" s="713" t="s">
        <v>78</v>
      </c>
      <c r="C156" s="708"/>
      <c r="D156" s="715">
        <f t="shared" ref="D156:F158" si="7">D155</f>
        <v>0</v>
      </c>
      <c r="E156" s="715">
        <f t="shared" si="7"/>
        <v>0</v>
      </c>
      <c r="F156" s="715">
        <f t="shared" si="7"/>
        <v>0</v>
      </c>
      <c r="G156" s="716">
        <f>SUM(D156:F156)</f>
        <v>0</v>
      </c>
      <c r="H156" s="830">
        <f>$H$10</f>
        <v>4.5</v>
      </c>
      <c r="I156" s="717">
        <f>TRUNC(G156*H156%,0)</f>
        <v>0</v>
      </c>
      <c r="J156" s="710"/>
    </row>
    <row r="157" spans="1:10" ht="39.950000000000003" hidden="1" customHeight="1">
      <c r="A157" s="608"/>
      <c r="B157" s="713" t="s">
        <v>79</v>
      </c>
      <c r="C157" s="708"/>
      <c r="D157" s="715">
        <f t="shared" si="7"/>
        <v>0</v>
      </c>
      <c r="E157" s="715">
        <f t="shared" si="7"/>
        <v>0</v>
      </c>
      <c r="F157" s="715">
        <f t="shared" si="7"/>
        <v>0</v>
      </c>
      <c r="G157" s="716">
        <f>SUM(D157:F157)</f>
        <v>0</v>
      </c>
      <c r="H157" s="830">
        <f>$H$11</f>
        <v>0.9</v>
      </c>
      <c r="I157" s="717">
        <f>TRUNC(G157*H157%,0)</f>
        <v>0</v>
      </c>
      <c r="J157" s="710"/>
    </row>
    <row r="158" spans="1:10" ht="39.950000000000003" hidden="1" customHeight="1">
      <c r="A158" s="608"/>
      <c r="B158" s="713" t="s">
        <v>80</v>
      </c>
      <c r="C158" s="708"/>
      <c r="D158" s="715">
        <f t="shared" si="7"/>
        <v>0</v>
      </c>
      <c r="E158" s="715">
        <f t="shared" si="7"/>
        <v>0</v>
      </c>
      <c r="F158" s="715">
        <f t="shared" si="7"/>
        <v>0</v>
      </c>
      <c r="G158" s="716">
        <f>SUM(D158:F158)</f>
        <v>0</v>
      </c>
      <c r="H158" s="830">
        <f>$H$12</f>
        <v>3.0350000000000001</v>
      </c>
      <c r="I158" s="717">
        <f>TRUNC(G158*H158%,0)</f>
        <v>0</v>
      </c>
      <c r="J158" s="710"/>
    </row>
    <row r="159" spans="1:10" ht="39.950000000000003" hidden="1" customHeight="1">
      <c r="A159" s="608"/>
      <c r="B159" s="713" t="s">
        <v>237</v>
      </c>
      <c r="C159" s="708"/>
      <c r="D159" s="715"/>
      <c r="E159" s="715"/>
      <c r="F159" s="715"/>
      <c r="G159" s="715"/>
      <c r="H159" s="830">
        <f>$H$13</f>
        <v>6.55</v>
      </c>
      <c r="I159" s="717">
        <f>TRUNC(I158*H159%,0)</f>
        <v>0</v>
      </c>
      <c r="J159" s="710" t="s">
        <v>215</v>
      </c>
    </row>
    <row r="160" spans="1:10" ht="39.950000000000003" hidden="1" customHeight="1">
      <c r="A160" s="718"/>
      <c r="B160" s="719" t="s">
        <v>81</v>
      </c>
      <c r="C160" s="720"/>
      <c r="D160" s="715">
        <f>D158</f>
        <v>0</v>
      </c>
      <c r="E160" s="715">
        <f>E158</f>
        <v>0</v>
      </c>
      <c r="F160" s="715">
        <f>F158</f>
        <v>0</v>
      </c>
      <c r="G160" s="716">
        <f>SUM(D160:F160)</f>
        <v>0</v>
      </c>
      <c r="H160" s="830">
        <f>$H$14</f>
        <v>0.08</v>
      </c>
      <c r="I160" s="717">
        <f>TRUNC(G160*H160%,0)</f>
        <v>0</v>
      </c>
      <c r="J160" s="710"/>
    </row>
    <row r="161" spans="1:10" ht="20.100000000000001" hidden="1" customHeight="1">
      <c r="A161" s="721"/>
      <c r="B161" s="722"/>
      <c r="C161" s="723"/>
      <c r="D161" s="724"/>
      <c r="E161" s="724"/>
      <c r="F161" s="724"/>
      <c r="G161" s="725"/>
      <c r="H161" s="726"/>
      <c r="I161" s="727"/>
      <c r="J161" s="706"/>
    </row>
    <row r="162" spans="1:10" ht="45" hidden="1" customHeight="1">
      <c r="A162" s="728"/>
      <c r="B162" s="729" t="s">
        <v>178</v>
      </c>
      <c r="C162" s="730"/>
      <c r="D162" s="731"/>
      <c r="E162" s="732"/>
      <c r="F162" s="732"/>
      <c r="G162" s="733"/>
      <c r="H162" s="733"/>
      <c r="I162" s="732">
        <f>SUM(I155:I161)</f>
        <v>0</v>
      </c>
      <c r="J162" s="734"/>
    </row>
    <row r="163" spans="1:10" s="681" customFormat="1" ht="24.95" hidden="1" customHeight="1">
      <c r="A163" s="679" t="str">
        <f>"주 1) 적용대상액 : "&amp;인집!$A$1&amp;인집!$A$2&amp;" 참조"</f>
        <v>주 1) 적용대상액 : &lt; 표 : 3 &gt; 단위당인건비집계표 참조</v>
      </c>
      <c r="C163" s="679"/>
      <c r="D163" s="679"/>
      <c r="E163" s="680"/>
      <c r="F163" s="680"/>
      <c r="G163" s="604"/>
      <c r="H163" s="604"/>
      <c r="I163" s="604"/>
      <c r="J163" s="735"/>
    </row>
    <row r="164" spans="1:10" s="681" customFormat="1" ht="24.95" hidden="1" customHeight="1">
      <c r="A164" s="679" t="str">
        <f>"   2) 비율(%) : "&amp;보험료산출기준!$A$1&amp;보험료산출기준!$A$2&amp;" 참조"</f>
        <v xml:space="preserve">   2) 비율(%) : &lt; 표 : 13 &gt; 경비산정기준표 참조</v>
      </c>
      <c r="C164" s="679"/>
      <c r="D164" s="679"/>
      <c r="E164" s="680"/>
      <c r="F164" s="680"/>
      <c r="G164" s="604"/>
      <c r="H164" s="604"/>
      <c r="I164" s="604"/>
      <c r="J164" s="735"/>
    </row>
    <row r="165" spans="1:10" s="681" customFormat="1" ht="24.95" hidden="1" customHeight="1">
      <c r="A165" s="683" t="s">
        <v>427</v>
      </c>
      <c r="C165" s="679"/>
      <c r="D165" s="682"/>
      <c r="E165" s="736"/>
      <c r="F165" s="736"/>
      <c r="G165" s="737"/>
      <c r="H165" s="737"/>
      <c r="I165" s="737"/>
    </row>
    <row r="166" spans="1:10" s="681" customFormat="1" ht="24.95" hidden="1" customHeight="1">
      <c r="A166" s="683"/>
      <c r="C166" s="679"/>
      <c r="D166" s="682"/>
      <c r="E166" s="736"/>
      <c r="F166" s="736"/>
      <c r="G166" s="737"/>
      <c r="H166" s="737"/>
      <c r="I166" s="737"/>
    </row>
    <row r="167" spans="1:10" s="681" customFormat="1" ht="24.95" hidden="1" customHeight="1">
      <c r="A167" s="683"/>
      <c r="C167" s="679"/>
      <c r="D167" s="682"/>
      <c r="E167" s="736"/>
      <c r="F167" s="736"/>
      <c r="G167" s="737"/>
      <c r="H167" s="737"/>
      <c r="I167" s="737"/>
    </row>
    <row r="168" spans="1:10" s="681" customFormat="1" ht="24.95" hidden="1" customHeight="1">
      <c r="A168" s="683"/>
      <c r="C168" s="679"/>
      <c r="D168" s="682"/>
      <c r="E168" s="736"/>
      <c r="F168" s="736"/>
      <c r="G168" s="737"/>
      <c r="H168" s="737"/>
      <c r="I168" s="737"/>
    </row>
    <row r="169" spans="1:10" s="681" customFormat="1" ht="24.95" hidden="1" customHeight="1">
      <c r="A169" s="683"/>
      <c r="C169" s="679"/>
      <c r="D169" s="682"/>
      <c r="E169" s="736"/>
      <c r="F169" s="736"/>
      <c r="G169" s="737"/>
      <c r="H169" s="737"/>
      <c r="I169" s="737"/>
    </row>
    <row r="170" spans="1:10" s="681" customFormat="1" ht="20.100000000000001" hidden="1" customHeight="1">
      <c r="A170" s="683"/>
      <c r="C170" s="679"/>
      <c r="D170" s="682"/>
      <c r="E170" s="736"/>
      <c r="F170" s="736"/>
      <c r="G170" s="737"/>
      <c r="H170" s="737"/>
      <c r="I170" s="737"/>
    </row>
    <row r="171" spans="1:10" ht="20.100000000000001" customHeight="1">
      <c r="A171" s="654" t="str">
        <f>원가!A284</f>
        <v>구 분 : 다산홀운영                       직종명 : 전기기능사</v>
      </c>
      <c r="B171" s="610"/>
      <c r="C171" s="610"/>
      <c r="D171" s="654"/>
      <c r="I171" s="659"/>
      <c r="J171" s="659" t="s">
        <v>36</v>
      </c>
    </row>
    <row r="172" spans="1:10" ht="24.95" customHeight="1">
      <c r="A172" s="1105" t="s">
        <v>71</v>
      </c>
      <c r="B172" s="1106"/>
      <c r="C172" s="1107"/>
      <c r="D172" s="1057" t="s">
        <v>72</v>
      </c>
      <c r="E172" s="1111"/>
      <c r="F172" s="1111"/>
      <c r="G172" s="1058"/>
      <c r="H172" s="1112" t="s">
        <v>206</v>
      </c>
      <c r="I172" s="1114" t="s">
        <v>73</v>
      </c>
      <c r="J172" s="1103" t="s">
        <v>74</v>
      </c>
    </row>
    <row r="173" spans="1:10" ht="24.95" customHeight="1">
      <c r="A173" s="1108"/>
      <c r="B173" s="1109"/>
      <c r="C173" s="1110"/>
      <c r="D173" s="705" t="s">
        <v>75</v>
      </c>
      <c r="E173" s="706" t="s">
        <v>76</v>
      </c>
      <c r="F173" s="706" t="s">
        <v>77</v>
      </c>
      <c r="G173" s="706" t="s">
        <v>55</v>
      </c>
      <c r="H173" s="1113"/>
      <c r="I173" s="1115"/>
      <c r="J173" s="1104"/>
    </row>
    <row r="174" spans="1:10" ht="20.100000000000001" customHeight="1">
      <c r="A174" s="628"/>
      <c r="B174" s="701"/>
      <c r="C174" s="702"/>
      <c r="D174" s="704"/>
      <c r="E174" s="703"/>
      <c r="F174" s="703"/>
      <c r="G174" s="627"/>
      <c r="H174" s="707"/>
      <c r="I174" s="703"/>
      <c r="J174" s="704"/>
    </row>
    <row r="175" spans="1:10" ht="39.950000000000003" customHeight="1">
      <c r="A175" s="608"/>
      <c r="B175" s="612"/>
      <c r="C175" s="708"/>
      <c r="D175" s="709"/>
      <c r="E175" s="710"/>
      <c r="F175" s="710"/>
      <c r="G175" s="607"/>
      <c r="H175" s="711" t="s">
        <v>1</v>
      </c>
      <c r="I175" s="710"/>
      <c r="J175" s="709"/>
    </row>
    <row r="176" spans="1:10" ht="39.950000000000003" customHeight="1">
      <c r="A176" s="712"/>
      <c r="B176" s="713" t="s">
        <v>27</v>
      </c>
      <c r="C176" s="714"/>
      <c r="D176" s="715">
        <f>인집!G14</f>
        <v>2246244</v>
      </c>
      <c r="E176" s="715">
        <f>인집!H14</f>
        <v>667208</v>
      </c>
      <c r="F176" s="715">
        <f>인집!I14</f>
        <v>93593</v>
      </c>
      <c r="G176" s="716">
        <f>SUM(D176:F176)</f>
        <v>3007045</v>
      </c>
      <c r="H176" s="891">
        <v>1.9</v>
      </c>
      <c r="I176" s="893">
        <f>TRUNC(G176*H176%,0)</f>
        <v>57133</v>
      </c>
      <c r="J176" s="710"/>
    </row>
    <row r="177" spans="1:10" ht="39.950000000000003" customHeight="1">
      <c r="A177" s="608"/>
      <c r="B177" s="713" t="s">
        <v>78</v>
      </c>
      <c r="C177" s="708"/>
      <c r="D177" s="715">
        <f t="shared" ref="D177:F179" si="8">D176</f>
        <v>2246244</v>
      </c>
      <c r="E177" s="715">
        <f t="shared" si="8"/>
        <v>667208</v>
      </c>
      <c r="F177" s="715">
        <f t="shared" si="8"/>
        <v>93593</v>
      </c>
      <c r="G177" s="716">
        <f>SUM(D177:F177)</f>
        <v>3007045</v>
      </c>
      <c r="H177" s="830">
        <f>$H$10</f>
        <v>4.5</v>
      </c>
      <c r="I177" s="717">
        <f>TRUNC(G177*H177%,0)</f>
        <v>135317</v>
      </c>
      <c r="J177" s="710"/>
    </row>
    <row r="178" spans="1:10" ht="39.950000000000003" customHeight="1">
      <c r="A178" s="608"/>
      <c r="B178" s="713" t="s">
        <v>79</v>
      </c>
      <c r="C178" s="708"/>
      <c r="D178" s="715">
        <f t="shared" si="8"/>
        <v>2246244</v>
      </c>
      <c r="E178" s="715">
        <f t="shared" si="8"/>
        <v>667208</v>
      </c>
      <c r="F178" s="715">
        <f t="shared" si="8"/>
        <v>93593</v>
      </c>
      <c r="G178" s="716">
        <f>SUM(D178:F178)</f>
        <v>3007045</v>
      </c>
      <c r="H178" s="830">
        <f>$H$11</f>
        <v>0.9</v>
      </c>
      <c r="I178" s="717">
        <f>TRUNC(G178*H178%,0)</f>
        <v>27063</v>
      </c>
      <c r="J178" s="710"/>
    </row>
    <row r="179" spans="1:10" ht="39.950000000000003" customHeight="1">
      <c r="A179" s="608"/>
      <c r="B179" s="713" t="s">
        <v>80</v>
      </c>
      <c r="C179" s="708"/>
      <c r="D179" s="715">
        <f t="shared" si="8"/>
        <v>2246244</v>
      </c>
      <c r="E179" s="715">
        <f t="shared" si="8"/>
        <v>667208</v>
      </c>
      <c r="F179" s="715">
        <f t="shared" si="8"/>
        <v>93593</v>
      </c>
      <c r="G179" s="716">
        <f>SUM(D179:F179)</f>
        <v>3007045</v>
      </c>
      <c r="H179" s="891">
        <v>3.06</v>
      </c>
      <c r="I179" s="893">
        <f>TRUNC(G179*H179%,0)</f>
        <v>92015</v>
      </c>
      <c r="J179" s="710"/>
    </row>
    <row r="180" spans="1:10" ht="39.950000000000003" customHeight="1">
      <c r="A180" s="608"/>
      <c r="B180" s="713" t="s">
        <v>237</v>
      </c>
      <c r="C180" s="708"/>
      <c r="D180" s="715"/>
      <c r="E180" s="715"/>
      <c r="F180" s="715"/>
      <c r="G180" s="715"/>
      <c r="H180" s="830">
        <f>$H$13</f>
        <v>6.55</v>
      </c>
      <c r="I180" s="893">
        <f>TRUNC(I179*H180%,0)</f>
        <v>6026</v>
      </c>
      <c r="J180" s="710" t="s">
        <v>215</v>
      </c>
    </row>
    <row r="181" spans="1:10" ht="39.950000000000003" customHeight="1">
      <c r="A181" s="718"/>
      <c r="B181" s="719" t="s">
        <v>81</v>
      </c>
      <c r="C181" s="720"/>
      <c r="D181" s="715">
        <f>D179</f>
        <v>2246244</v>
      </c>
      <c r="E181" s="715">
        <f>E179</f>
        <v>667208</v>
      </c>
      <c r="F181" s="715">
        <f>F179</f>
        <v>93593</v>
      </c>
      <c r="G181" s="716">
        <f>SUM(D181:F181)</f>
        <v>3007045</v>
      </c>
      <c r="H181" s="891">
        <v>0.06</v>
      </c>
      <c r="I181" s="893">
        <f>TRUNC(G181*H181%,0)</f>
        <v>1804</v>
      </c>
      <c r="J181" s="710"/>
    </row>
    <row r="182" spans="1:10" ht="20.100000000000001" customHeight="1">
      <c r="A182" s="721"/>
      <c r="B182" s="722"/>
      <c r="C182" s="723"/>
      <c r="D182" s="724"/>
      <c r="E182" s="724"/>
      <c r="F182" s="724"/>
      <c r="G182" s="725"/>
      <c r="H182" s="726"/>
      <c r="I182" s="894"/>
      <c r="J182" s="706"/>
    </row>
    <row r="183" spans="1:10" ht="45" customHeight="1">
      <c r="A183" s="728"/>
      <c r="B183" s="729" t="s">
        <v>178</v>
      </c>
      <c r="C183" s="730"/>
      <c r="D183" s="731"/>
      <c r="E183" s="732"/>
      <c r="F183" s="732"/>
      <c r="G183" s="733"/>
      <c r="H183" s="733"/>
      <c r="I183" s="892">
        <f>SUM(I176:I182)</f>
        <v>319358</v>
      </c>
      <c r="J183" s="734"/>
    </row>
    <row r="184" spans="1:10" s="681" customFormat="1" ht="24.95" customHeight="1">
      <c r="A184" s="679" t="str">
        <f>"주 1) 적용대상액 : "&amp;인집!$A$1&amp;인집!$A$2&amp;" 참조"</f>
        <v>주 1) 적용대상액 : &lt; 표 : 3 &gt; 단위당인건비집계표 참조</v>
      </c>
      <c r="C184" s="679"/>
      <c r="D184" s="679"/>
      <c r="E184" s="680"/>
      <c r="F184" s="680"/>
      <c r="G184" s="604"/>
      <c r="H184" s="604"/>
      <c r="I184" s="604"/>
      <c r="J184" s="735"/>
    </row>
    <row r="185" spans="1:10" s="681" customFormat="1" ht="24.95" customHeight="1">
      <c r="A185" s="679" t="str">
        <f>"   2) 비율(%) : "&amp;보험료산출기준!$A$1&amp;보험료산출기준!$A$2&amp;" 참조"</f>
        <v xml:space="preserve">   2) 비율(%) : &lt; 표 : 13 &gt; 경비산정기준표 참조</v>
      </c>
      <c r="C185" s="679"/>
      <c r="D185" s="679"/>
      <c r="E185" s="680"/>
      <c r="F185" s="680"/>
      <c r="G185" s="604"/>
      <c r="H185" s="604"/>
      <c r="I185" s="604"/>
      <c r="J185" s="735"/>
    </row>
    <row r="186" spans="1:10" s="681" customFormat="1" ht="24.95" customHeight="1">
      <c r="A186" s="683" t="s">
        <v>427</v>
      </c>
      <c r="C186" s="679"/>
      <c r="D186" s="682"/>
      <c r="E186" s="736"/>
      <c r="F186" s="736"/>
      <c r="G186" s="737"/>
      <c r="H186" s="737"/>
      <c r="I186" s="737"/>
    </row>
    <row r="187" spans="1:10" s="681" customFormat="1" ht="24.95" customHeight="1">
      <c r="A187" s="683"/>
      <c r="C187" s="679"/>
      <c r="D187" s="682"/>
      <c r="E187" s="736"/>
      <c r="F187" s="736"/>
      <c r="G187" s="737"/>
      <c r="H187" s="737"/>
      <c r="I187" s="737"/>
    </row>
    <row r="188" spans="1:10" s="681" customFormat="1" ht="24.95" customHeight="1">
      <c r="A188" s="683"/>
      <c r="C188" s="679"/>
      <c r="D188" s="682"/>
      <c r="E188" s="736"/>
      <c r="F188" s="736"/>
      <c r="G188" s="737"/>
      <c r="H188" s="737"/>
      <c r="I188" s="737"/>
    </row>
    <row r="189" spans="1:10" s="681" customFormat="1" ht="24.95" customHeight="1">
      <c r="A189" s="683"/>
      <c r="C189" s="679"/>
      <c r="D189" s="682"/>
      <c r="E189" s="736"/>
      <c r="F189" s="736"/>
      <c r="G189" s="737"/>
      <c r="H189" s="737"/>
      <c r="I189" s="737"/>
    </row>
    <row r="190" spans="1:10" s="681" customFormat="1" ht="24.95" customHeight="1">
      <c r="A190" s="683"/>
      <c r="C190" s="679"/>
      <c r="D190" s="682"/>
      <c r="E190" s="736"/>
      <c r="F190" s="736"/>
      <c r="G190" s="737"/>
      <c r="H190" s="737"/>
      <c r="I190" s="737"/>
    </row>
    <row r="191" spans="1:10" s="681" customFormat="1" ht="20.100000000000001" customHeight="1">
      <c r="A191" s="683"/>
      <c r="C191" s="679"/>
      <c r="D191" s="682"/>
      <c r="E191" s="736"/>
      <c r="F191" s="736"/>
      <c r="G191" s="737"/>
      <c r="H191" s="737"/>
      <c r="I191" s="737"/>
    </row>
    <row r="192" spans="1:10" ht="20.100000000000001" customHeight="1">
      <c r="A192" s="654" t="str">
        <f>원가!A319</f>
        <v>구 분 : 운 전 원                       직종명 : 단순노무종사원</v>
      </c>
      <c r="B192" s="610"/>
      <c r="C192" s="610"/>
      <c r="D192" s="654"/>
      <c r="I192" s="659"/>
      <c r="J192" s="659" t="s">
        <v>36</v>
      </c>
    </row>
    <row r="193" spans="1:10" ht="24.95" customHeight="1">
      <c r="A193" s="1105" t="s">
        <v>71</v>
      </c>
      <c r="B193" s="1106"/>
      <c r="C193" s="1107"/>
      <c r="D193" s="1057" t="s">
        <v>72</v>
      </c>
      <c r="E193" s="1111"/>
      <c r="F193" s="1111"/>
      <c r="G193" s="1058"/>
      <c r="H193" s="1112" t="s">
        <v>206</v>
      </c>
      <c r="I193" s="1114" t="s">
        <v>73</v>
      </c>
      <c r="J193" s="1103" t="s">
        <v>74</v>
      </c>
    </row>
    <row r="194" spans="1:10" ht="24.95" customHeight="1">
      <c r="A194" s="1108"/>
      <c r="B194" s="1109"/>
      <c r="C194" s="1110"/>
      <c r="D194" s="705" t="s">
        <v>75</v>
      </c>
      <c r="E194" s="706" t="s">
        <v>76</v>
      </c>
      <c r="F194" s="706" t="s">
        <v>77</v>
      </c>
      <c r="G194" s="706" t="s">
        <v>55</v>
      </c>
      <c r="H194" s="1113"/>
      <c r="I194" s="1115"/>
      <c r="J194" s="1104"/>
    </row>
    <row r="195" spans="1:10" ht="20.100000000000001" customHeight="1">
      <c r="A195" s="628"/>
      <c r="B195" s="701"/>
      <c r="C195" s="702"/>
      <c r="D195" s="704"/>
      <c r="E195" s="703"/>
      <c r="F195" s="703"/>
      <c r="G195" s="627"/>
      <c r="H195" s="707"/>
      <c r="I195" s="703"/>
      <c r="J195" s="704"/>
    </row>
    <row r="196" spans="1:10" ht="39.950000000000003" customHeight="1">
      <c r="A196" s="608"/>
      <c r="B196" s="612"/>
      <c r="C196" s="708"/>
      <c r="D196" s="709"/>
      <c r="E196" s="710"/>
      <c r="F196" s="710"/>
      <c r="G196" s="607"/>
      <c r="H196" s="711" t="s">
        <v>1</v>
      </c>
      <c r="I196" s="710"/>
      <c r="J196" s="709"/>
    </row>
    <row r="197" spans="1:10" ht="39.950000000000003" customHeight="1">
      <c r="A197" s="712"/>
      <c r="B197" s="713" t="s">
        <v>27</v>
      </c>
      <c r="C197" s="714"/>
      <c r="D197" s="715">
        <f>인집!G15</f>
        <v>1732380</v>
      </c>
      <c r="E197" s="715">
        <f>인집!H15</f>
        <v>514573</v>
      </c>
      <c r="F197" s="715">
        <f>인집!I15</f>
        <v>577460</v>
      </c>
      <c r="G197" s="716">
        <f>SUM(D197:F197)</f>
        <v>2824413</v>
      </c>
      <c r="H197" s="891">
        <v>1.9</v>
      </c>
      <c r="I197" s="893">
        <f>TRUNC(G197*H197%,0)</f>
        <v>53663</v>
      </c>
      <c r="J197" s="710"/>
    </row>
    <row r="198" spans="1:10" ht="39.950000000000003" customHeight="1">
      <c r="A198" s="608"/>
      <c r="B198" s="713" t="s">
        <v>78</v>
      </c>
      <c r="C198" s="708"/>
      <c r="D198" s="715">
        <f t="shared" ref="D198:F200" si="9">D197</f>
        <v>1732380</v>
      </c>
      <c r="E198" s="715">
        <f t="shared" si="9"/>
        <v>514573</v>
      </c>
      <c r="F198" s="715">
        <f t="shared" si="9"/>
        <v>577460</v>
      </c>
      <c r="G198" s="716">
        <f>SUM(D198:F198)</f>
        <v>2824413</v>
      </c>
      <c r="H198" s="830">
        <f>$H$10</f>
        <v>4.5</v>
      </c>
      <c r="I198" s="717">
        <f>TRUNC(G198*H198%,0)</f>
        <v>127098</v>
      </c>
      <c r="J198" s="710"/>
    </row>
    <row r="199" spans="1:10" ht="39.950000000000003" customHeight="1">
      <c r="A199" s="608"/>
      <c r="B199" s="713" t="s">
        <v>79</v>
      </c>
      <c r="C199" s="708"/>
      <c r="D199" s="715">
        <f t="shared" si="9"/>
        <v>1732380</v>
      </c>
      <c r="E199" s="715">
        <f t="shared" si="9"/>
        <v>514573</v>
      </c>
      <c r="F199" s="715">
        <f t="shared" si="9"/>
        <v>577460</v>
      </c>
      <c r="G199" s="716">
        <f>SUM(D199:F199)</f>
        <v>2824413</v>
      </c>
      <c r="H199" s="830">
        <f>$H$11</f>
        <v>0.9</v>
      </c>
      <c r="I199" s="717">
        <f>TRUNC(G199*H199%,0)</f>
        <v>25419</v>
      </c>
      <c r="J199" s="710"/>
    </row>
    <row r="200" spans="1:10" ht="39.950000000000003" customHeight="1">
      <c r="A200" s="608"/>
      <c r="B200" s="713" t="s">
        <v>80</v>
      </c>
      <c r="C200" s="708"/>
      <c r="D200" s="715">
        <f t="shared" si="9"/>
        <v>1732380</v>
      </c>
      <c r="E200" s="715">
        <f t="shared" si="9"/>
        <v>514573</v>
      </c>
      <c r="F200" s="715">
        <f t="shared" si="9"/>
        <v>577460</v>
      </c>
      <c r="G200" s="716">
        <f>SUM(D200:F200)</f>
        <v>2824413</v>
      </c>
      <c r="H200" s="891">
        <v>3.06</v>
      </c>
      <c r="I200" s="893">
        <f>TRUNC(G200*H200%,0)</f>
        <v>86427</v>
      </c>
      <c r="J200" s="710"/>
    </row>
    <row r="201" spans="1:10" ht="39.950000000000003" customHeight="1">
      <c r="A201" s="608"/>
      <c r="B201" s="713" t="s">
        <v>237</v>
      </c>
      <c r="C201" s="708"/>
      <c r="D201" s="715"/>
      <c r="E201" s="715"/>
      <c r="F201" s="715"/>
      <c r="G201" s="715"/>
      <c r="H201" s="830">
        <f>$H$13</f>
        <v>6.55</v>
      </c>
      <c r="I201" s="893">
        <f>TRUNC(I200*H201%,0)</f>
        <v>5660</v>
      </c>
      <c r="J201" s="710" t="s">
        <v>215</v>
      </c>
    </row>
    <row r="202" spans="1:10" ht="39.950000000000003" customHeight="1">
      <c r="A202" s="718"/>
      <c r="B202" s="719" t="s">
        <v>81</v>
      </c>
      <c r="C202" s="720"/>
      <c r="D202" s="715">
        <f>D200</f>
        <v>1732380</v>
      </c>
      <c r="E202" s="715">
        <f>E200</f>
        <v>514573</v>
      </c>
      <c r="F202" s="715">
        <f>F200</f>
        <v>577460</v>
      </c>
      <c r="G202" s="716">
        <f>SUM(D202:F202)</f>
        <v>2824413</v>
      </c>
      <c r="H202" s="891">
        <v>0.06</v>
      </c>
      <c r="I202" s="893">
        <f>TRUNC(G202*H202%,0)</f>
        <v>1694</v>
      </c>
      <c r="J202" s="710"/>
    </row>
    <row r="203" spans="1:10" ht="20.100000000000001" customHeight="1">
      <c r="A203" s="721"/>
      <c r="B203" s="722"/>
      <c r="C203" s="723"/>
      <c r="D203" s="724"/>
      <c r="E203" s="724"/>
      <c r="F203" s="724"/>
      <c r="G203" s="725"/>
      <c r="H203" s="726"/>
      <c r="I203" s="894"/>
      <c r="J203" s="706"/>
    </row>
    <row r="204" spans="1:10" ht="45" customHeight="1">
      <c r="A204" s="728"/>
      <c r="B204" s="729" t="s">
        <v>178</v>
      </c>
      <c r="C204" s="730"/>
      <c r="D204" s="731"/>
      <c r="E204" s="732"/>
      <c r="F204" s="732"/>
      <c r="G204" s="733"/>
      <c r="H204" s="733"/>
      <c r="I204" s="892">
        <f>SUM(I197:I203)</f>
        <v>299961</v>
      </c>
      <c r="J204" s="734"/>
    </row>
    <row r="205" spans="1:10" s="681" customFormat="1" ht="24.95" customHeight="1">
      <c r="A205" s="679" t="str">
        <f>"주 1) 적용대상액 : "&amp;인집!$A$1&amp;인집!$A$2&amp;" 참조"</f>
        <v>주 1) 적용대상액 : &lt; 표 : 3 &gt; 단위당인건비집계표 참조</v>
      </c>
      <c r="C205" s="679"/>
      <c r="D205" s="679"/>
      <c r="E205" s="680"/>
      <c r="F205" s="680"/>
      <c r="G205" s="604"/>
      <c r="H205" s="604"/>
      <c r="I205" s="604"/>
      <c r="J205" s="735"/>
    </row>
    <row r="206" spans="1:10" s="681" customFormat="1" ht="24.95" customHeight="1">
      <c r="A206" s="679" t="str">
        <f>"   2) 비율(%) : "&amp;보험료산출기준!$A$1&amp;보험료산출기준!$A$2&amp;" 참조"</f>
        <v xml:space="preserve">   2) 비율(%) : &lt; 표 : 13 &gt; 경비산정기준표 참조</v>
      </c>
      <c r="C206" s="679"/>
      <c r="D206" s="679"/>
      <c r="E206" s="680"/>
      <c r="F206" s="680"/>
      <c r="G206" s="604"/>
      <c r="H206" s="604"/>
      <c r="I206" s="604"/>
      <c r="J206" s="735"/>
    </row>
    <row r="207" spans="1:10" s="681" customFormat="1" ht="24.95" customHeight="1">
      <c r="A207" s="683" t="s">
        <v>427</v>
      </c>
      <c r="C207" s="679"/>
      <c r="D207" s="682"/>
      <c r="E207" s="736"/>
      <c r="F207" s="736"/>
      <c r="G207" s="737"/>
      <c r="H207" s="737"/>
      <c r="I207" s="737"/>
    </row>
    <row r="208" spans="1:10" s="681" customFormat="1" ht="24.95" customHeight="1">
      <c r="A208" s="683"/>
      <c r="C208" s="679"/>
      <c r="D208" s="682"/>
      <c r="E208" s="736"/>
      <c r="F208" s="736"/>
      <c r="G208" s="737"/>
      <c r="H208" s="737"/>
      <c r="I208" s="737"/>
    </row>
    <row r="209" spans="1:10" s="681" customFormat="1" ht="24.95" customHeight="1">
      <c r="A209" s="683"/>
      <c r="C209" s="679"/>
      <c r="D209" s="682"/>
      <c r="E209" s="736"/>
      <c r="F209" s="736"/>
      <c r="G209" s="737"/>
      <c r="H209" s="737"/>
      <c r="I209" s="737"/>
    </row>
    <row r="210" spans="1:10" s="681" customFormat="1" ht="24.95" customHeight="1">
      <c r="A210" s="683"/>
      <c r="C210" s="679"/>
      <c r="D210" s="682"/>
      <c r="E210" s="736"/>
      <c r="F210" s="736"/>
      <c r="G210" s="737"/>
      <c r="H210" s="737"/>
      <c r="I210" s="737"/>
    </row>
    <row r="211" spans="1:10" s="681" customFormat="1" ht="24.95" customHeight="1">
      <c r="A211" s="683"/>
      <c r="C211" s="679"/>
      <c r="D211" s="682"/>
      <c r="E211" s="736"/>
      <c r="F211" s="736"/>
      <c r="G211" s="737"/>
      <c r="H211" s="737"/>
      <c r="I211" s="737"/>
    </row>
    <row r="212" spans="1:10" s="681" customFormat="1" ht="20.100000000000001" customHeight="1">
      <c r="A212" s="683"/>
      <c r="C212" s="679"/>
      <c r="D212" s="682"/>
      <c r="E212" s="736"/>
      <c r="F212" s="736"/>
      <c r="G212" s="737"/>
      <c r="H212" s="737"/>
      <c r="I212" s="737"/>
    </row>
    <row r="213" spans="1:10" ht="20.100000000000001" customHeight="1">
      <c r="A213" s="654" t="str">
        <f>원가!A354</f>
        <v>구 분 : 사무보조원                       직종명 : 단순노무종사원</v>
      </c>
      <c r="B213" s="610"/>
      <c r="C213" s="610"/>
      <c r="D213" s="654"/>
      <c r="I213" s="659"/>
      <c r="J213" s="659" t="s">
        <v>36</v>
      </c>
    </row>
    <row r="214" spans="1:10" ht="24.95" customHeight="1">
      <c r="A214" s="1105" t="s">
        <v>71</v>
      </c>
      <c r="B214" s="1106"/>
      <c r="C214" s="1107"/>
      <c r="D214" s="1057" t="s">
        <v>72</v>
      </c>
      <c r="E214" s="1111"/>
      <c r="F214" s="1111"/>
      <c r="G214" s="1058"/>
      <c r="H214" s="1112" t="s">
        <v>206</v>
      </c>
      <c r="I214" s="1114" t="s">
        <v>73</v>
      </c>
      <c r="J214" s="1103" t="s">
        <v>74</v>
      </c>
    </row>
    <row r="215" spans="1:10" ht="24.95" customHeight="1">
      <c r="A215" s="1108"/>
      <c r="B215" s="1109"/>
      <c r="C215" s="1110"/>
      <c r="D215" s="705" t="s">
        <v>75</v>
      </c>
      <c r="E215" s="706" t="s">
        <v>76</v>
      </c>
      <c r="F215" s="706" t="s">
        <v>77</v>
      </c>
      <c r="G215" s="706" t="s">
        <v>55</v>
      </c>
      <c r="H215" s="1113"/>
      <c r="I215" s="1115"/>
      <c r="J215" s="1104"/>
    </row>
    <row r="216" spans="1:10" ht="20.100000000000001" customHeight="1">
      <c r="A216" s="628"/>
      <c r="B216" s="701"/>
      <c r="C216" s="702"/>
      <c r="D216" s="704"/>
      <c r="E216" s="703"/>
      <c r="F216" s="703"/>
      <c r="G216" s="627"/>
      <c r="H216" s="707"/>
      <c r="I216" s="703"/>
      <c r="J216" s="704"/>
    </row>
    <row r="217" spans="1:10" ht="39.950000000000003" customHeight="1">
      <c r="A217" s="608"/>
      <c r="B217" s="612"/>
      <c r="C217" s="708"/>
      <c r="D217" s="709"/>
      <c r="E217" s="710"/>
      <c r="F217" s="710"/>
      <c r="G217" s="607"/>
      <c r="H217" s="711" t="s">
        <v>1</v>
      </c>
      <c r="I217" s="710"/>
      <c r="J217" s="709"/>
    </row>
    <row r="218" spans="1:10" ht="39.950000000000003" customHeight="1">
      <c r="A218" s="712"/>
      <c r="B218" s="713" t="s">
        <v>27</v>
      </c>
      <c r="C218" s="714"/>
      <c r="D218" s="715">
        <f>인집!G16</f>
        <v>1732380</v>
      </c>
      <c r="E218" s="715">
        <f>인집!H16</f>
        <v>614039</v>
      </c>
      <c r="F218" s="715">
        <f>인집!I16</f>
        <v>577460</v>
      </c>
      <c r="G218" s="716">
        <f>SUM(D218:F218)</f>
        <v>2923879</v>
      </c>
      <c r="H218" s="891">
        <v>1.9</v>
      </c>
      <c r="I218" s="893">
        <f>TRUNC(G218*H218%,0)</f>
        <v>55553</v>
      </c>
      <c r="J218" s="710"/>
    </row>
    <row r="219" spans="1:10" ht="39.950000000000003" customHeight="1">
      <c r="A219" s="608"/>
      <c r="B219" s="713" t="s">
        <v>78</v>
      </c>
      <c r="C219" s="708"/>
      <c r="D219" s="715">
        <f t="shared" ref="D219:F221" si="10">D218</f>
        <v>1732380</v>
      </c>
      <c r="E219" s="715">
        <f t="shared" si="10"/>
        <v>614039</v>
      </c>
      <c r="F219" s="715">
        <f t="shared" si="10"/>
        <v>577460</v>
      </c>
      <c r="G219" s="716">
        <f>SUM(D219:F219)</f>
        <v>2923879</v>
      </c>
      <c r="H219" s="830">
        <f>$H$10</f>
        <v>4.5</v>
      </c>
      <c r="I219" s="717">
        <f>TRUNC(G219*H219%,0)</f>
        <v>131574</v>
      </c>
      <c r="J219" s="710"/>
    </row>
    <row r="220" spans="1:10" ht="39.950000000000003" customHeight="1">
      <c r="A220" s="608"/>
      <c r="B220" s="713" t="s">
        <v>79</v>
      </c>
      <c r="C220" s="708"/>
      <c r="D220" s="715">
        <f t="shared" si="10"/>
        <v>1732380</v>
      </c>
      <c r="E220" s="715">
        <f t="shared" si="10"/>
        <v>614039</v>
      </c>
      <c r="F220" s="715">
        <f t="shared" si="10"/>
        <v>577460</v>
      </c>
      <c r="G220" s="716">
        <f>SUM(D220:F220)</f>
        <v>2923879</v>
      </c>
      <c r="H220" s="830">
        <f>$H$11</f>
        <v>0.9</v>
      </c>
      <c r="I220" s="717">
        <f>TRUNC(G220*H220%,0)</f>
        <v>26314</v>
      </c>
      <c r="J220" s="710"/>
    </row>
    <row r="221" spans="1:10" ht="39.950000000000003" customHeight="1">
      <c r="A221" s="608"/>
      <c r="B221" s="713" t="s">
        <v>80</v>
      </c>
      <c r="C221" s="708"/>
      <c r="D221" s="715">
        <f t="shared" si="10"/>
        <v>1732380</v>
      </c>
      <c r="E221" s="715">
        <f t="shared" si="10"/>
        <v>614039</v>
      </c>
      <c r="F221" s="715">
        <f t="shared" si="10"/>
        <v>577460</v>
      </c>
      <c r="G221" s="716">
        <f>SUM(D221:F221)</f>
        <v>2923879</v>
      </c>
      <c r="H221" s="891">
        <v>3.06</v>
      </c>
      <c r="I221" s="893">
        <f>TRUNC(G221*H221%,0)</f>
        <v>89470</v>
      </c>
      <c r="J221" s="710"/>
    </row>
    <row r="222" spans="1:10" ht="39.950000000000003" customHeight="1">
      <c r="A222" s="608"/>
      <c r="B222" s="713" t="s">
        <v>237</v>
      </c>
      <c r="C222" s="708"/>
      <c r="D222" s="715"/>
      <c r="E222" s="715"/>
      <c r="F222" s="715"/>
      <c r="G222" s="715"/>
      <c r="H222" s="830">
        <f>$H$13</f>
        <v>6.55</v>
      </c>
      <c r="I222" s="893">
        <f>TRUNC(I221*H222%,0)</f>
        <v>5860</v>
      </c>
      <c r="J222" s="710" t="s">
        <v>215</v>
      </c>
    </row>
    <row r="223" spans="1:10" ht="39.950000000000003" customHeight="1">
      <c r="A223" s="718"/>
      <c r="B223" s="719" t="s">
        <v>81</v>
      </c>
      <c r="C223" s="720"/>
      <c r="D223" s="715">
        <f>D221</f>
        <v>1732380</v>
      </c>
      <c r="E223" s="715">
        <f>E221</f>
        <v>614039</v>
      </c>
      <c r="F223" s="715">
        <f>F221</f>
        <v>577460</v>
      </c>
      <c r="G223" s="716">
        <f>SUM(D223:F223)</f>
        <v>2923879</v>
      </c>
      <c r="H223" s="891">
        <v>0.06</v>
      </c>
      <c r="I223" s="893">
        <f>TRUNC(G223*H223%,0)</f>
        <v>1754</v>
      </c>
      <c r="J223" s="710"/>
    </row>
    <row r="224" spans="1:10" ht="20.100000000000001" customHeight="1">
      <c r="A224" s="721"/>
      <c r="B224" s="722"/>
      <c r="C224" s="723"/>
      <c r="D224" s="724"/>
      <c r="E224" s="724"/>
      <c r="F224" s="724"/>
      <c r="G224" s="725"/>
      <c r="H224" s="726"/>
      <c r="I224" s="894"/>
      <c r="J224" s="706"/>
    </row>
    <row r="225" spans="1:10" ht="45" customHeight="1">
      <c r="A225" s="728"/>
      <c r="B225" s="729" t="s">
        <v>178</v>
      </c>
      <c r="C225" s="730"/>
      <c r="D225" s="731"/>
      <c r="E225" s="732"/>
      <c r="F225" s="732"/>
      <c r="G225" s="733"/>
      <c r="H225" s="733"/>
      <c r="I225" s="892">
        <f>SUM(I218:I224)</f>
        <v>310525</v>
      </c>
      <c r="J225" s="734"/>
    </row>
    <row r="226" spans="1:10" s="681" customFormat="1" ht="24.95" customHeight="1">
      <c r="A226" s="679" t="str">
        <f>"주 1) 적용대상액 : "&amp;인집!$A$1&amp;인집!$A$2&amp;" 참조"</f>
        <v>주 1) 적용대상액 : &lt; 표 : 3 &gt; 단위당인건비집계표 참조</v>
      </c>
      <c r="C226" s="679"/>
      <c r="D226" s="679"/>
      <c r="E226" s="680"/>
      <c r="F226" s="680"/>
      <c r="G226" s="604"/>
      <c r="H226" s="604"/>
      <c r="I226" s="604"/>
      <c r="J226" s="735"/>
    </row>
    <row r="227" spans="1:10" s="681" customFormat="1" ht="24.95" customHeight="1">
      <c r="A227" s="679" t="str">
        <f>"   2) 비율(%) : "&amp;보험료산출기준!$A$1&amp;보험료산출기준!$A$2&amp;" 참조"</f>
        <v xml:space="preserve">   2) 비율(%) : &lt; 표 : 13 &gt; 경비산정기준표 참조</v>
      </c>
      <c r="C227" s="679"/>
      <c r="D227" s="679"/>
      <c r="E227" s="680"/>
      <c r="F227" s="680"/>
      <c r="G227" s="604"/>
      <c r="H227" s="604"/>
      <c r="I227" s="604"/>
      <c r="J227" s="735"/>
    </row>
    <row r="228" spans="1:10" s="681" customFormat="1" ht="24.95" customHeight="1">
      <c r="A228" s="683" t="s">
        <v>427</v>
      </c>
      <c r="C228" s="679"/>
      <c r="D228" s="682"/>
      <c r="E228" s="736"/>
      <c r="F228" s="736"/>
      <c r="G228" s="737"/>
      <c r="H228" s="737"/>
      <c r="I228" s="737"/>
    </row>
    <row r="229" spans="1:10" s="681" customFormat="1" ht="24.95" customHeight="1">
      <c r="A229" s="683"/>
      <c r="C229" s="679"/>
      <c r="D229" s="682"/>
      <c r="E229" s="736"/>
      <c r="F229" s="736"/>
      <c r="G229" s="737"/>
      <c r="H229" s="737"/>
      <c r="I229" s="737"/>
    </row>
    <row r="230" spans="1:10" s="681" customFormat="1" ht="24.95" customHeight="1">
      <c r="A230" s="683"/>
      <c r="C230" s="679"/>
      <c r="D230" s="682"/>
      <c r="E230" s="736"/>
      <c r="F230" s="736"/>
      <c r="G230" s="737"/>
      <c r="H230" s="737"/>
      <c r="I230" s="737"/>
    </row>
    <row r="231" spans="1:10" s="681" customFormat="1" ht="24.95" customHeight="1">
      <c r="A231" s="683"/>
      <c r="C231" s="679"/>
      <c r="D231" s="682"/>
      <c r="E231" s="736"/>
      <c r="F231" s="736"/>
      <c r="G231" s="737"/>
      <c r="H231" s="737"/>
      <c r="I231" s="737"/>
    </row>
    <row r="232" spans="1:10" s="681" customFormat="1" ht="24.95" customHeight="1">
      <c r="A232" s="683"/>
      <c r="C232" s="679"/>
      <c r="D232" s="682"/>
      <c r="E232" s="736"/>
      <c r="F232" s="736"/>
      <c r="G232" s="737"/>
      <c r="H232" s="737"/>
      <c r="I232" s="737"/>
    </row>
    <row r="233" spans="1:10" s="681" customFormat="1" ht="20.100000000000001" customHeight="1">
      <c r="A233" s="683"/>
      <c r="C233" s="679"/>
      <c r="D233" s="682"/>
      <c r="E233" s="736"/>
      <c r="F233" s="736"/>
      <c r="G233" s="737"/>
      <c r="H233" s="737"/>
      <c r="I233" s="737"/>
    </row>
  </sheetData>
  <mergeCells count="55">
    <mergeCell ref="J5:J6"/>
    <mergeCell ref="A5:C6"/>
    <mergeCell ref="D5:G5"/>
    <mergeCell ref="H5:H6"/>
    <mergeCell ref="I5:I6"/>
    <mergeCell ref="J109:J110"/>
    <mergeCell ref="J46:J47"/>
    <mergeCell ref="A25:C26"/>
    <mergeCell ref="D25:G25"/>
    <mergeCell ref="H25:H26"/>
    <mergeCell ref="I25:I26"/>
    <mergeCell ref="J25:J26"/>
    <mergeCell ref="J88:J89"/>
    <mergeCell ref="A67:C68"/>
    <mergeCell ref="A46:C47"/>
    <mergeCell ref="D46:G46"/>
    <mergeCell ref="H46:H47"/>
    <mergeCell ref="A109:C110"/>
    <mergeCell ref="D109:G109"/>
    <mergeCell ref="I46:I47"/>
    <mergeCell ref="H109:H110"/>
    <mergeCell ref="I109:I110"/>
    <mergeCell ref="A193:C194"/>
    <mergeCell ref="D193:G193"/>
    <mergeCell ref="H193:H194"/>
    <mergeCell ref="I193:I194"/>
    <mergeCell ref="A151:C152"/>
    <mergeCell ref="D151:G151"/>
    <mergeCell ref="H151:H152"/>
    <mergeCell ref="I151:I152"/>
    <mergeCell ref="J130:J131"/>
    <mergeCell ref="A130:C131"/>
    <mergeCell ref="D130:G130"/>
    <mergeCell ref="H130:H131"/>
    <mergeCell ref="I130:I131"/>
    <mergeCell ref="J67:J68"/>
    <mergeCell ref="A88:C89"/>
    <mergeCell ref="D88:G88"/>
    <mergeCell ref="H88:H89"/>
    <mergeCell ref="I88:I89"/>
    <mergeCell ref="D67:G67"/>
    <mergeCell ref="H67:H68"/>
    <mergeCell ref="I67:I68"/>
    <mergeCell ref="J151:J152"/>
    <mergeCell ref="A214:C215"/>
    <mergeCell ref="D214:G214"/>
    <mergeCell ref="H214:H215"/>
    <mergeCell ref="I214:I215"/>
    <mergeCell ref="J214:J215"/>
    <mergeCell ref="J193:J194"/>
    <mergeCell ref="A172:C173"/>
    <mergeCell ref="D172:G172"/>
    <mergeCell ref="H172:H173"/>
    <mergeCell ref="I172:I173"/>
    <mergeCell ref="J172:J173"/>
  </mergeCells>
  <phoneticPr fontId="5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5">
    <tabColor rgb="FFFF0000"/>
  </sheetPr>
  <dimension ref="A1:J15"/>
  <sheetViews>
    <sheetView view="pageBreakPreview" topLeftCell="A4" zoomScaleNormal="100" zoomScaleSheetLayoutView="100" workbookViewId="0">
      <selection activeCell="G8" sqref="G8"/>
    </sheetView>
  </sheetViews>
  <sheetFormatPr defaultRowHeight="12"/>
  <cols>
    <col min="1" max="1" width="8.42578125" style="467" customWidth="1"/>
    <col min="2" max="2" width="1.28515625" style="467" customWidth="1"/>
    <col min="3" max="3" width="21.28515625" style="467" bestFit="1" customWidth="1"/>
    <col min="4" max="4" width="1.28515625" style="467" customWidth="1"/>
    <col min="5" max="5" width="30" style="461" customWidth="1"/>
    <col min="6" max="6" width="96.7109375" style="461" customWidth="1"/>
    <col min="7" max="7" width="33.85546875" style="461" customWidth="1"/>
    <col min="8" max="8" width="13.28515625" style="461" bestFit="1" customWidth="1"/>
    <col min="9" max="9" width="9.140625" style="461" customWidth="1"/>
    <col min="10" max="10" width="9.140625" style="462"/>
    <col min="11" max="16384" width="9.140625" style="461"/>
  </cols>
  <sheetData>
    <row r="1" spans="1:10" ht="20.100000000000001" customHeight="1">
      <c r="A1" s="419" t="s">
        <v>488</v>
      </c>
      <c r="B1" s="460"/>
      <c r="C1" s="460"/>
      <c r="D1" s="460"/>
    </row>
    <row r="2" spans="1:10" s="465" customFormat="1" ht="42" customHeight="1">
      <c r="A2" s="463" t="s">
        <v>386</v>
      </c>
      <c r="B2" s="464"/>
      <c r="C2" s="464"/>
      <c r="D2" s="464"/>
      <c r="E2" s="463"/>
      <c r="F2" s="463"/>
      <c r="G2" s="463"/>
      <c r="H2" s="463"/>
      <c r="J2" s="466"/>
    </row>
    <row r="3" spans="1:10" ht="30" customHeight="1"/>
    <row r="4" spans="1:10" ht="24.95" customHeight="1">
      <c r="A4" s="1073" t="s">
        <v>387</v>
      </c>
      <c r="B4" s="1067"/>
      <c r="C4" s="1067"/>
      <c r="D4" s="1074"/>
      <c r="E4" s="1077" t="s">
        <v>388</v>
      </c>
      <c r="F4" s="1079" t="s">
        <v>389</v>
      </c>
      <c r="G4" s="1077" t="s">
        <v>390</v>
      </c>
      <c r="H4" s="1077" t="s">
        <v>391</v>
      </c>
    </row>
    <row r="5" spans="1:10" ht="24.95" customHeight="1">
      <c r="A5" s="1075"/>
      <c r="B5" s="1068"/>
      <c r="C5" s="1068"/>
      <c r="D5" s="1076"/>
      <c r="E5" s="1078"/>
      <c r="F5" s="1080"/>
      <c r="G5" s="1078"/>
      <c r="H5" s="1078"/>
    </row>
    <row r="6" spans="1:10" ht="65.25" customHeight="1">
      <c r="A6" s="1116" t="s">
        <v>392</v>
      </c>
      <c r="B6" s="468"/>
      <c r="C6" s="469" t="s">
        <v>27</v>
      </c>
      <c r="D6" s="470"/>
      <c r="E6" s="471" t="s">
        <v>393</v>
      </c>
      <c r="F6" s="471" t="s">
        <v>559</v>
      </c>
      <c r="G6" s="848" t="s">
        <v>712</v>
      </c>
      <c r="H6" s="472" t="str">
        <f>산재비율!A1&amp;"
참조"</f>
        <v>&lt; 표 : 14 &gt; 
참조</v>
      </c>
      <c r="I6" s="828">
        <v>1.8</v>
      </c>
    </row>
    <row r="7" spans="1:10" ht="65.25" customHeight="1">
      <c r="A7" s="1117"/>
      <c r="B7" s="468"/>
      <c r="C7" s="469" t="s">
        <v>78</v>
      </c>
      <c r="D7" s="470"/>
      <c r="E7" s="471" t="s">
        <v>560</v>
      </c>
      <c r="F7" s="471" t="s">
        <v>394</v>
      </c>
      <c r="G7" s="829" t="s">
        <v>395</v>
      </c>
      <c r="H7" s="473"/>
      <c r="I7" s="828">
        <v>4.5</v>
      </c>
    </row>
    <row r="8" spans="1:10" ht="152.25" customHeight="1">
      <c r="A8" s="1117"/>
      <c r="B8" s="468"/>
      <c r="C8" s="469" t="s">
        <v>201</v>
      </c>
      <c r="D8" s="470"/>
      <c r="E8" s="471" t="s">
        <v>561</v>
      </c>
      <c r="F8" s="600" t="s">
        <v>562</v>
      </c>
      <c r="G8" s="829" t="s">
        <v>567</v>
      </c>
      <c r="H8" s="473"/>
      <c r="I8" s="828">
        <v>0.9</v>
      </c>
    </row>
    <row r="9" spans="1:10" ht="65.25" customHeight="1">
      <c r="A9" s="1117"/>
      <c r="B9" s="468"/>
      <c r="C9" s="469" t="s">
        <v>80</v>
      </c>
      <c r="D9" s="470"/>
      <c r="E9" s="471" t="s">
        <v>563</v>
      </c>
      <c r="F9" s="847" t="s">
        <v>585</v>
      </c>
      <c r="G9" s="848" t="s">
        <v>586</v>
      </c>
      <c r="H9" s="473"/>
      <c r="I9" s="828">
        <v>3.0350000000000001</v>
      </c>
    </row>
    <row r="10" spans="1:10" ht="65.25" customHeight="1">
      <c r="A10" s="1117"/>
      <c r="B10" s="468"/>
      <c r="C10" s="469" t="s">
        <v>396</v>
      </c>
      <c r="D10" s="470"/>
      <c r="E10" s="471" t="s">
        <v>564</v>
      </c>
      <c r="F10" s="471" t="s">
        <v>397</v>
      </c>
      <c r="G10" s="829" t="s">
        <v>398</v>
      </c>
      <c r="H10" s="473"/>
      <c r="I10" s="828">
        <v>6.55</v>
      </c>
    </row>
    <row r="11" spans="1:10" ht="65.25" customHeight="1">
      <c r="A11" s="1118"/>
      <c r="B11" s="468"/>
      <c r="C11" s="469" t="s">
        <v>81</v>
      </c>
      <c r="D11" s="470"/>
      <c r="E11" s="471" t="s">
        <v>565</v>
      </c>
      <c r="F11" s="471" t="s">
        <v>566</v>
      </c>
      <c r="G11" s="829" t="s">
        <v>399</v>
      </c>
      <c r="H11" s="473"/>
      <c r="I11" s="828">
        <v>0.08</v>
      </c>
    </row>
    <row r="12" spans="1:10" ht="29.25" customHeight="1">
      <c r="A12" s="474"/>
      <c r="B12" s="475"/>
      <c r="C12" s="475"/>
      <c r="D12" s="475"/>
    </row>
    <row r="13" spans="1:10" ht="27.95" customHeight="1"/>
    <row r="14" spans="1:10" ht="27.95" customHeight="1"/>
    <row r="15" spans="1:10" ht="39.950000000000003" customHeight="1"/>
  </sheetData>
  <mergeCells count="6">
    <mergeCell ref="H4:H5"/>
    <mergeCell ref="A6:A11"/>
    <mergeCell ref="A4:D5"/>
    <mergeCell ref="E4:E5"/>
    <mergeCell ref="F4:F5"/>
    <mergeCell ref="G4:G5"/>
  </mergeCells>
  <phoneticPr fontId="5" type="noConversion"/>
  <pageMargins left="0.78740157480314965" right="0.78740157480314965" top="0.78740157480314965" bottom="0.78740157480314965" header="0.51181102362204722" footer="0.51181102362204722"/>
  <pageSetup paperSize="9" scale="70" orientation="landscape" r:id="rId1"/>
  <headerFooter alignWithMargins="0">
    <oddFooter>&amp;C- &amp;P -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6"/>
  <dimension ref="A1:M2012"/>
  <sheetViews>
    <sheetView showGridLines="0" showZeros="0" view="pageBreakPreview" topLeftCell="A4" zoomScaleNormal="100" zoomScaleSheetLayoutView="100" workbookViewId="0">
      <selection activeCell="J35" sqref="J35"/>
    </sheetView>
  </sheetViews>
  <sheetFormatPr defaultRowHeight="24.95" customHeight="1"/>
  <cols>
    <col min="1" max="1" width="0.85546875" style="425" customWidth="1"/>
    <col min="2" max="2" width="35.7109375" style="420" customWidth="1"/>
    <col min="3" max="3" width="1" style="422" customWidth="1"/>
    <col min="4" max="4" width="11" style="422" customWidth="1"/>
    <col min="5" max="5" width="0.5703125" style="422" customWidth="1"/>
    <col min="6" max="6" width="39.5703125" style="438" customWidth="1"/>
    <col min="7" max="7" width="0.7109375" style="422" customWidth="1"/>
    <col min="8" max="8" width="10.85546875" style="422" customWidth="1"/>
    <col min="9" max="13" width="9.140625" style="424"/>
    <col min="14" max="16384" width="9.140625" style="425"/>
  </cols>
  <sheetData>
    <row r="1" spans="1:13" ht="19.5" customHeight="1">
      <c r="A1" s="419" t="s">
        <v>489</v>
      </c>
      <c r="C1" s="421"/>
      <c r="F1" s="423"/>
    </row>
    <row r="2" spans="1:13" s="432" customFormat="1" ht="30" customHeight="1">
      <c r="A2" s="426" t="s">
        <v>400</v>
      </c>
      <c r="B2" s="427"/>
      <c r="C2" s="428"/>
      <c r="D2" s="428"/>
      <c r="E2" s="428"/>
      <c r="F2" s="429"/>
      <c r="G2" s="428"/>
      <c r="H2" s="428"/>
      <c r="I2" s="430"/>
      <c r="J2" s="431"/>
      <c r="K2" s="431"/>
      <c r="L2" s="431"/>
      <c r="M2" s="431"/>
    </row>
    <row r="3" spans="1:13" ht="5.25" customHeight="1">
      <c r="A3" s="433"/>
      <c r="B3" s="434"/>
      <c r="C3" s="435"/>
      <c r="D3" s="435"/>
      <c r="E3" s="435"/>
      <c r="F3" s="436"/>
      <c r="G3" s="435"/>
      <c r="H3" s="435"/>
      <c r="I3" s="437"/>
      <c r="J3" s="437"/>
      <c r="K3" s="437"/>
      <c r="L3" s="437"/>
      <c r="M3" s="437"/>
    </row>
    <row r="4" spans="1:13" ht="18" customHeight="1">
      <c r="A4" s="420"/>
      <c r="H4" s="439" t="s">
        <v>401</v>
      </c>
    </row>
    <row r="5" spans="1:13" ht="33" customHeight="1">
      <c r="A5" s="440"/>
      <c r="B5" s="441" t="s">
        <v>402</v>
      </c>
      <c r="C5" s="442"/>
      <c r="D5" s="443" t="s">
        <v>403</v>
      </c>
      <c r="E5" s="440"/>
      <c r="F5" s="441" t="s">
        <v>402</v>
      </c>
      <c r="G5" s="442"/>
      <c r="H5" s="443" t="s">
        <v>403</v>
      </c>
    </row>
    <row r="6" spans="1:13" ht="17.100000000000001" customHeight="1">
      <c r="A6" s="444"/>
      <c r="B6" s="445" t="s">
        <v>404</v>
      </c>
      <c r="C6" s="446"/>
      <c r="D6" s="447"/>
      <c r="E6" s="447"/>
      <c r="F6" s="448"/>
      <c r="G6" s="449"/>
      <c r="H6" s="450"/>
    </row>
    <row r="7" spans="1:13" ht="17.100000000000001" customHeight="1">
      <c r="A7" s="444"/>
      <c r="B7" s="445" t="s">
        <v>82</v>
      </c>
      <c r="C7" s="451"/>
      <c r="D7" s="865">
        <v>354</v>
      </c>
      <c r="E7" s="444"/>
      <c r="F7" s="445" t="s">
        <v>518</v>
      </c>
      <c r="G7" s="451"/>
      <c r="H7" s="867">
        <v>11</v>
      </c>
    </row>
    <row r="8" spans="1:13" ht="17.100000000000001" customHeight="1">
      <c r="A8" s="444"/>
      <c r="B8" s="445" t="s">
        <v>83</v>
      </c>
      <c r="C8" s="451"/>
      <c r="D8" s="865">
        <v>201</v>
      </c>
      <c r="E8" s="444"/>
      <c r="F8" s="445" t="s">
        <v>86</v>
      </c>
      <c r="G8" s="451"/>
      <c r="H8" s="867" t="s">
        <v>587</v>
      </c>
    </row>
    <row r="9" spans="1:13" ht="17.100000000000001" customHeight="1">
      <c r="A9" s="444"/>
      <c r="B9" s="445" t="s">
        <v>405</v>
      </c>
      <c r="C9" s="451"/>
      <c r="D9" s="865" t="s">
        <v>588</v>
      </c>
      <c r="E9" s="444"/>
      <c r="F9" s="445" t="s">
        <v>87</v>
      </c>
      <c r="G9" s="451"/>
      <c r="H9" s="867">
        <v>33</v>
      </c>
    </row>
    <row r="10" spans="1:13" ht="17.100000000000001" customHeight="1">
      <c r="A10" s="444"/>
      <c r="B10" s="445" t="s">
        <v>85</v>
      </c>
      <c r="C10" s="451"/>
      <c r="D10" s="865" t="s">
        <v>589</v>
      </c>
      <c r="E10" s="444"/>
      <c r="F10" s="445" t="s">
        <v>173</v>
      </c>
      <c r="G10" s="451"/>
      <c r="H10" s="867">
        <v>10</v>
      </c>
    </row>
    <row r="11" spans="1:13" ht="17.100000000000001" customHeight="1">
      <c r="A11" s="444"/>
      <c r="B11" s="445" t="s">
        <v>406</v>
      </c>
      <c r="C11" s="451"/>
      <c r="D11" s="865" t="s">
        <v>590</v>
      </c>
      <c r="E11" s="444"/>
      <c r="F11" s="445" t="s">
        <v>407</v>
      </c>
      <c r="G11" s="451"/>
      <c r="H11" s="867" t="s">
        <v>591</v>
      </c>
    </row>
    <row r="12" spans="1:13" ht="17.100000000000001" customHeight="1">
      <c r="A12" s="444"/>
      <c r="B12" s="445" t="s">
        <v>88</v>
      </c>
      <c r="C12" s="451"/>
      <c r="D12" s="865"/>
      <c r="E12" s="444"/>
      <c r="F12" s="445" t="s">
        <v>91</v>
      </c>
      <c r="G12" s="451"/>
      <c r="H12" s="867"/>
    </row>
    <row r="13" spans="1:13" ht="17.100000000000001" customHeight="1">
      <c r="A13" s="444"/>
      <c r="B13" s="445" t="s">
        <v>89</v>
      </c>
      <c r="C13" s="451"/>
      <c r="D13" s="865">
        <v>22</v>
      </c>
      <c r="E13" s="444"/>
      <c r="F13" s="445" t="s">
        <v>93</v>
      </c>
      <c r="G13" s="451"/>
      <c r="H13" s="867">
        <v>9</v>
      </c>
    </row>
    <row r="14" spans="1:13" ht="17.100000000000001" customHeight="1">
      <c r="A14" s="444"/>
      <c r="B14" s="445" t="s">
        <v>90</v>
      </c>
      <c r="C14" s="451"/>
      <c r="D14" s="865">
        <v>9</v>
      </c>
      <c r="E14" s="444"/>
      <c r="F14" s="445" t="s">
        <v>519</v>
      </c>
      <c r="G14" s="451"/>
      <c r="H14" s="867" t="s">
        <v>592</v>
      </c>
    </row>
    <row r="15" spans="1:13" ht="17.100000000000001" customHeight="1">
      <c r="A15" s="444"/>
      <c r="B15" s="445" t="s">
        <v>92</v>
      </c>
      <c r="C15" s="451"/>
      <c r="D15" s="865">
        <v>14</v>
      </c>
      <c r="E15" s="444"/>
      <c r="F15" s="445" t="s">
        <v>520</v>
      </c>
      <c r="G15" s="451"/>
      <c r="H15" s="867" t="s">
        <v>592</v>
      </c>
    </row>
    <row r="16" spans="1:13" ht="17.100000000000001" customHeight="1">
      <c r="A16" s="444"/>
      <c r="B16" s="445" t="s">
        <v>94</v>
      </c>
      <c r="C16" s="451"/>
      <c r="D16" s="865">
        <v>25</v>
      </c>
      <c r="E16" s="444"/>
      <c r="F16" s="445" t="s">
        <v>96</v>
      </c>
      <c r="G16" s="451"/>
      <c r="H16" s="867">
        <v>73</v>
      </c>
    </row>
    <row r="17" spans="1:13" ht="17.100000000000001" customHeight="1">
      <c r="A17" s="444"/>
      <c r="B17" s="445" t="s">
        <v>95</v>
      </c>
      <c r="C17" s="451"/>
      <c r="D17" s="865" t="s">
        <v>593</v>
      </c>
      <c r="E17" s="444"/>
      <c r="F17" s="445" t="s">
        <v>408</v>
      </c>
      <c r="G17" s="451"/>
      <c r="H17" s="867" t="s">
        <v>594</v>
      </c>
    </row>
    <row r="18" spans="1:13" ht="17.100000000000001" customHeight="1">
      <c r="A18" s="444"/>
      <c r="B18" s="445" t="s">
        <v>97</v>
      </c>
      <c r="C18" s="451"/>
      <c r="D18" s="865" t="s">
        <v>595</v>
      </c>
      <c r="E18" s="444"/>
      <c r="F18" s="445" t="s">
        <v>410</v>
      </c>
      <c r="G18" s="451"/>
      <c r="H18" s="867"/>
    </row>
    <row r="19" spans="1:13" ht="17.100000000000001" customHeight="1">
      <c r="A19" s="444"/>
      <c r="B19" s="445" t="s">
        <v>409</v>
      </c>
      <c r="C19" s="451"/>
      <c r="D19" s="865">
        <v>26</v>
      </c>
      <c r="E19" s="444"/>
      <c r="F19" s="445" t="s">
        <v>98</v>
      </c>
      <c r="G19" s="451"/>
      <c r="H19" s="867">
        <v>7</v>
      </c>
    </row>
    <row r="20" spans="1:13" ht="17.100000000000001" customHeight="1">
      <c r="A20" s="444"/>
      <c r="B20" s="453" t="s">
        <v>411</v>
      </c>
      <c r="C20" s="451"/>
      <c r="D20" s="865"/>
      <c r="E20" s="444"/>
      <c r="F20" s="445" t="s">
        <v>99</v>
      </c>
      <c r="G20" s="451"/>
      <c r="H20" s="867">
        <v>9</v>
      </c>
    </row>
    <row r="21" spans="1:13" ht="17.100000000000001" customHeight="1">
      <c r="A21" s="444"/>
      <c r="B21" s="445" t="s">
        <v>412</v>
      </c>
      <c r="C21" s="451"/>
      <c r="D21" s="865">
        <v>10</v>
      </c>
      <c r="E21" s="444"/>
      <c r="F21" s="445" t="s">
        <v>414</v>
      </c>
      <c r="G21" s="451"/>
      <c r="H21" s="867" t="s">
        <v>596</v>
      </c>
    </row>
    <row r="22" spans="1:13" ht="17.100000000000001" customHeight="1">
      <c r="A22" s="444"/>
      <c r="B22" s="445" t="s">
        <v>413</v>
      </c>
      <c r="C22" s="451"/>
      <c r="D22" s="865">
        <v>16</v>
      </c>
      <c r="E22" s="444"/>
      <c r="F22" s="445" t="s">
        <v>415</v>
      </c>
      <c r="G22" s="451"/>
      <c r="H22" s="867" t="s">
        <v>597</v>
      </c>
    </row>
    <row r="23" spans="1:13" ht="17.100000000000001" customHeight="1">
      <c r="A23" s="444"/>
      <c r="B23" s="445" t="s">
        <v>100</v>
      </c>
      <c r="C23" s="451"/>
      <c r="D23" s="865">
        <v>18</v>
      </c>
      <c r="E23" s="444"/>
      <c r="F23" s="445" t="s">
        <v>416</v>
      </c>
      <c r="G23" s="451"/>
      <c r="H23" s="867" t="s">
        <v>590</v>
      </c>
    </row>
    <row r="24" spans="1:13" ht="17.100000000000001" customHeight="1">
      <c r="A24" s="444"/>
      <c r="B24" s="445" t="s">
        <v>101</v>
      </c>
      <c r="C24" s="451"/>
      <c r="D24" s="865">
        <v>9</v>
      </c>
      <c r="E24" s="444"/>
      <c r="F24" s="445" t="s">
        <v>417</v>
      </c>
      <c r="G24" s="451"/>
      <c r="H24" s="867"/>
    </row>
    <row r="25" spans="1:13" ht="17.100000000000001" customHeight="1">
      <c r="A25" s="444"/>
      <c r="B25" s="445" t="s">
        <v>102</v>
      </c>
      <c r="C25" s="451"/>
      <c r="D25" s="865" t="s">
        <v>598</v>
      </c>
      <c r="E25" s="444"/>
      <c r="F25" s="445" t="s">
        <v>174</v>
      </c>
      <c r="G25" s="451"/>
      <c r="H25" s="867" t="s">
        <v>599</v>
      </c>
    </row>
    <row r="26" spans="1:13" ht="17.100000000000001" customHeight="1">
      <c r="A26" s="444"/>
      <c r="B26" s="445" t="s">
        <v>418</v>
      </c>
      <c r="C26" s="451"/>
      <c r="D26" s="865" t="s">
        <v>600</v>
      </c>
      <c r="E26" s="444"/>
      <c r="F26" s="445" t="s">
        <v>419</v>
      </c>
      <c r="G26" s="451"/>
      <c r="H26" s="867" t="s">
        <v>601</v>
      </c>
    </row>
    <row r="27" spans="1:13" ht="17.100000000000001" customHeight="1">
      <c r="A27" s="444"/>
      <c r="B27" s="445" t="s">
        <v>103</v>
      </c>
      <c r="C27" s="451"/>
      <c r="D27" s="865" t="s">
        <v>602</v>
      </c>
      <c r="E27" s="444"/>
      <c r="F27" s="445" t="s">
        <v>420</v>
      </c>
      <c r="G27" s="451"/>
      <c r="H27" s="867" t="s">
        <v>603</v>
      </c>
    </row>
    <row r="28" spans="1:13" ht="17.100000000000001" customHeight="1">
      <c r="A28" s="444"/>
      <c r="B28" s="445" t="s">
        <v>104</v>
      </c>
      <c r="C28" s="451"/>
      <c r="D28" s="865" t="s">
        <v>592</v>
      </c>
      <c r="E28" s="444"/>
      <c r="F28" s="445" t="s">
        <v>105</v>
      </c>
      <c r="G28" s="451"/>
      <c r="H28" s="867"/>
    </row>
    <row r="29" spans="1:13" ht="17.100000000000001" customHeight="1">
      <c r="A29" s="444"/>
      <c r="B29" s="445" t="s">
        <v>521</v>
      </c>
      <c r="C29" s="451"/>
      <c r="D29" s="865">
        <v>32</v>
      </c>
      <c r="E29" s="440"/>
      <c r="F29" s="454" t="s">
        <v>107</v>
      </c>
      <c r="G29" s="442"/>
      <c r="H29" s="869" t="s">
        <v>604</v>
      </c>
    </row>
    <row r="30" spans="1:13" ht="17.100000000000001" customHeight="1">
      <c r="A30" s="444"/>
      <c r="B30" s="445" t="s">
        <v>106</v>
      </c>
      <c r="C30" s="451"/>
      <c r="D30" s="865" t="s">
        <v>605</v>
      </c>
      <c r="E30" s="444"/>
      <c r="F30" s="445" t="s">
        <v>109</v>
      </c>
      <c r="G30" s="451"/>
      <c r="H30" s="867" t="s">
        <v>594</v>
      </c>
    </row>
    <row r="31" spans="1:13" ht="24">
      <c r="A31" s="444"/>
      <c r="B31" s="453" t="s">
        <v>421</v>
      </c>
      <c r="C31" s="451"/>
      <c r="D31" s="865" t="s">
        <v>606</v>
      </c>
      <c r="E31" s="444"/>
      <c r="F31" s="445"/>
      <c r="G31" s="451"/>
      <c r="H31" s="867" t="s">
        <v>607</v>
      </c>
    </row>
    <row r="32" spans="1:13" ht="17.100000000000001" customHeight="1">
      <c r="A32" s="444"/>
      <c r="B32" s="445" t="s">
        <v>108</v>
      </c>
      <c r="C32" s="451"/>
      <c r="D32" s="865">
        <v>12</v>
      </c>
      <c r="E32" s="444"/>
      <c r="F32" s="445" t="s">
        <v>112</v>
      </c>
      <c r="G32" s="451"/>
      <c r="H32" s="867">
        <v>10</v>
      </c>
      <c r="I32" s="425"/>
      <c r="J32" s="425"/>
      <c r="K32" s="425"/>
      <c r="L32" s="425"/>
      <c r="M32" s="425"/>
    </row>
    <row r="33" spans="1:13" ht="17.100000000000001" customHeight="1">
      <c r="A33" s="444"/>
      <c r="B33" s="445" t="s">
        <v>110</v>
      </c>
      <c r="C33" s="451"/>
      <c r="D33" s="865">
        <v>37</v>
      </c>
      <c r="E33" s="444"/>
      <c r="F33" s="445" t="s">
        <v>423</v>
      </c>
      <c r="G33" s="451"/>
      <c r="H33" s="867" t="s">
        <v>608</v>
      </c>
      <c r="I33" s="425"/>
      <c r="J33" s="425"/>
      <c r="K33" s="425"/>
      <c r="L33" s="425"/>
      <c r="M33" s="425"/>
    </row>
    <row r="34" spans="1:13" ht="17.100000000000001" customHeight="1">
      <c r="A34" s="444"/>
      <c r="B34" s="445" t="s">
        <v>422</v>
      </c>
      <c r="C34" s="451"/>
      <c r="D34" s="865">
        <v>23</v>
      </c>
      <c r="E34" s="444"/>
      <c r="F34" s="445" t="s">
        <v>424</v>
      </c>
      <c r="G34" s="451"/>
      <c r="H34" s="867" t="s">
        <v>609</v>
      </c>
      <c r="I34" s="425"/>
      <c r="J34" s="425"/>
      <c r="K34" s="425"/>
      <c r="L34" s="425"/>
      <c r="M34" s="425"/>
    </row>
    <row r="35" spans="1:13" ht="17.100000000000001" customHeight="1">
      <c r="A35" s="444"/>
      <c r="B35" s="445" t="s">
        <v>111</v>
      </c>
      <c r="C35" s="451"/>
      <c r="D35" s="865" t="s">
        <v>602</v>
      </c>
      <c r="E35" s="444"/>
      <c r="F35" s="445" t="s">
        <v>228</v>
      </c>
      <c r="G35" s="451"/>
      <c r="H35" s="867">
        <v>6</v>
      </c>
      <c r="I35" s="425"/>
      <c r="J35" s="425"/>
      <c r="K35" s="425"/>
      <c r="L35" s="425"/>
      <c r="M35" s="425"/>
    </row>
    <row r="36" spans="1:13" ht="17.100000000000001" customHeight="1">
      <c r="A36" s="444"/>
      <c r="B36" s="445" t="s">
        <v>113</v>
      </c>
      <c r="C36" s="451"/>
      <c r="D36" s="865">
        <v>13</v>
      </c>
      <c r="E36" s="444"/>
      <c r="F36" s="445" t="s">
        <v>175</v>
      </c>
      <c r="G36" s="451"/>
      <c r="H36" s="867">
        <v>7</v>
      </c>
      <c r="I36" s="425"/>
      <c r="J36" s="425"/>
      <c r="K36" s="425"/>
      <c r="L36" s="425"/>
      <c r="M36" s="425"/>
    </row>
    <row r="37" spans="1:13" ht="17.100000000000001" customHeight="1">
      <c r="A37" s="444"/>
      <c r="B37" s="445" t="s">
        <v>177</v>
      </c>
      <c r="D37" s="866">
        <v>7</v>
      </c>
      <c r="E37" s="444"/>
      <c r="F37" s="445" t="s">
        <v>176</v>
      </c>
      <c r="G37" s="451"/>
      <c r="H37" s="867">
        <v>8</v>
      </c>
      <c r="I37" s="425"/>
      <c r="J37" s="425"/>
      <c r="K37" s="425"/>
      <c r="L37" s="425"/>
      <c r="M37" s="425"/>
    </row>
    <row r="38" spans="1:13" ht="17.100000000000001" customHeight="1">
      <c r="A38" s="444"/>
      <c r="B38" s="445" t="s">
        <v>84</v>
      </c>
      <c r="D38" s="866" t="s">
        <v>610</v>
      </c>
      <c r="E38" s="444"/>
      <c r="F38" s="445" t="s">
        <v>425</v>
      </c>
      <c r="G38" s="451"/>
      <c r="H38" s="867" t="s">
        <v>611</v>
      </c>
      <c r="I38" s="425"/>
      <c r="J38" s="425"/>
      <c r="K38" s="425"/>
      <c r="L38" s="425"/>
      <c r="M38" s="425"/>
    </row>
    <row r="39" spans="1:13" ht="17.100000000000001" customHeight="1">
      <c r="A39" s="444"/>
      <c r="B39" s="445" t="s">
        <v>522</v>
      </c>
      <c r="C39" s="451"/>
      <c r="D39" s="866" t="s">
        <v>592</v>
      </c>
      <c r="E39" s="444"/>
      <c r="F39" s="445" t="s">
        <v>426</v>
      </c>
      <c r="G39" s="451"/>
      <c r="H39" s="452"/>
      <c r="I39" s="425"/>
      <c r="J39" s="425"/>
      <c r="K39" s="425"/>
      <c r="L39" s="425"/>
      <c r="M39" s="425"/>
    </row>
    <row r="40" spans="1:13" ht="17.100000000000001" customHeight="1">
      <c r="A40" s="444"/>
      <c r="B40" s="445" t="s">
        <v>227</v>
      </c>
      <c r="C40" s="451"/>
      <c r="D40" s="866" t="s">
        <v>612</v>
      </c>
      <c r="E40" s="444"/>
      <c r="F40" s="445"/>
      <c r="G40" s="451"/>
      <c r="H40" s="452"/>
      <c r="I40" s="425"/>
      <c r="J40" s="425"/>
      <c r="K40" s="425"/>
      <c r="L40" s="425"/>
      <c r="M40" s="425"/>
    </row>
    <row r="41" spans="1:13" ht="1.5" customHeight="1">
      <c r="A41" s="455"/>
      <c r="B41" s="456"/>
      <c r="C41" s="457"/>
      <c r="D41" s="458"/>
      <c r="E41" s="455"/>
      <c r="F41" s="456"/>
      <c r="G41" s="459"/>
      <c r="H41" s="458"/>
      <c r="I41" s="425"/>
      <c r="J41" s="425"/>
      <c r="K41" s="425"/>
      <c r="L41" s="425"/>
      <c r="M41" s="425"/>
    </row>
    <row r="42" spans="1:13" ht="18" customHeight="1">
      <c r="B42" s="868" t="s">
        <v>613</v>
      </c>
      <c r="F42" s="423"/>
      <c r="I42" s="425"/>
      <c r="J42" s="425"/>
      <c r="K42" s="425"/>
      <c r="L42" s="425"/>
      <c r="M42" s="425"/>
    </row>
    <row r="43" spans="1:13" ht="15" customHeight="1">
      <c r="A43" s="424"/>
      <c r="B43" s="424"/>
      <c r="C43" s="424"/>
      <c r="D43" s="424"/>
      <c r="E43" s="424"/>
      <c r="F43" s="424"/>
      <c r="G43" s="424"/>
      <c r="H43" s="424"/>
      <c r="I43" s="425"/>
      <c r="J43" s="425"/>
      <c r="K43" s="425"/>
      <c r="L43" s="425"/>
      <c r="M43" s="425"/>
    </row>
    <row r="44" spans="1:13" ht="15" customHeight="1">
      <c r="A44" s="424"/>
      <c r="B44" s="424"/>
      <c r="C44" s="424"/>
      <c r="D44" s="424"/>
      <c r="E44" s="424"/>
      <c r="F44" s="424"/>
      <c r="G44" s="424"/>
      <c r="H44" s="424"/>
      <c r="I44" s="425"/>
      <c r="J44" s="425"/>
      <c r="K44" s="425"/>
      <c r="L44" s="425"/>
      <c r="M44" s="425"/>
    </row>
    <row r="45" spans="1:13" ht="15" customHeight="1">
      <c r="A45" s="424"/>
      <c r="B45" s="424"/>
      <c r="C45" s="424"/>
      <c r="D45" s="424"/>
      <c r="E45" s="424"/>
      <c r="F45" s="424"/>
      <c r="G45" s="424"/>
      <c r="H45" s="424"/>
      <c r="I45" s="425"/>
      <c r="J45" s="425"/>
      <c r="K45" s="425"/>
      <c r="L45" s="425"/>
      <c r="M45" s="425"/>
    </row>
    <row r="46" spans="1:13" ht="15" customHeight="1">
      <c r="A46" s="424"/>
      <c r="B46" s="424"/>
      <c r="C46" s="424"/>
      <c r="D46" s="424"/>
      <c r="E46" s="424"/>
      <c r="F46" s="424"/>
      <c r="G46" s="424"/>
      <c r="H46" s="424"/>
      <c r="I46" s="425"/>
      <c r="J46" s="425"/>
      <c r="K46" s="425"/>
      <c r="L46" s="425"/>
      <c r="M46" s="425"/>
    </row>
    <row r="47" spans="1:13" ht="15" customHeight="1">
      <c r="A47" s="424"/>
      <c r="B47" s="424"/>
      <c r="C47" s="424"/>
      <c r="D47" s="424"/>
      <c r="E47" s="424"/>
      <c r="F47" s="424"/>
      <c r="G47" s="424"/>
      <c r="H47" s="424"/>
      <c r="I47" s="425"/>
      <c r="J47" s="425"/>
      <c r="K47" s="425"/>
      <c r="L47" s="425"/>
      <c r="M47" s="425"/>
    </row>
    <row r="48" spans="1:13" ht="15" customHeight="1">
      <c r="A48" s="424"/>
      <c r="B48" s="424"/>
      <c r="C48" s="424"/>
      <c r="D48" s="424"/>
      <c r="E48" s="424"/>
      <c r="F48" s="424"/>
      <c r="G48" s="424"/>
      <c r="H48" s="424"/>
      <c r="I48" s="425"/>
      <c r="J48" s="425"/>
      <c r="K48" s="425"/>
      <c r="L48" s="425"/>
      <c r="M48" s="425"/>
    </row>
    <row r="49" spans="1:13" ht="15" customHeight="1">
      <c r="A49" s="424"/>
      <c r="B49" s="424"/>
      <c r="C49" s="424"/>
      <c r="D49" s="424"/>
      <c r="E49" s="424"/>
      <c r="F49" s="424"/>
      <c r="G49" s="424"/>
      <c r="H49" s="424"/>
      <c r="I49" s="425"/>
      <c r="J49" s="425"/>
      <c r="K49" s="425"/>
      <c r="L49" s="425"/>
      <c r="M49" s="425"/>
    </row>
    <row r="50" spans="1:13" ht="15" customHeight="1">
      <c r="A50" s="424"/>
      <c r="B50" s="424"/>
      <c r="C50" s="424"/>
      <c r="D50" s="424"/>
      <c r="E50" s="424"/>
      <c r="F50" s="424"/>
      <c r="G50" s="424"/>
      <c r="H50" s="424"/>
      <c r="I50" s="425"/>
      <c r="J50" s="425"/>
      <c r="K50" s="425"/>
      <c r="L50" s="425"/>
      <c r="M50" s="425"/>
    </row>
    <row r="51" spans="1:13" ht="15" customHeight="1">
      <c r="A51" s="424"/>
      <c r="B51" s="424"/>
      <c r="C51" s="424"/>
      <c r="D51" s="424"/>
      <c r="E51" s="424"/>
      <c r="F51" s="424"/>
      <c r="G51" s="424"/>
      <c r="H51" s="424"/>
      <c r="I51" s="425"/>
      <c r="J51" s="425"/>
      <c r="K51" s="425"/>
      <c r="L51" s="425"/>
      <c r="M51" s="425"/>
    </row>
    <row r="52" spans="1:13" ht="15" customHeight="1">
      <c r="A52" s="424"/>
      <c r="B52" s="424"/>
      <c r="C52" s="424"/>
      <c r="D52" s="424"/>
      <c r="E52" s="424"/>
      <c r="F52" s="424"/>
      <c r="G52" s="424"/>
      <c r="H52" s="424"/>
      <c r="I52" s="425"/>
      <c r="J52" s="425"/>
      <c r="K52" s="425"/>
      <c r="L52" s="425"/>
      <c r="M52" s="425"/>
    </row>
    <row r="53" spans="1:13" ht="15" customHeight="1">
      <c r="A53" s="424"/>
      <c r="B53" s="424"/>
      <c r="C53" s="424"/>
      <c r="D53" s="424"/>
      <c r="E53" s="424"/>
      <c r="F53" s="424"/>
      <c r="G53" s="424"/>
      <c r="H53" s="424"/>
      <c r="I53" s="425"/>
      <c r="J53" s="425"/>
      <c r="K53" s="425"/>
      <c r="L53" s="425"/>
      <c r="M53" s="425"/>
    </row>
    <row r="54" spans="1:13" ht="15" customHeight="1">
      <c r="A54" s="424"/>
      <c r="B54" s="424"/>
      <c r="C54" s="424"/>
      <c r="D54" s="424"/>
      <c r="E54" s="424"/>
      <c r="F54" s="424"/>
      <c r="G54" s="424"/>
      <c r="H54" s="424"/>
      <c r="I54" s="425"/>
      <c r="J54" s="425"/>
      <c r="K54" s="425"/>
      <c r="L54" s="425"/>
      <c r="M54" s="425"/>
    </row>
    <row r="55" spans="1:13" ht="15" customHeight="1">
      <c r="A55" s="424"/>
      <c r="B55" s="424"/>
      <c r="C55" s="424"/>
      <c r="D55" s="424"/>
      <c r="E55" s="424"/>
      <c r="F55" s="424"/>
      <c r="G55" s="424"/>
      <c r="H55" s="424"/>
      <c r="I55" s="425"/>
      <c r="J55" s="425"/>
      <c r="K55" s="425"/>
      <c r="L55" s="425"/>
      <c r="M55" s="425"/>
    </row>
    <row r="56" spans="1:13" ht="15" customHeight="1">
      <c r="A56" s="424"/>
      <c r="B56" s="424"/>
      <c r="C56" s="424"/>
      <c r="D56" s="424"/>
      <c r="E56" s="424"/>
      <c r="F56" s="424"/>
      <c r="G56" s="424"/>
      <c r="H56" s="424"/>
      <c r="I56" s="425"/>
      <c r="J56" s="425"/>
      <c r="K56" s="425"/>
      <c r="L56" s="425"/>
      <c r="M56" s="425"/>
    </row>
    <row r="57" spans="1:13" ht="15" customHeight="1">
      <c r="A57" s="424"/>
      <c r="B57" s="424"/>
      <c r="C57" s="424"/>
      <c r="D57" s="424"/>
      <c r="E57" s="424"/>
      <c r="F57" s="424"/>
      <c r="G57" s="424"/>
      <c r="H57" s="424"/>
      <c r="I57" s="425"/>
      <c r="J57" s="425"/>
      <c r="K57" s="425"/>
      <c r="L57" s="425"/>
      <c r="M57" s="425"/>
    </row>
    <row r="58" spans="1:13" ht="15" customHeight="1">
      <c r="A58" s="424"/>
      <c r="B58" s="424"/>
      <c r="C58" s="424"/>
      <c r="D58" s="424"/>
      <c r="E58" s="424"/>
      <c r="F58" s="424"/>
      <c r="G58" s="424"/>
      <c r="H58" s="424"/>
      <c r="I58" s="425"/>
      <c r="J58" s="425"/>
      <c r="K58" s="425"/>
      <c r="L58" s="425"/>
      <c r="M58" s="425"/>
    </row>
    <row r="59" spans="1:13" ht="15" customHeight="1">
      <c r="A59" s="424"/>
      <c r="B59" s="424"/>
      <c r="C59" s="424"/>
      <c r="D59" s="424"/>
      <c r="E59" s="424"/>
      <c r="F59" s="424"/>
      <c r="G59" s="424"/>
      <c r="H59" s="424"/>
      <c r="I59" s="425"/>
      <c r="J59" s="425"/>
      <c r="K59" s="425"/>
      <c r="L59" s="425"/>
      <c r="M59" s="425"/>
    </row>
    <row r="60" spans="1:13" ht="15" customHeight="1">
      <c r="A60" s="424"/>
      <c r="B60" s="424"/>
      <c r="C60" s="424"/>
      <c r="D60" s="424"/>
      <c r="E60" s="424"/>
      <c r="F60" s="424"/>
      <c r="G60" s="424"/>
      <c r="H60" s="424"/>
      <c r="I60" s="425"/>
      <c r="J60" s="425"/>
      <c r="K60" s="425"/>
      <c r="L60" s="425"/>
      <c r="M60" s="425"/>
    </row>
    <row r="61" spans="1:13" ht="25.15" customHeight="1">
      <c r="A61" s="424"/>
      <c r="B61" s="424"/>
      <c r="C61" s="424"/>
      <c r="D61" s="424"/>
      <c r="E61" s="424"/>
      <c r="F61" s="424"/>
      <c r="G61" s="424"/>
      <c r="H61" s="424"/>
      <c r="I61" s="425"/>
      <c r="J61" s="425"/>
      <c r="K61" s="425"/>
      <c r="L61" s="425"/>
      <c r="M61" s="425"/>
    </row>
    <row r="62" spans="1:13" ht="25.15" customHeight="1">
      <c r="A62" s="424"/>
      <c r="B62" s="424"/>
      <c r="C62" s="424"/>
      <c r="D62" s="424"/>
      <c r="E62" s="424"/>
      <c r="F62" s="424"/>
      <c r="G62" s="424"/>
      <c r="H62" s="424"/>
      <c r="I62" s="425"/>
      <c r="J62" s="425"/>
      <c r="K62" s="425"/>
      <c r="L62" s="425"/>
      <c r="M62" s="425"/>
    </row>
    <row r="63" spans="1:13" ht="25.15" customHeight="1">
      <c r="A63" s="424"/>
      <c r="B63" s="424"/>
      <c r="C63" s="424"/>
      <c r="D63" s="424"/>
      <c r="E63" s="424"/>
      <c r="F63" s="424"/>
      <c r="G63" s="424"/>
      <c r="H63" s="424"/>
      <c r="I63" s="425"/>
      <c r="J63" s="425"/>
      <c r="K63" s="425"/>
      <c r="L63" s="425"/>
      <c r="M63" s="425"/>
    </row>
    <row r="64" spans="1:13" ht="25.15" customHeight="1">
      <c r="A64" s="424"/>
      <c r="B64" s="424"/>
      <c r="C64" s="424"/>
      <c r="D64" s="424"/>
      <c r="E64" s="424"/>
      <c r="F64" s="424"/>
      <c r="G64" s="424"/>
      <c r="H64" s="424"/>
      <c r="I64" s="425"/>
      <c r="J64" s="425"/>
      <c r="K64" s="425"/>
      <c r="L64" s="425"/>
      <c r="M64" s="425"/>
    </row>
    <row r="65" spans="1:13" ht="25.15" customHeight="1">
      <c r="A65" s="424"/>
      <c r="B65" s="424"/>
      <c r="C65" s="424"/>
      <c r="D65" s="424"/>
      <c r="E65" s="424"/>
      <c r="F65" s="424"/>
      <c r="G65" s="424"/>
      <c r="H65" s="424"/>
      <c r="I65" s="425"/>
      <c r="J65" s="425"/>
      <c r="K65" s="425"/>
      <c r="L65" s="425"/>
      <c r="M65" s="425"/>
    </row>
    <row r="66" spans="1:13" s="424" customFormat="1" ht="25.15" customHeight="1"/>
    <row r="67" spans="1:13" s="424" customFormat="1" ht="25.15" customHeight="1"/>
    <row r="68" spans="1:13" s="424" customFormat="1" ht="25.15" customHeight="1"/>
    <row r="69" spans="1:13" s="424" customFormat="1" ht="25.15" customHeight="1"/>
    <row r="70" spans="1:13" s="424" customFormat="1" ht="25.15" customHeight="1"/>
    <row r="71" spans="1:13" s="424" customFormat="1" ht="25.15" customHeight="1"/>
    <row r="72" spans="1:13" s="424" customFormat="1" ht="25.15" customHeight="1"/>
    <row r="73" spans="1:13" s="424" customFormat="1" ht="25.15" customHeight="1"/>
    <row r="74" spans="1:13" s="424" customFormat="1" ht="25.15" customHeight="1"/>
    <row r="75" spans="1:13" s="424" customFormat="1" ht="25.15" customHeight="1"/>
    <row r="76" spans="1:13" s="424" customFormat="1" ht="25.15" customHeight="1"/>
    <row r="77" spans="1:13" s="424" customFormat="1" ht="25.15" customHeight="1"/>
    <row r="78" spans="1:13" s="424" customFormat="1" ht="25.15" customHeight="1"/>
    <row r="79" spans="1:13" s="424" customFormat="1" ht="25.15" customHeight="1"/>
    <row r="80" spans="1:13" s="424" customFormat="1" ht="25.15" customHeight="1"/>
    <row r="81" s="424" customFormat="1" ht="25.15" customHeight="1"/>
    <row r="82" s="424" customFormat="1" ht="25.15" customHeight="1"/>
    <row r="83" s="424" customFormat="1" ht="25.15" customHeight="1"/>
    <row r="84" s="424" customFormat="1" ht="25.15" customHeight="1"/>
    <row r="85" s="424" customFormat="1" ht="25.15" customHeight="1"/>
    <row r="86" s="424" customFormat="1" ht="25.15" customHeight="1"/>
    <row r="87" s="424" customFormat="1" ht="25.15" customHeight="1"/>
    <row r="88" s="424" customFormat="1" ht="25.15" customHeight="1"/>
    <row r="89" s="424" customFormat="1" ht="25.15" customHeight="1"/>
    <row r="90" s="424" customFormat="1" ht="25.15" customHeight="1"/>
    <row r="91" s="424" customFormat="1" ht="25.15" customHeight="1"/>
    <row r="92" s="424" customFormat="1" ht="25.15" customHeight="1"/>
    <row r="93" s="424" customFormat="1" ht="25.15" customHeight="1"/>
    <row r="94" s="424" customFormat="1" ht="25.15" customHeight="1"/>
    <row r="95" s="424" customFormat="1" ht="25.15" customHeight="1"/>
    <row r="96" s="424" customFormat="1" ht="25.15" customHeight="1"/>
    <row r="97" s="424" customFormat="1" ht="25.15" customHeight="1"/>
    <row r="98" s="424" customFormat="1" ht="25.15" customHeight="1"/>
    <row r="99" s="424" customFormat="1" ht="25.15" customHeight="1"/>
    <row r="100" s="424" customFormat="1" ht="25.15" customHeight="1"/>
    <row r="101" s="424" customFormat="1" ht="25.15" customHeight="1"/>
    <row r="102" s="424" customFormat="1" ht="25.15" customHeight="1"/>
    <row r="103" s="424" customFormat="1" ht="25.15" customHeight="1"/>
    <row r="104" s="424" customFormat="1" ht="25.15" customHeight="1"/>
    <row r="105" s="424" customFormat="1" ht="25.15" customHeight="1"/>
    <row r="106" s="424" customFormat="1" ht="25.15" customHeight="1"/>
    <row r="107" s="424" customFormat="1" ht="25.15" customHeight="1"/>
    <row r="108" s="424" customFormat="1" ht="25.15" customHeight="1"/>
    <row r="109" s="424" customFormat="1" ht="25.15" customHeight="1"/>
    <row r="110" s="424" customFormat="1" ht="25.15" customHeight="1"/>
    <row r="111" s="424" customFormat="1" ht="25.15" customHeight="1"/>
    <row r="112" s="424" customFormat="1" ht="25.15" customHeight="1"/>
    <row r="113" s="424" customFormat="1" ht="25.15" customHeight="1"/>
    <row r="114" s="424" customFormat="1" ht="25.15" customHeight="1"/>
    <row r="115" s="424" customFormat="1" ht="25.15" customHeight="1"/>
    <row r="116" s="424" customFormat="1" ht="25.15" customHeight="1"/>
    <row r="117" s="424" customFormat="1" ht="25.15" customHeight="1"/>
    <row r="118" s="424" customFormat="1" ht="25.15" customHeight="1"/>
    <row r="119" s="424" customFormat="1" ht="25.15" customHeight="1"/>
    <row r="120" s="424" customFormat="1" ht="25.15" customHeight="1"/>
    <row r="121" s="424" customFormat="1" ht="25.15" customHeight="1"/>
    <row r="122" s="424" customFormat="1" ht="25.15" customHeight="1"/>
    <row r="123" s="424" customFormat="1" ht="25.15" customHeight="1"/>
    <row r="124" s="424" customFormat="1" ht="25.15" customHeight="1"/>
    <row r="125" s="424" customFormat="1" ht="25.15" customHeight="1"/>
    <row r="126" s="424" customFormat="1" ht="25.15" customHeight="1"/>
    <row r="127" s="424" customFormat="1" ht="25.15" customHeight="1"/>
    <row r="128" s="424" customFormat="1" ht="25.15" customHeight="1"/>
    <row r="129" s="424" customFormat="1" ht="25.15" customHeight="1"/>
    <row r="130" s="424" customFormat="1" ht="25.15" customHeight="1"/>
    <row r="131" s="424" customFormat="1" ht="25.15" customHeight="1"/>
    <row r="132" s="424" customFormat="1" ht="25.15" customHeight="1"/>
    <row r="133" s="424" customFormat="1" ht="25.15" customHeight="1"/>
    <row r="134" s="424" customFormat="1" ht="25.15" customHeight="1"/>
    <row r="135" s="424" customFormat="1" ht="25.15" customHeight="1"/>
    <row r="136" s="424" customFormat="1" ht="25.15" customHeight="1"/>
    <row r="137" s="424" customFormat="1" ht="25.15" customHeight="1"/>
    <row r="138" s="424" customFormat="1" ht="25.15" customHeight="1"/>
    <row r="139" s="424" customFormat="1" ht="25.15" customHeight="1"/>
    <row r="140" s="424" customFormat="1" ht="25.15" customHeight="1"/>
    <row r="141" s="424" customFormat="1" ht="25.15" customHeight="1"/>
    <row r="142" s="424" customFormat="1" ht="25.15" customHeight="1"/>
    <row r="143" s="424" customFormat="1" ht="25.15" customHeight="1"/>
    <row r="144" s="424" customFormat="1" ht="25.15" customHeight="1"/>
    <row r="145" s="424" customFormat="1" ht="25.15" customHeight="1"/>
    <row r="146" s="424" customFormat="1" ht="25.15" customHeight="1"/>
    <row r="147" s="424" customFormat="1" ht="25.15" customHeight="1"/>
    <row r="148" s="424" customFormat="1" ht="25.15" customHeight="1"/>
    <row r="149" s="424" customFormat="1" ht="25.15" customHeight="1"/>
    <row r="150" s="424" customFormat="1" ht="25.15" customHeight="1"/>
    <row r="151" s="424" customFormat="1" ht="25.15" customHeight="1"/>
    <row r="152" s="424" customFormat="1" ht="25.15" customHeight="1"/>
    <row r="153" s="424" customFormat="1" ht="25.15" customHeight="1"/>
    <row r="154" s="424" customFormat="1" ht="25.15" customHeight="1"/>
    <row r="155" s="424" customFormat="1" ht="25.15" customHeight="1"/>
    <row r="156" s="424" customFormat="1" ht="25.15" customHeight="1"/>
    <row r="157" s="424" customFormat="1" ht="25.15" customHeight="1"/>
    <row r="158" s="424" customFormat="1" ht="25.15" customHeight="1"/>
    <row r="159" s="424" customFormat="1" ht="25.15" customHeight="1"/>
    <row r="160" s="424" customFormat="1" ht="25.15" customHeight="1"/>
    <row r="161" s="424" customFormat="1" ht="25.15" customHeight="1"/>
    <row r="162" s="424" customFormat="1" ht="25.15" customHeight="1"/>
    <row r="163" s="424" customFormat="1" ht="25.15" customHeight="1"/>
    <row r="164" s="424" customFormat="1" ht="25.15" customHeight="1"/>
    <row r="165" s="424" customFormat="1" ht="25.15" customHeight="1"/>
    <row r="166" s="424" customFormat="1" ht="25.15" customHeight="1"/>
    <row r="167" s="424" customFormat="1" ht="25.15" customHeight="1"/>
    <row r="168" s="424" customFormat="1" ht="25.15" customHeight="1"/>
    <row r="169" s="424" customFormat="1" ht="25.15" customHeight="1"/>
    <row r="170" s="424" customFormat="1" ht="25.15" customHeight="1"/>
    <row r="171" s="424" customFormat="1" ht="25.15" customHeight="1"/>
    <row r="172" s="424" customFormat="1" ht="25.15" customHeight="1"/>
    <row r="173" s="424" customFormat="1" ht="25.15" customHeight="1"/>
    <row r="174" s="424" customFormat="1" ht="25.15" customHeight="1"/>
    <row r="175" s="424" customFormat="1" ht="25.15" customHeight="1"/>
    <row r="176" s="424" customFormat="1" ht="25.15" customHeight="1"/>
    <row r="177" s="424" customFormat="1" ht="25.15" customHeight="1"/>
    <row r="178" s="424" customFormat="1" ht="25.15" customHeight="1"/>
    <row r="179" s="424" customFormat="1" ht="25.15" customHeight="1"/>
    <row r="180" s="424" customFormat="1" ht="25.15" customHeight="1"/>
    <row r="181" s="424" customFormat="1" ht="25.15" customHeight="1"/>
    <row r="182" s="424" customFormat="1" ht="25.15" customHeight="1"/>
    <row r="183" s="424" customFormat="1" ht="25.15" customHeight="1"/>
    <row r="184" s="424" customFormat="1" ht="25.15" customHeight="1"/>
    <row r="185" s="424" customFormat="1" ht="25.15" customHeight="1"/>
    <row r="186" s="424" customFormat="1" ht="25.15" customHeight="1"/>
    <row r="187" s="424" customFormat="1" ht="25.15" customHeight="1"/>
    <row r="188" s="424" customFormat="1" ht="25.15" customHeight="1"/>
    <row r="189" s="424" customFormat="1" ht="25.15" customHeight="1"/>
    <row r="190" s="424" customFormat="1" ht="25.15" customHeight="1"/>
    <row r="191" s="424" customFormat="1" ht="25.15" customHeight="1"/>
    <row r="192" s="424" customFormat="1" ht="25.15" customHeight="1"/>
    <row r="193" s="424" customFormat="1" ht="25.15" customHeight="1"/>
    <row r="194" s="424" customFormat="1" ht="25.15" customHeight="1"/>
    <row r="195" s="424" customFormat="1" ht="25.15" customHeight="1"/>
    <row r="196" s="424" customFormat="1" ht="25.15" customHeight="1"/>
    <row r="197" s="424" customFormat="1" ht="25.15" customHeight="1"/>
    <row r="198" s="424" customFormat="1" ht="25.15" customHeight="1"/>
    <row r="199" s="424" customFormat="1" ht="25.15" customHeight="1"/>
    <row r="200" s="424" customFormat="1" ht="25.15" customHeight="1"/>
    <row r="201" s="424" customFormat="1" ht="25.15" customHeight="1"/>
    <row r="202" s="424" customFormat="1" ht="25.15" customHeight="1"/>
    <row r="203" s="424" customFormat="1" ht="25.15" customHeight="1"/>
    <row r="204" s="424" customFormat="1" ht="25.15" customHeight="1"/>
    <row r="205" s="424" customFormat="1" ht="25.15" customHeight="1"/>
    <row r="206" s="424" customFormat="1" ht="25.15" customHeight="1"/>
    <row r="207" s="424" customFormat="1" ht="25.15" customHeight="1"/>
    <row r="208" s="424" customFormat="1" ht="25.15" customHeight="1"/>
    <row r="209" s="424" customFormat="1" ht="25.15" customHeight="1"/>
    <row r="210" s="424" customFormat="1" ht="25.15" customHeight="1"/>
    <row r="211" s="424" customFormat="1" ht="25.15" customHeight="1"/>
    <row r="212" s="424" customFormat="1" ht="25.15" customHeight="1"/>
    <row r="213" s="424" customFormat="1" ht="25.15" customHeight="1"/>
    <row r="214" s="424" customFormat="1" ht="25.15" customHeight="1"/>
    <row r="215" s="424" customFormat="1" ht="25.15" customHeight="1"/>
    <row r="216" s="424" customFormat="1" ht="25.15" customHeight="1"/>
    <row r="217" s="424" customFormat="1" ht="25.15" customHeight="1"/>
    <row r="218" s="424" customFormat="1" ht="25.15" customHeight="1"/>
    <row r="219" s="424" customFormat="1" ht="25.15" customHeight="1"/>
    <row r="220" s="424" customFormat="1" ht="25.15" customHeight="1"/>
    <row r="221" s="424" customFormat="1" ht="25.15" customHeight="1"/>
    <row r="222" s="424" customFormat="1" ht="25.15" customHeight="1"/>
    <row r="223" s="424" customFormat="1" ht="25.15" customHeight="1"/>
    <row r="224" s="424" customFormat="1" ht="25.15" customHeight="1"/>
    <row r="225" s="424" customFormat="1" ht="25.15" customHeight="1"/>
    <row r="226" s="424" customFormat="1" ht="25.15" customHeight="1"/>
    <row r="227" s="424" customFormat="1" ht="25.15" customHeight="1"/>
    <row r="228" s="424" customFormat="1" ht="25.15" customHeight="1"/>
    <row r="229" s="424" customFormat="1" ht="25.15" customHeight="1"/>
    <row r="230" s="424" customFormat="1" ht="25.15" customHeight="1"/>
    <row r="231" s="424" customFormat="1" ht="25.15" customHeight="1"/>
    <row r="232" s="424" customFormat="1" ht="25.15" customHeight="1"/>
    <row r="233" s="424" customFormat="1" ht="25.15" customHeight="1"/>
    <row r="234" s="424" customFormat="1" ht="25.15" customHeight="1"/>
    <row r="235" s="424" customFormat="1" ht="25.15" customHeight="1"/>
    <row r="236" s="424" customFormat="1" ht="25.15" customHeight="1"/>
    <row r="237" s="424" customFormat="1" ht="25.15" customHeight="1"/>
    <row r="238" s="424" customFormat="1" ht="25.15" customHeight="1"/>
    <row r="239" s="424" customFormat="1" ht="25.15" customHeight="1"/>
    <row r="240" s="424" customFormat="1" ht="25.15" customHeight="1"/>
    <row r="241" s="424" customFormat="1" ht="25.15" customHeight="1"/>
    <row r="242" s="424" customFormat="1" ht="25.15" customHeight="1"/>
    <row r="243" s="424" customFormat="1" ht="25.15" customHeight="1"/>
    <row r="244" s="424" customFormat="1" ht="25.15" customHeight="1"/>
    <row r="245" s="424" customFormat="1" ht="25.15" customHeight="1"/>
    <row r="246" s="424" customFormat="1" ht="25.15" customHeight="1"/>
    <row r="247" s="424" customFormat="1" ht="25.15" customHeight="1"/>
    <row r="248" s="424" customFormat="1" ht="25.15" customHeight="1"/>
    <row r="249" s="424" customFormat="1" ht="25.15" customHeight="1"/>
    <row r="250" s="424" customFormat="1" ht="25.15" customHeight="1"/>
    <row r="251" s="424" customFormat="1" ht="25.15" customHeight="1"/>
    <row r="252" s="424" customFormat="1" ht="25.15" customHeight="1"/>
    <row r="253" s="424" customFormat="1" ht="25.15" customHeight="1"/>
    <row r="254" s="424" customFormat="1" ht="25.15" customHeight="1"/>
    <row r="255" s="424" customFormat="1" ht="25.15" customHeight="1"/>
    <row r="256" s="424" customFormat="1" ht="25.15" customHeight="1"/>
    <row r="257" s="424" customFormat="1" ht="25.15" customHeight="1"/>
    <row r="258" s="424" customFormat="1" ht="25.15" customHeight="1"/>
    <row r="259" s="424" customFormat="1" ht="25.15" customHeight="1"/>
    <row r="260" s="424" customFormat="1" ht="25.15" customHeight="1"/>
    <row r="261" s="424" customFormat="1" ht="25.15" customHeight="1"/>
    <row r="262" s="424" customFormat="1" ht="25.15" customHeight="1"/>
    <row r="263" s="424" customFormat="1" ht="25.15" customHeight="1"/>
    <row r="264" s="424" customFormat="1" ht="25.15" customHeight="1"/>
    <row r="265" s="424" customFormat="1" ht="25.15" customHeight="1"/>
    <row r="266" s="424" customFormat="1" ht="25.15" customHeight="1"/>
    <row r="267" s="424" customFormat="1" ht="25.15" customHeight="1"/>
    <row r="268" s="424" customFormat="1" ht="25.15" customHeight="1"/>
    <row r="269" s="424" customFormat="1" ht="25.15" customHeight="1"/>
    <row r="270" s="424" customFormat="1" ht="25.15" customHeight="1"/>
    <row r="271" s="424" customFormat="1" ht="25.15" customHeight="1"/>
    <row r="272" s="424" customFormat="1" ht="25.15" customHeight="1"/>
    <row r="273" s="424" customFormat="1" ht="25.15" customHeight="1"/>
    <row r="274" s="424" customFormat="1" ht="25.15" customHeight="1"/>
    <row r="275" s="424" customFormat="1" ht="25.15" customHeight="1"/>
    <row r="276" s="424" customFormat="1" ht="25.15" customHeight="1"/>
    <row r="277" s="424" customFormat="1" ht="25.15" customHeight="1"/>
    <row r="278" s="424" customFormat="1" ht="25.15" customHeight="1"/>
    <row r="279" s="424" customFormat="1" ht="25.15" customHeight="1"/>
    <row r="280" s="424" customFormat="1" ht="25.15" customHeight="1"/>
    <row r="281" s="424" customFormat="1" ht="25.15" customHeight="1"/>
    <row r="282" s="424" customFormat="1" ht="25.15" customHeight="1"/>
    <row r="283" s="424" customFormat="1" ht="25.15" customHeight="1"/>
    <row r="284" s="424" customFormat="1" ht="25.15" customHeight="1"/>
    <row r="285" s="424" customFormat="1" ht="25.15" customHeight="1"/>
    <row r="286" s="424" customFormat="1" ht="25.15" customHeight="1"/>
    <row r="287" s="424" customFormat="1" ht="25.15" customHeight="1"/>
    <row r="288" s="424" customFormat="1" ht="25.15" customHeight="1"/>
    <row r="289" s="424" customFormat="1" ht="25.15" customHeight="1"/>
    <row r="290" s="424" customFormat="1" ht="25.15" customHeight="1"/>
    <row r="291" s="424" customFormat="1" ht="25.15" customHeight="1"/>
    <row r="292" s="424" customFormat="1" ht="25.15" customHeight="1"/>
    <row r="293" s="424" customFormat="1" ht="25.15" customHeight="1"/>
    <row r="294" s="424" customFormat="1" ht="25.15" customHeight="1"/>
    <row r="295" s="424" customFormat="1" ht="25.15" customHeight="1"/>
    <row r="296" s="424" customFormat="1" ht="25.15" customHeight="1"/>
    <row r="297" s="424" customFormat="1" ht="25.15" customHeight="1"/>
    <row r="298" s="424" customFormat="1" ht="25.15" customHeight="1"/>
    <row r="299" s="424" customFormat="1" ht="25.15" customHeight="1"/>
    <row r="300" s="424" customFormat="1" ht="25.15" customHeight="1"/>
    <row r="301" s="424" customFormat="1" ht="25.15" customHeight="1"/>
    <row r="302" s="424" customFormat="1" ht="25.15" customHeight="1"/>
    <row r="303" s="424" customFormat="1" ht="25.15" customHeight="1"/>
    <row r="304" s="424" customFormat="1" ht="25.15" customHeight="1"/>
    <row r="305" s="424" customFormat="1" ht="25.15" customHeight="1"/>
    <row r="306" s="424" customFormat="1" ht="25.15" customHeight="1"/>
    <row r="307" s="424" customFormat="1" ht="25.15" customHeight="1"/>
    <row r="308" s="424" customFormat="1" ht="25.15" customHeight="1"/>
    <row r="309" s="424" customFormat="1" ht="25.15" customHeight="1"/>
    <row r="310" s="424" customFormat="1" ht="25.15" customHeight="1"/>
    <row r="311" s="424" customFormat="1" ht="25.15" customHeight="1"/>
    <row r="312" s="424" customFormat="1" ht="25.15" customHeight="1"/>
    <row r="313" s="424" customFormat="1" ht="25.15" customHeight="1"/>
    <row r="314" s="424" customFormat="1" ht="25.15" customHeight="1"/>
    <row r="315" s="424" customFormat="1" ht="25.15" customHeight="1"/>
    <row r="316" s="424" customFormat="1" ht="25.15" customHeight="1"/>
    <row r="317" s="424" customFormat="1" ht="25.15" customHeight="1"/>
    <row r="318" s="424" customFormat="1" ht="25.15" customHeight="1"/>
    <row r="319" s="424" customFormat="1" ht="25.15" customHeight="1"/>
    <row r="320" s="424" customFormat="1" ht="25.15" customHeight="1"/>
    <row r="321" s="424" customFormat="1" ht="25.15" customHeight="1"/>
    <row r="322" s="424" customFormat="1" ht="25.15" customHeight="1"/>
    <row r="323" s="424" customFormat="1" ht="25.15" customHeight="1"/>
    <row r="324" s="424" customFormat="1" ht="25.15" customHeight="1"/>
    <row r="325" s="424" customFormat="1" ht="25.15" customHeight="1"/>
    <row r="326" s="424" customFormat="1" ht="25.15" customHeight="1"/>
    <row r="327" s="424" customFormat="1" ht="25.15" customHeight="1"/>
    <row r="328" s="424" customFormat="1" ht="25.15" customHeight="1"/>
    <row r="329" s="424" customFormat="1" ht="25.15" customHeight="1"/>
    <row r="330" s="424" customFormat="1" ht="25.15" customHeight="1"/>
    <row r="331" s="424" customFormat="1" ht="25.15" customHeight="1"/>
    <row r="332" s="424" customFormat="1" ht="25.15" customHeight="1"/>
    <row r="333" s="424" customFormat="1" ht="25.15" customHeight="1"/>
    <row r="334" s="424" customFormat="1" ht="25.15" customHeight="1"/>
    <row r="335" s="424" customFormat="1" ht="25.15" customHeight="1"/>
    <row r="336" s="424" customFormat="1" ht="25.15" customHeight="1"/>
    <row r="337" s="424" customFormat="1" ht="25.15" customHeight="1"/>
    <row r="338" s="424" customFormat="1" ht="25.15" customHeight="1"/>
    <row r="339" s="424" customFormat="1" ht="25.15" customHeight="1"/>
    <row r="340" s="424" customFormat="1" ht="25.15" customHeight="1"/>
    <row r="341" s="424" customFormat="1" ht="25.15" customHeight="1"/>
    <row r="342" s="424" customFormat="1" ht="25.15" customHeight="1"/>
    <row r="343" s="424" customFormat="1" ht="25.15" customHeight="1"/>
    <row r="344" s="424" customFormat="1" ht="25.15" customHeight="1"/>
    <row r="345" s="424" customFormat="1" ht="25.15" customHeight="1"/>
    <row r="346" s="424" customFormat="1" ht="25.15" customHeight="1"/>
    <row r="347" s="424" customFormat="1" ht="25.15" customHeight="1"/>
    <row r="348" s="424" customFormat="1" ht="25.15" customHeight="1"/>
    <row r="349" s="424" customFormat="1" ht="25.15" customHeight="1"/>
    <row r="350" s="424" customFormat="1" ht="25.15" customHeight="1"/>
    <row r="351" s="424" customFormat="1" ht="25.15" customHeight="1"/>
    <row r="352" s="424" customFormat="1" ht="25.15" customHeight="1"/>
    <row r="353" s="424" customFormat="1" ht="25.15" customHeight="1"/>
    <row r="354" s="424" customFormat="1" ht="25.15" customHeight="1"/>
    <row r="355" s="424" customFormat="1" ht="25.15" customHeight="1"/>
    <row r="356" s="424" customFormat="1" ht="25.15" customHeight="1"/>
    <row r="357" s="424" customFormat="1" ht="25.15" customHeight="1"/>
    <row r="358" s="424" customFormat="1" ht="25.15" customHeight="1"/>
    <row r="359" s="424" customFormat="1" ht="25.15" customHeight="1"/>
    <row r="360" s="424" customFormat="1" ht="25.15" customHeight="1"/>
    <row r="361" s="424" customFormat="1" ht="25.15" customHeight="1"/>
    <row r="362" s="424" customFormat="1" ht="25.15" customHeight="1"/>
    <row r="363" s="424" customFormat="1" ht="25.15" customHeight="1"/>
    <row r="364" s="424" customFormat="1" ht="25.15" customHeight="1"/>
    <row r="365" s="424" customFormat="1" ht="25.15" customHeight="1"/>
    <row r="366" s="424" customFormat="1" ht="25.15" customHeight="1"/>
    <row r="367" s="424" customFormat="1" ht="25.15" customHeight="1"/>
    <row r="368" s="424" customFormat="1" ht="25.15" customHeight="1"/>
    <row r="369" s="424" customFormat="1" ht="25.15" customHeight="1"/>
    <row r="370" s="424" customFormat="1" ht="25.15" customHeight="1"/>
    <row r="371" s="424" customFormat="1" ht="25.15" customHeight="1"/>
    <row r="372" s="424" customFormat="1" ht="25.15" customHeight="1"/>
    <row r="373" s="424" customFormat="1" ht="25.15" customHeight="1"/>
    <row r="374" s="424" customFormat="1" ht="25.15" customHeight="1"/>
    <row r="375" s="424" customFormat="1" ht="25.15" customHeight="1"/>
    <row r="376" s="424" customFormat="1" ht="25.15" customHeight="1"/>
    <row r="377" s="424" customFormat="1" ht="25.15" customHeight="1"/>
    <row r="378" s="424" customFormat="1" ht="25.15" customHeight="1"/>
    <row r="379" s="424" customFormat="1" ht="25.15" customHeight="1"/>
    <row r="380" s="424" customFormat="1" ht="25.15" customHeight="1"/>
    <row r="381" s="424" customFormat="1" ht="25.15" customHeight="1"/>
    <row r="382" s="424" customFormat="1" ht="25.15" customHeight="1"/>
    <row r="383" s="424" customFormat="1" ht="25.15" customHeight="1"/>
    <row r="384" s="424" customFormat="1" ht="25.15" customHeight="1"/>
    <row r="385" s="424" customFormat="1" ht="25.15" customHeight="1"/>
    <row r="386" s="424" customFormat="1" ht="25.15" customHeight="1"/>
    <row r="387" s="424" customFormat="1" ht="25.15" customHeight="1"/>
    <row r="388" s="424" customFormat="1" ht="25.15" customHeight="1"/>
    <row r="389" s="424" customFormat="1" ht="25.15" customHeight="1"/>
    <row r="390" s="424" customFormat="1" ht="25.15" customHeight="1"/>
    <row r="391" s="424" customFormat="1" ht="25.15" customHeight="1"/>
    <row r="392" s="424" customFormat="1" ht="25.15" customHeight="1"/>
    <row r="393" s="424" customFormat="1" ht="25.15" customHeight="1"/>
    <row r="394" s="424" customFormat="1" ht="25.15" customHeight="1"/>
    <row r="395" s="424" customFormat="1" ht="25.15" customHeight="1"/>
    <row r="396" s="424" customFormat="1" ht="25.15" customHeight="1"/>
    <row r="397" s="424" customFormat="1" ht="25.15" customHeight="1"/>
    <row r="398" s="424" customFormat="1" ht="25.15" customHeight="1"/>
    <row r="399" s="424" customFormat="1" ht="25.15" customHeight="1"/>
    <row r="400" s="424" customFormat="1" ht="25.15" customHeight="1"/>
    <row r="401" s="424" customFormat="1" ht="25.15" customHeight="1"/>
    <row r="402" s="424" customFormat="1" ht="25.15" customHeight="1"/>
    <row r="403" s="424" customFormat="1" ht="25.15" customHeight="1"/>
    <row r="404" s="424" customFormat="1" ht="25.15" customHeight="1"/>
    <row r="405" s="424" customFormat="1" ht="25.15" customHeight="1"/>
    <row r="406" s="424" customFormat="1" ht="25.15" customHeight="1"/>
    <row r="407" s="424" customFormat="1" ht="25.15" customHeight="1"/>
    <row r="408" s="424" customFormat="1" ht="25.15" customHeight="1"/>
    <row r="409" s="424" customFormat="1" ht="25.15" customHeight="1"/>
    <row r="410" s="424" customFormat="1" ht="25.15" customHeight="1"/>
    <row r="411" s="424" customFormat="1" ht="25.15" customHeight="1"/>
    <row r="412" s="424" customFormat="1" ht="25.15" customHeight="1"/>
    <row r="413" s="424" customFormat="1" ht="25.15" customHeight="1"/>
    <row r="414" s="424" customFormat="1" ht="25.15" customHeight="1"/>
    <row r="415" s="424" customFormat="1" ht="25.15" customHeight="1"/>
    <row r="416" s="424" customFormat="1" ht="25.15" customHeight="1"/>
    <row r="417" s="424" customFormat="1" ht="25.15" customHeight="1"/>
    <row r="418" s="424" customFormat="1" ht="25.15" customHeight="1"/>
    <row r="419" s="424" customFormat="1" ht="25.15" customHeight="1"/>
    <row r="420" s="424" customFormat="1" ht="25.15" customHeight="1"/>
    <row r="421" s="424" customFormat="1" ht="25.15" customHeight="1"/>
    <row r="422" s="424" customFormat="1" ht="25.15" customHeight="1"/>
    <row r="423" s="424" customFormat="1" ht="25.15" customHeight="1"/>
    <row r="424" s="424" customFormat="1" ht="25.15" customHeight="1"/>
    <row r="425" s="424" customFormat="1" ht="25.15" customHeight="1"/>
    <row r="426" s="424" customFormat="1" ht="25.15" customHeight="1"/>
    <row r="427" s="424" customFormat="1" ht="25.15" customHeight="1"/>
    <row r="428" s="424" customFormat="1" ht="25.15" customHeight="1"/>
    <row r="429" s="424" customFormat="1" ht="25.15" customHeight="1"/>
    <row r="430" s="424" customFormat="1" ht="25.15" customHeight="1"/>
    <row r="431" s="424" customFormat="1" ht="25.15" customHeight="1"/>
    <row r="432" s="424" customFormat="1" ht="25.15" customHeight="1"/>
    <row r="433" s="424" customFormat="1" ht="25.15" customHeight="1"/>
    <row r="434" s="424" customFormat="1" ht="25.15" customHeight="1"/>
    <row r="435" s="424" customFormat="1" ht="25.15" customHeight="1"/>
    <row r="436" s="424" customFormat="1" ht="25.15" customHeight="1"/>
    <row r="437" s="424" customFormat="1" ht="25.15" customHeight="1"/>
    <row r="438" s="424" customFormat="1" ht="25.15" customHeight="1"/>
    <row r="439" s="424" customFormat="1" ht="25.15" customHeight="1"/>
    <row r="440" s="424" customFormat="1" ht="25.15" customHeight="1"/>
    <row r="441" s="424" customFormat="1" ht="25.15" customHeight="1"/>
    <row r="442" s="424" customFormat="1" ht="25.15" customHeight="1"/>
    <row r="443" s="424" customFormat="1" ht="25.15" customHeight="1"/>
    <row r="444" s="424" customFormat="1" ht="25.15" customHeight="1"/>
    <row r="445" s="424" customFormat="1" ht="25.15" customHeight="1"/>
    <row r="446" s="424" customFormat="1" ht="25.15" customHeight="1"/>
    <row r="447" s="424" customFormat="1" ht="25.15" customHeight="1"/>
    <row r="448" s="424" customFormat="1" ht="25.15" customHeight="1"/>
    <row r="449" s="424" customFormat="1" ht="25.15" customHeight="1"/>
    <row r="450" s="424" customFormat="1" ht="25.15" customHeight="1"/>
    <row r="451" s="424" customFormat="1" ht="25.15" customHeight="1"/>
    <row r="452" s="424" customFormat="1" ht="25.15" customHeight="1"/>
    <row r="453" s="424" customFormat="1" ht="25.15" customHeight="1"/>
    <row r="454" s="424" customFormat="1" ht="25.15" customHeight="1"/>
    <row r="455" s="424" customFormat="1" ht="25.15" customHeight="1"/>
    <row r="456" s="424" customFormat="1" ht="25.15" customHeight="1"/>
    <row r="457" s="424" customFormat="1" ht="25.15" customHeight="1"/>
    <row r="458" s="424" customFormat="1" ht="25.15" customHeight="1"/>
    <row r="459" s="424" customFormat="1" ht="25.15" customHeight="1"/>
    <row r="460" s="424" customFormat="1" ht="25.15" customHeight="1"/>
    <row r="461" s="424" customFormat="1" ht="25.15" customHeight="1"/>
    <row r="462" s="424" customFormat="1" ht="25.15" customHeight="1"/>
    <row r="463" s="424" customFormat="1" ht="25.15" customHeight="1"/>
    <row r="464" s="424" customFormat="1" ht="25.15" customHeight="1"/>
    <row r="465" s="424" customFormat="1" ht="25.15" customHeight="1"/>
    <row r="466" s="424" customFormat="1" ht="25.15" customHeight="1"/>
    <row r="467" s="424" customFormat="1" ht="25.15" customHeight="1"/>
    <row r="468" s="424" customFormat="1" ht="25.15" customHeight="1"/>
    <row r="469" s="424" customFormat="1" ht="25.15" customHeight="1"/>
    <row r="470" s="424" customFormat="1" ht="25.15" customHeight="1"/>
    <row r="471" s="424" customFormat="1" ht="25.15" customHeight="1"/>
    <row r="472" s="424" customFormat="1" ht="25.15" customHeight="1"/>
    <row r="473" s="424" customFormat="1" ht="25.15" customHeight="1"/>
    <row r="474" s="424" customFormat="1" ht="25.15" customHeight="1"/>
    <row r="475" s="424" customFormat="1" ht="25.15" customHeight="1"/>
    <row r="476" s="424" customFormat="1" ht="25.15" customHeight="1"/>
    <row r="477" s="424" customFormat="1" ht="25.15" customHeight="1"/>
    <row r="478" s="424" customFormat="1" ht="25.15" customHeight="1"/>
    <row r="479" s="424" customFormat="1" ht="25.15" customHeight="1"/>
    <row r="480" s="424" customFormat="1" ht="25.15" customHeight="1"/>
    <row r="481" s="424" customFormat="1" ht="25.15" customHeight="1"/>
    <row r="482" s="424" customFormat="1" ht="25.15" customHeight="1"/>
    <row r="483" s="424" customFormat="1" ht="25.15" customHeight="1"/>
    <row r="484" s="424" customFormat="1" ht="25.15" customHeight="1"/>
    <row r="485" s="424" customFormat="1" ht="25.15" customHeight="1"/>
    <row r="486" s="424" customFormat="1" ht="25.15" customHeight="1"/>
    <row r="487" s="424" customFormat="1" ht="25.15" customHeight="1"/>
    <row r="488" s="424" customFormat="1" ht="25.15" customHeight="1"/>
    <row r="489" s="424" customFormat="1" ht="25.15" customHeight="1"/>
    <row r="490" s="424" customFormat="1" ht="25.15" customHeight="1"/>
    <row r="491" s="424" customFormat="1" ht="25.15" customHeight="1"/>
    <row r="492" s="424" customFormat="1" ht="25.15" customHeight="1"/>
    <row r="493" s="424" customFormat="1" ht="25.15" customHeight="1"/>
    <row r="494" s="424" customFormat="1" ht="25.15" customHeight="1"/>
    <row r="495" s="424" customFormat="1" ht="25.15" customHeight="1"/>
    <row r="496" s="424" customFormat="1" ht="25.15" customHeight="1"/>
    <row r="497" s="424" customFormat="1" ht="25.15" customHeight="1"/>
    <row r="498" s="424" customFormat="1" ht="25.15" customHeight="1"/>
    <row r="499" s="424" customFormat="1" ht="25.15" customHeight="1"/>
    <row r="500" s="424" customFormat="1" ht="25.15" customHeight="1"/>
    <row r="501" s="424" customFormat="1" ht="25.15" customHeight="1"/>
    <row r="502" s="424" customFormat="1" ht="25.15" customHeight="1"/>
    <row r="503" s="424" customFormat="1" ht="25.15" customHeight="1"/>
    <row r="504" s="424" customFormat="1" ht="25.15" customHeight="1"/>
    <row r="505" s="424" customFormat="1" ht="25.15" customHeight="1"/>
    <row r="506" s="424" customFormat="1" ht="25.15" customHeight="1"/>
    <row r="507" s="424" customFormat="1" ht="25.15" customHeight="1"/>
    <row r="508" s="424" customFormat="1" ht="25.15" customHeight="1"/>
    <row r="509" s="424" customFormat="1" ht="25.15" customHeight="1"/>
    <row r="510" s="424" customFormat="1" ht="25.15" customHeight="1"/>
    <row r="511" s="424" customFormat="1" ht="25.15" customHeight="1"/>
    <row r="512" s="424" customFormat="1" ht="25.15" customHeight="1"/>
    <row r="513" s="424" customFormat="1" ht="25.15" customHeight="1"/>
    <row r="514" s="424" customFormat="1" ht="25.15" customHeight="1"/>
    <row r="515" s="424" customFormat="1" ht="25.15" customHeight="1"/>
    <row r="516" s="424" customFormat="1" ht="25.15" customHeight="1"/>
    <row r="517" s="424" customFormat="1" ht="25.15" customHeight="1"/>
    <row r="518" s="424" customFormat="1" ht="25.15" customHeight="1"/>
    <row r="519" s="424" customFormat="1" ht="25.15" customHeight="1"/>
    <row r="520" s="424" customFormat="1" ht="25.15" customHeight="1"/>
    <row r="521" s="424" customFormat="1" ht="25.15" customHeight="1"/>
    <row r="522" s="424" customFormat="1" ht="25.15" customHeight="1"/>
    <row r="523" s="424" customFormat="1" ht="25.15" customHeight="1"/>
    <row r="524" s="424" customFormat="1" ht="25.15" customHeight="1"/>
    <row r="525" s="424" customFormat="1" ht="25.15" customHeight="1"/>
    <row r="526" s="424" customFormat="1" ht="25.15" customHeight="1"/>
    <row r="527" s="424" customFormat="1" ht="25.15" customHeight="1"/>
    <row r="528" s="424" customFormat="1" ht="25.15" customHeight="1"/>
    <row r="529" s="424" customFormat="1" ht="25.15" customHeight="1"/>
    <row r="530" s="424" customFormat="1" ht="25.15" customHeight="1"/>
    <row r="531" s="424" customFormat="1" ht="25.15" customHeight="1"/>
    <row r="532" s="424" customFormat="1" ht="25.15" customHeight="1"/>
    <row r="533" s="424" customFormat="1" ht="25.15" customHeight="1"/>
    <row r="534" s="424" customFormat="1" ht="25.15" customHeight="1"/>
    <row r="535" s="424" customFormat="1" ht="25.15" customHeight="1"/>
    <row r="536" s="424" customFormat="1" ht="25.15" customHeight="1"/>
    <row r="537" s="424" customFormat="1" ht="25.15" customHeight="1"/>
    <row r="538" s="424" customFormat="1" ht="25.15" customHeight="1"/>
    <row r="539" s="424" customFormat="1" ht="25.15" customHeight="1"/>
    <row r="540" s="424" customFormat="1" ht="25.15" customHeight="1"/>
    <row r="541" s="424" customFormat="1" ht="25.15" customHeight="1"/>
    <row r="542" s="424" customFormat="1" ht="25.15" customHeight="1"/>
    <row r="543" s="424" customFormat="1" ht="25.15" customHeight="1"/>
    <row r="544" s="424" customFormat="1" ht="25.15" customHeight="1"/>
    <row r="545" s="424" customFormat="1" ht="25.15" customHeight="1"/>
    <row r="546" s="424" customFormat="1" ht="25.15" customHeight="1"/>
    <row r="547" s="424" customFormat="1" ht="25.15" customHeight="1"/>
    <row r="548" s="424" customFormat="1" ht="25.15" customHeight="1"/>
    <row r="549" s="424" customFormat="1" ht="25.15" customHeight="1"/>
    <row r="550" s="424" customFormat="1" ht="25.15" customHeight="1"/>
    <row r="551" s="424" customFormat="1" ht="25.15" customHeight="1"/>
    <row r="552" s="424" customFormat="1" ht="25.15" customHeight="1"/>
    <row r="553" s="424" customFormat="1" ht="25.15" customHeight="1"/>
    <row r="554" s="424" customFormat="1" ht="25.15" customHeight="1"/>
    <row r="555" s="424" customFormat="1" ht="25.15" customHeight="1"/>
    <row r="556" s="424" customFormat="1" ht="25.15" customHeight="1"/>
    <row r="557" s="424" customFormat="1" ht="25.15" customHeight="1"/>
    <row r="558" s="424" customFormat="1" ht="25.15" customHeight="1"/>
    <row r="559" s="424" customFormat="1" ht="25.15" customHeight="1"/>
    <row r="560" s="424" customFormat="1" ht="25.15" customHeight="1"/>
    <row r="561" s="424" customFormat="1" ht="25.15" customHeight="1"/>
    <row r="562" s="424" customFormat="1" ht="25.15" customHeight="1"/>
    <row r="563" s="424" customFormat="1" ht="25.15" customHeight="1"/>
    <row r="564" s="424" customFormat="1" ht="25.15" customHeight="1"/>
    <row r="565" s="424" customFormat="1" ht="25.15" customHeight="1"/>
    <row r="566" s="424" customFormat="1" ht="25.15" customHeight="1"/>
    <row r="567" s="424" customFormat="1" ht="25.15" customHeight="1"/>
    <row r="568" s="424" customFormat="1" ht="25.15" customHeight="1"/>
    <row r="569" s="424" customFormat="1" ht="25.15" customHeight="1"/>
    <row r="570" s="424" customFormat="1" ht="25.15" customHeight="1"/>
    <row r="571" s="424" customFormat="1" ht="25.15" customHeight="1"/>
    <row r="572" s="424" customFormat="1" ht="25.15" customHeight="1"/>
    <row r="573" s="424" customFormat="1" ht="25.15" customHeight="1"/>
    <row r="574" s="424" customFormat="1" ht="25.15" customHeight="1"/>
    <row r="575" s="424" customFormat="1" ht="25.15" customHeight="1"/>
    <row r="576" s="424" customFormat="1" ht="25.15" customHeight="1"/>
    <row r="577" s="424" customFormat="1" ht="25.15" customHeight="1"/>
    <row r="578" s="424" customFormat="1" ht="25.15" customHeight="1"/>
    <row r="579" s="424" customFormat="1" ht="25.15" customHeight="1"/>
    <row r="580" s="424" customFormat="1" ht="25.15" customHeight="1"/>
    <row r="581" s="424" customFormat="1" ht="25.15" customHeight="1"/>
    <row r="582" s="424" customFormat="1" ht="25.15" customHeight="1"/>
    <row r="583" s="424" customFormat="1" ht="25.15" customHeight="1"/>
    <row r="584" s="424" customFormat="1" ht="25.15" customHeight="1"/>
    <row r="585" s="424" customFormat="1" ht="25.15" customHeight="1"/>
    <row r="586" s="424" customFormat="1" ht="25.15" customHeight="1"/>
    <row r="587" s="424" customFormat="1" ht="25.15" customHeight="1"/>
    <row r="588" s="424" customFormat="1" ht="25.15" customHeight="1"/>
    <row r="589" s="424" customFormat="1" ht="25.15" customHeight="1"/>
    <row r="590" s="424" customFormat="1" ht="25.15" customHeight="1"/>
    <row r="591" s="424" customFormat="1" ht="25.15" customHeight="1"/>
    <row r="592" s="424" customFormat="1" ht="25.15" customHeight="1"/>
    <row r="593" s="424" customFormat="1" ht="25.15" customHeight="1"/>
    <row r="594" s="424" customFormat="1" ht="25.15" customHeight="1"/>
    <row r="595" s="424" customFormat="1" ht="25.15" customHeight="1"/>
    <row r="596" s="424" customFormat="1" ht="25.15" customHeight="1"/>
    <row r="597" s="424" customFormat="1" ht="25.15" customHeight="1"/>
    <row r="598" s="424" customFormat="1" ht="25.15" customHeight="1"/>
    <row r="599" s="424" customFormat="1" ht="25.15" customHeight="1"/>
    <row r="600" s="424" customFormat="1" ht="25.15" customHeight="1"/>
    <row r="601" s="424" customFormat="1" ht="25.15" customHeight="1"/>
    <row r="602" s="424" customFormat="1" ht="25.15" customHeight="1"/>
    <row r="603" s="424" customFormat="1" ht="25.15" customHeight="1"/>
    <row r="604" s="424" customFormat="1" ht="25.15" customHeight="1"/>
    <row r="605" s="424" customFormat="1" ht="25.15" customHeight="1"/>
    <row r="606" s="424" customFormat="1" ht="25.15" customHeight="1"/>
    <row r="607" s="424" customFormat="1" ht="25.15" customHeight="1"/>
    <row r="608" s="424" customFormat="1" ht="25.15" customHeight="1"/>
    <row r="609" s="424" customFormat="1" ht="25.15" customHeight="1"/>
    <row r="610" s="424" customFormat="1" ht="25.15" customHeight="1"/>
    <row r="611" s="424" customFormat="1" ht="25.15" customHeight="1"/>
    <row r="612" s="424" customFormat="1" ht="25.15" customHeight="1"/>
    <row r="613" s="424" customFormat="1" ht="25.15" customHeight="1"/>
    <row r="614" s="424" customFormat="1" ht="25.15" customHeight="1"/>
    <row r="615" s="424" customFormat="1" ht="25.15" customHeight="1"/>
    <row r="616" s="424" customFormat="1" ht="25.15" customHeight="1"/>
    <row r="617" s="424" customFormat="1" ht="25.15" customHeight="1"/>
    <row r="618" s="424" customFormat="1" ht="25.15" customHeight="1"/>
    <row r="619" s="424" customFormat="1" ht="25.15" customHeight="1"/>
    <row r="620" s="424" customFormat="1" ht="25.15" customHeight="1"/>
    <row r="621" s="424" customFormat="1" ht="25.15" customHeight="1"/>
    <row r="622" s="424" customFormat="1" ht="25.15" customHeight="1"/>
    <row r="623" s="424" customFormat="1" ht="25.15" customHeight="1"/>
    <row r="624" s="424" customFormat="1" ht="25.15" customHeight="1"/>
    <row r="625" s="424" customFormat="1" ht="25.15" customHeight="1"/>
    <row r="626" s="424" customFormat="1" ht="25.15" customHeight="1"/>
    <row r="627" s="424" customFormat="1" ht="25.15" customHeight="1"/>
    <row r="628" s="424" customFormat="1" ht="25.15" customHeight="1"/>
    <row r="629" s="424" customFormat="1" ht="25.15" customHeight="1"/>
    <row r="630" s="424" customFormat="1" ht="25.15" customHeight="1"/>
    <row r="631" s="424" customFormat="1" ht="25.15" customHeight="1"/>
    <row r="632" s="424" customFormat="1" ht="25.15" customHeight="1"/>
    <row r="633" s="424" customFormat="1" ht="25.15" customHeight="1"/>
    <row r="634" s="424" customFormat="1" ht="25.15" customHeight="1"/>
    <row r="635" s="424" customFormat="1" ht="25.15" customHeight="1"/>
    <row r="636" s="424" customFormat="1" ht="25.15" customHeight="1"/>
    <row r="637" s="424" customFormat="1" ht="25.15" customHeight="1"/>
    <row r="638" s="424" customFormat="1" ht="25.15" customHeight="1"/>
    <row r="639" s="424" customFormat="1" ht="25.15" customHeight="1"/>
    <row r="640" s="424" customFormat="1" ht="25.15" customHeight="1"/>
    <row r="641" s="424" customFormat="1" ht="25.15" customHeight="1"/>
    <row r="642" s="424" customFormat="1" ht="25.15" customHeight="1"/>
    <row r="643" s="424" customFormat="1" ht="25.15" customHeight="1"/>
    <row r="644" s="424" customFormat="1" ht="25.15" customHeight="1"/>
    <row r="645" s="424" customFormat="1" ht="25.15" customHeight="1"/>
    <row r="646" s="424" customFormat="1" ht="25.15" customHeight="1"/>
    <row r="647" s="424" customFormat="1" ht="25.15" customHeight="1"/>
    <row r="648" s="424" customFormat="1" ht="25.15" customHeight="1"/>
    <row r="649" s="424" customFormat="1" ht="25.15" customHeight="1"/>
    <row r="650" s="424" customFormat="1" ht="25.15" customHeight="1"/>
    <row r="651" s="424" customFormat="1" ht="25.15" customHeight="1"/>
    <row r="652" s="424" customFormat="1" ht="25.15" customHeight="1"/>
    <row r="653" s="424" customFormat="1" ht="25.15" customHeight="1"/>
    <row r="654" s="424" customFormat="1" ht="25.15" customHeight="1"/>
    <row r="655" s="424" customFormat="1" ht="25.15" customHeight="1"/>
    <row r="656" s="424" customFormat="1" ht="25.15" customHeight="1"/>
    <row r="657" s="424" customFormat="1" ht="25.15" customHeight="1"/>
    <row r="658" s="424" customFormat="1" ht="25.15" customHeight="1"/>
    <row r="659" s="424" customFormat="1" ht="25.15" customHeight="1"/>
    <row r="660" s="424" customFormat="1" ht="25.15" customHeight="1"/>
    <row r="661" s="424" customFormat="1" ht="25.15" customHeight="1"/>
    <row r="662" s="424" customFormat="1" ht="25.15" customHeight="1"/>
    <row r="663" s="424" customFormat="1" ht="25.15" customHeight="1"/>
    <row r="664" s="424" customFormat="1" ht="25.15" customHeight="1"/>
    <row r="665" s="424" customFormat="1" ht="25.15" customHeight="1"/>
    <row r="666" s="424" customFormat="1" ht="25.15" customHeight="1"/>
    <row r="667" s="424" customFormat="1" ht="25.15" customHeight="1"/>
    <row r="668" s="424" customFormat="1" ht="25.15" customHeight="1"/>
    <row r="669" s="424" customFormat="1" ht="25.15" customHeight="1"/>
    <row r="670" s="424" customFormat="1" ht="25.15" customHeight="1"/>
    <row r="671" s="424" customFormat="1" ht="25.15" customHeight="1"/>
    <row r="672" s="424" customFormat="1" ht="25.15" customHeight="1"/>
    <row r="673" s="424" customFormat="1" ht="25.15" customHeight="1"/>
    <row r="674" s="424" customFormat="1" ht="25.15" customHeight="1"/>
    <row r="675" s="424" customFormat="1" ht="25.15" customHeight="1"/>
    <row r="676" s="424" customFormat="1" ht="25.15" customHeight="1"/>
    <row r="677" s="424" customFormat="1" ht="25.15" customHeight="1"/>
    <row r="678" s="424" customFormat="1" ht="25.15" customHeight="1"/>
    <row r="679" s="424" customFormat="1" ht="25.15" customHeight="1"/>
    <row r="680" s="424" customFormat="1" ht="25.15" customHeight="1"/>
    <row r="681" s="424" customFormat="1" ht="25.15" customHeight="1"/>
    <row r="682" s="424" customFormat="1" ht="25.15" customHeight="1"/>
    <row r="683" s="424" customFormat="1" ht="25.15" customHeight="1"/>
    <row r="684" s="424" customFormat="1" ht="25.15" customHeight="1"/>
    <row r="685" s="424" customFormat="1" ht="25.15" customHeight="1"/>
    <row r="686" s="424" customFormat="1" ht="25.15" customHeight="1"/>
    <row r="687" s="424" customFormat="1" ht="25.15" customHeight="1"/>
    <row r="688" s="424" customFormat="1" ht="25.15" customHeight="1"/>
    <row r="689" s="424" customFormat="1" ht="25.15" customHeight="1"/>
    <row r="690" s="424" customFormat="1" ht="25.15" customHeight="1"/>
    <row r="691" s="424" customFormat="1" ht="25.15" customHeight="1"/>
    <row r="692" s="424" customFormat="1" ht="25.15" customHeight="1"/>
    <row r="693" s="424" customFormat="1" ht="25.15" customHeight="1"/>
    <row r="694" s="424" customFormat="1" ht="25.15" customHeight="1"/>
    <row r="695" s="424" customFormat="1" ht="25.15" customHeight="1"/>
    <row r="696" s="424" customFormat="1" ht="25.15" customHeight="1"/>
    <row r="697" s="424" customFormat="1" ht="25.15" customHeight="1"/>
    <row r="698" s="424" customFormat="1" ht="25.15" customHeight="1"/>
    <row r="699" s="424" customFormat="1" ht="25.15" customHeight="1"/>
    <row r="700" s="424" customFormat="1" ht="25.15" customHeight="1"/>
    <row r="701" s="424" customFormat="1" ht="25.15" customHeight="1"/>
    <row r="702" s="424" customFormat="1" ht="25.15" customHeight="1"/>
    <row r="703" s="424" customFormat="1" ht="25.15" customHeight="1"/>
    <row r="704" s="424" customFormat="1" ht="25.15" customHeight="1"/>
    <row r="705" s="424" customFormat="1" ht="25.15" customHeight="1"/>
    <row r="706" s="424" customFormat="1" ht="25.15" customHeight="1"/>
    <row r="707" s="424" customFormat="1" ht="25.15" customHeight="1"/>
    <row r="708" s="424" customFormat="1" ht="25.15" customHeight="1"/>
    <row r="709" s="424" customFormat="1" ht="25.15" customHeight="1"/>
    <row r="710" s="424" customFormat="1" ht="25.15" customHeight="1"/>
    <row r="711" s="424" customFormat="1" ht="25.15" customHeight="1"/>
    <row r="712" s="424" customFormat="1" ht="25.15" customHeight="1"/>
    <row r="713" s="424" customFormat="1" ht="25.15" customHeight="1"/>
    <row r="714" s="424" customFormat="1" ht="25.15" customHeight="1"/>
    <row r="715" s="424" customFormat="1" ht="25.15" customHeight="1"/>
    <row r="716" s="424" customFormat="1" ht="25.15" customHeight="1"/>
    <row r="717" s="424" customFormat="1" ht="25.15" customHeight="1"/>
    <row r="718" s="424" customFormat="1" ht="25.15" customHeight="1"/>
    <row r="719" s="424" customFormat="1" ht="25.15" customHeight="1"/>
    <row r="720" s="424" customFormat="1" ht="25.15" customHeight="1"/>
    <row r="721" s="424" customFormat="1" ht="25.15" customHeight="1"/>
    <row r="722" s="424" customFormat="1" ht="25.15" customHeight="1"/>
    <row r="723" s="424" customFormat="1" ht="25.15" customHeight="1"/>
    <row r="724" s="424" customFormat="1" ht="25.15" customHeight="1"/>
    <row r="725" s="424" customFormat="1" ht="25.15" customHeight="1"/>
    <row r="726" s="424" customFormat="1" ht="25.15" customHeight="1"/>
    <row r="727" s="424" customFormat="1" ht="25.15" customHeight="1"/>
    <row r="728" s="424" customFormat="1" ht="25.15" customHeight="1"/>
    <row r="729" s="424" customFormat="1" ht="25.15" customHeight="1"/>
    <row r="730" s="424" customFormat="1" ht="25.15" customHeight="1"/>
    <row r="731" s="424" customFormat="1" ht="25.15" customHeight="1"/>
    <row r="732" s="424" customFormat="1" ht="25.15" customHeight="1"/>
    <row r="733" s="424" customFormat="1" ht="25.15" customHeight="1"/>
    <row r="734" s="424" customFormat="1" ht="25.15" customHeight="1"/>
    <row r="735" s="424" customFormat="1" ht="25.15" customHeight="1"/>
    <row r="736" s="424" customFormat="1" ht="25.15" customHeight="1"/>
    <row r="737" s="424" customFormat="1" ht="25.15" customHeight="1"/>
    <row r="738" s="424" customFormat="1" ht="25.15" customHeight="1"/>
    <row r="739" s="424" customFormat="1" ht="25.15" customHeight="1"/>
    <row r="740" s="424" customFormat="1" ht="25.15" customHeight="1"/>
    <row r="741" s="424" customFormat="1" ht="25.15" customHeight="1"/>
    <row r="742" s="424" customFormat="1" ht="25.15" customHeight="1"/>
    <row r="743" s="424" customFormat="1" ht="25.15" customHeight="1"/>
    <row r="744" s="424" customFormat="1" ht="25.15" customHeight="1"/>
    <row r="745" s="424" customFormat="1" ht="25.15" customHeight="1"/>
    <row r="746" s="424" customFormat="1" ht="25.15" customHeight="1"/>
    <row r="747" s="424" customFormat="1" ht="25.15" customHeight="1"/>
    <row r="748" s="424" customFormat="1" ht="25.15" customHeight="1"/>
    <row r="749" s="424" customFormat="1" ht="25.15" customHeight="1"/>
    <row r="750" s="424" customFormat="1" ht="25.15" customHeight="1"/>
    <row r="751" s="424" customFormat="1" ht="25.15" customHeight="1"/>
    <row r="752" s="424" customFormat="1" ht="25.15" customHeight="1"/>
    <row r="753" s="424" customFormat="1" ht="25.15" customHeight="1"/>
    <row r="754" s="424" customFormat="1" ht="25.15" customHeight="1"/>
    <row r="755" s="424" customFormat="1" ht="25.15" customHeight="1"/>
    <row r="756" s="424" customFormat="1" ht="25.15" customHeight="1"/>
    <row r="757" s="424" customFormat="1" ht="25.15" customHeight="1"/>
    <row r="758" s="424" customFormat="1" ht="25.15" customHeight="1"/>
    <row r="759" s="424" customFormat="1" ht="25.15" customHeight="1"/>
    <row r="760" s="424" customFormat="1" ht="25.15" customHeight="1"/>
    <row r="761" s="424" customFormat="1" ht="25.15" customHeight="1"/>
    <row r="762" s="424" customFormat="1" ht="25.15" customHeight="1"/>
    <row r="763" s="424" customFormat="1" ht="25.15" customHeight="1"/>
    <row r="764" s="424" customFormat="1" ht="25.15" customHeight="1"/>
    <row r="765" s="424" customFormat="1" ht="25.15" customHeight="1"/>
    <row r="766" s="424" customFormat="1" ht="25.15" customHeight="1"/>
    <row r="767" s="424" customFormat="1" ht="25.15" customHeight="1"/>
    <row r="768" s="424" customFormat="1" ht="25.15" customHeight="1"/>
    <row r="769" s="424" customFormat="1" ht="25.15" customHeight="1"/>
    <row r="770" s="424" customFormat="1" ht="25.15" customHeight="1"/>
    <row r="771" s="424" customFormat="1" ht="25.15" customHeight="1"/>
    <row r="772" s="424" customFormat="1" ht="25.15" customHeight="1"/>
    <row r="773" s="424" customFormat="1" ht="25.15" customHeight="1"/>
    <row r="774" s="424" customFormat="1" ht="25.15" customHeight="1"/>
    <row r="775" s="424" customFormat="1" ht="25.15" customHeight="1"/>
    <row r="776" s="424" customFormat="1" ht="25.15" customHeight="1"/>
    <row r="777" s="424" customFormat="1" ht="25.15" customHeight="1"/>
    <row r="778" s="424" customFormat="1" ht="25.15" customHeight="1"/>
    <row r="779" s="424" customFormat="1" ht="25.15" customHeight="1"/>
    <row r="780" s="424" customFormat="1" ht="25.15" customHeight="1"/>
    <row r="781" s="424" customFormat="1" ht="25.15" customHeight="1"/>
    <row r="782" s="424" customFormat="1" ht="25.15" customHeight="1"/>
    <row r="783" s="424" customFormat="1" ht="25.15" customHeight="1"/>
    <row r="784" s="424" customFormat="1" ht="25.15" customHeight="1"/>
    <row r="785" s="424" customFormat="1" ht="25.15" customHeight="1"/>
    <row r="786" s="424" customFormat="1" ht="25.15" customHeight="1"/>
    <row r="787" s="424" customFormat="1" ht="25.15" customHeight="1"/>
    <row r="788" s="424" customFormat="1" ht="25.15" customHeight="1"/>
    <row r="789" s="424" customFormat="1" ht="25.15" customHeight="1"/>
    <row r="790" s="424" customFormat="1" ht="25.15" customHeight="1"/>
    <row r="791" s="424" customFormat="1" ht="25.15" customHeight="1"/>
    <row r="792" s="424" customFormat="1" ht="25.15" customHeight="1"/>
    <row r="793" s="424" customFormat="1" ht="25.15" customHeight="1"/>
    <row r="794" s="424" customFormat="1" ht="25.15" customHeight="1"/>
    <row r="795" s="424" customFormat="1" ht="25.15" customHeight="1"/>
    <row r="796" s="424" customFormat="1" ht="25.15" customHeight="1"/>
    <row r="797" s="424" customFormat="1" ht="25.15" customHeight="1"/>
    <row r="798" s="424" customFormat="1" ht="25.15" customHeight="1"/>
    <row r="799" s="424" customFormat="1" ht="25.15" customHeight="1"/>
    <row r="800" s="424" customFormat="1" ht="25.15" customHeight="1"/>
    <row r="801" s="424" customFormat="1" ht="25.15" customHeight="1"/>
    <row r="802" s="424" customFormat="1" ht="25.15" customHeight="1"/>
    <row r="803" s="424" customFormat="1" ht="25.15" customHeight="1"/>
    <row r="804" s="424" customFormat="1" ht="25.15" customHeight="1"/>
    <row r="805" s="424" customFormat="1" ht="25.15" customHeight="1"/>
    <row r="806" s="424" customFormat="1" ht="25.15" customHeight="1"/>
    <row r="807" s="424" customFormat="1" ht="25.15" customHeight="1"/>
    <row r="808" s="424" customFormat="1" ht="25.15" customHeight="1"/>
    <row r="809" s="424" customFormat="1" ht="25.15" customHeight="1"/>
    <row r="810" s="424" customFormat="1" ht="25.15" customHeight="1"/>
    <row r="811" s="424" customFormat="1" ht="25.15" customHeight="1"/>
    <row r="812" s="424" customFormat="1" ht="25.15" customHeight="1"/>
    <row r="813" s="424" customFormat="1" ht="25.15" customHeight="1"/>
    <row r="814" s="424" customFormat="1" ht="25.15" customHeight="1"/>
    <row r="815" s="424" customFormat="1" ht="25.15" customHeight="1"/>
    <row r="816" s="424" customFormat="1" ht="25.15" customHeight="1"/>
    <row r="817" s="424" customFormat="1" ht="25.15" customHeight="1"/>
    <row r="818" s="424" customFormat="1" ht="25.15" customHeight="1"/>
    <row r="819" s="424" customFormat="1" ht="25.15" customHeight="1"/>
    <row r="820" s="424" customFormat="1" ht="25.15" customHeight="1"/>
    <row r="821" s="424" customFormat="1" ht="25.15" customHeight="1"/>
    <row r="822" s="424" customFormat="1" ht="25.15" customHeight="1"/>
    <row r="823" s="424" customFormat="1" ht="25.15" customHeight="1"/>
    <row r="824" s="424" customFormat="1" ht="25.15" customHeight="1"/>
    <row r="825" s="424" customFormat="1" ht="25.15" customHeight="1"/>
    <row r="826" s="424" customFormat="1" ht="25.15" customHeight="1"/>
    <row r="827" s="424" customFormat="1" ht="25.15" customHeight="1"/>
    <row r="828" s="424" customFormat="1" ht="25.15" customHeight="1"/>
    <row r="829" s="424" customFormat="1" ht="25.15" customHeight="1"/>
    <row r="830" s="424" customFormat="1" ht="25.15" customHeight="1"/>
    <row r="831" s="424" customFormat="1" ht="25.15" customHeight="1"/>
    <row r="832" s="424" customFormat="1" ht="25.15" customHeight="1"/>
    <row r="833" s="424" customFormat="1" ht="25.15" customHeight="1"/>
    <row r="834" s="424" customFormat="1" ht="25.15" customHeight="1"/>
    <row r="835" s="424" customFormat="1" ht="25.15" customHeight="1"/>
    <row r="836" s="424" customFormat="1" ht="25.15" customHeight="1"/>
    <row r="837" s="424" customFormat="1" ht="25.15" customHeight="1"/>
    <row r="838" s="424" customFormat="1" ht="25.15" customHeight="1"/>
    <row r="839" s="424" customFormat="1" ht="25.15" customHeight="1"/>
    <row r="840" s="424" customFormat="1" ht="25.15" customHeight="1"/>
    <row r="841" s="424" customFormat="1" ht="25.15" customHeight="1"/>
    <row r="842" s="424" customFormat="1" ht="25.15" customHeight="1"/>
    <row r="843" s="424" customFormat="1" ht="25.15" customHeight="1"/>
    <row r="844" s="424" customFormat="1" ht="25.15" customHeight="1"/>
    <row r="845" s="424" customFormat="1" ht="25.15" customHeight="1"/>
    <row r="846" s="424" customFormat="1" ht="25.15" customHeight="1"/>
    <row r="847" s="424" customFormat="1" ht="25.15" customHeight="1"/>
    <row r="848" s="424" customFormat="1" ht="25.15" customHeight="1"/>
    <row r="849" s="424" customFormat="1" ht="25.15" customHeight="1"/>
    <row r="850" s="424" customFormat="1" ht="25.15" customHeight="1"/>
    <row r="851" s="424" customFormat="1" ht="25.15" customHeight="1"/>
    <row r="852" s="424" customFormat="1" ht="25.15" customHeight="1"/>
    <row r="853" s="424" customFormat="1" ht="25.15" customHeight="1"/>
    <row r="854" s="424" customFormat="1" ht="25.15" customHeight="1"/>
    <row r="855" s="424" customFormat="1" ht="25.15" customHeight="1"/>
    <row r="856" s="424" customFormat="1" ht="25.15" customHeight="1"/>
    <row r="857" s="424" customFormat="1" ht="25.15" customHeight="1"/>
    <row r="858" s="424" customFormat="1" ht="25.15" customHeight="1"/>
    <row r="859" s="424" customFormat="1" ht="25.15" customHeight="1"/>
    <row r="860" s="424" customFormat="1" ht="25.15" customHeight="1"/>
    <row r="861" s="424" customFormat="1" ht="25.15" customHeight="1"/>
    <row r="862" s="424" customFormat="1" ht="25.15" customHeight="1"/>
    <row r="863" s="424" customFormat="1" ht="25.15" customHeight="1"/>
    <row r="864" s="424" customFormat="1" ht="25.15" customHeight="1"/>
    <row r="865" s="424" customFormat="1" ht="25.15" customHeight="1"/>
    <row r="866" s="424" customFormat="1" ht="25.15" customHeight="1"/>
    <row r="867" s="424" customFormat="1" ht="25.15" customHeight="1"/>
    <row r="868" s="424" customFormat="1" ht="25.15" customHeight="1"/>
    <row r="869" s="424" customFormat="1" ht="25.15" customHeight="1"/>
    <row r="870" s="424" customFormat="1" ht="25.15" customHeight="1"/>
    <row r="871" s="424" customFormat="1" ht="25.15" customHeight="1"/>
    <row r="872" s="424" customFormat="1" ht="25.15" customHeight="1"/>
    <row r="873" s="424" customFormat="1" ht="25.15" customHeight="1"/>
    <row r="874" s="424" customFormat="1" ht="25.15" customHeight="1"/>
    <row r="875" s="424" customFormat="1" ht="25.15" customHeight="1"/>
    <row r="876" s="424" customFormat="1" ht="25.15" customHeight="1"/>
    <row r="877" s="424" customFormat="1" ht="25.15" customHeight="1"/>
    <row r="878" s="424" customFormat="1" ht="25.15" customHeight="1"/>
    <row r="879" s="424" customFormat="1" ht="25.15" customHeight="1"/>
    <row r="880" s="424" customFormat="1" ht="25.15" customHeight="1"/>
    <row r="881" s="424" customFormat="1" ht="25.15" customHeight="1"/>
    <row r="882" s="424" customFormat="1" ht="25.15" customHeight="1"/>
    <row r="883" s="424" customFormat="1" ht="25.15" customHeight="1"/>
    <row r="884" s="424" customFormat="1" ht="25.15" customHeight="1"/>
    <row r="885" s="424" customFormat="1" ht="25.15" customHeight="1"/>
    <row r="886" s="424" customFormat="1" ht="25.15" customHeight="1"/>
    <row r="887" s="424" customFormat="1" ht="25.15" customHeight="1"/>
    <row r="888" s="424" customFormat="1" ht="25.15" customHeight="1"/>
    <row r="889" s="424" customFormat="1" ht="25.15" customHeight="1"/>
    <row r="890" s="424" customFormat="1" ht="25.15" customHeight="1"/>
    <row r="891" s="424" customFormat="1" ht="25.15" customHeight="1"/>
    <row r="892" s="424" customFormat="1" ht="25.15" customHeight="1"/>
    <row r="893" s="424" customFormat="1" ht="25.15" customHeight="1"/>
    <row r="894" s="424" customFormat="1" ht="25.15" customHeight="1"/>
    <row r="895" s="424" customFormat="1" ht="25.15" customHeight="1"/>
    <row r="896" s="424" customFormat="1" ht="25.15" customHeight="1"/>
    <row r="897" s="424" customFormat="1" ht="25.15" customHeight="1"/>
    <row r="898" s="424" customFormat="1" ht="25.15" customHeight="1"/>
    <row r="899" s="424" customFormat="1" ht="25.15" customHeight="1"/>
    <row r="900" s="424" customFormat="1" ht="25.15" customHeight="1"/>
    <row r="901" s="424" customFormat="1" ht="25.15" customHeight="1"/>
    <row r="902" s="424" customFormat="1" ht="25.15" customHeight="1"/>
    <row r="903" s="424" customFormat="1" ht="25.15" customHeight="1"/>
    <row r="904" s="424" customFormat="1" ht="25.15" customHeight="1"/>
    <row r="905" s="424" customFormat="1" ht="25.15" customHeight="1"/>
    <row r="906" s="424" customFormat="1" ht="25.15" customHeight="1"/>
    <row r="907" s="424" customFormat="1" ht="25.15" customHeight="1"/>
    <row r="908" s="424" customFormat="1" ht="25.15" customHeight="1"/>
    <row r="909" s="424" customFormat="1" ht="25.15" customHeight="1"/>
    <row r="910" s="424" customFormat="1" ht="25.15" customHeight="1"/>
    <row r="911" s="424" customFormat="1" ht="25.15" customHeight="1"/>
    <row r="912" s="424" customFormat="1" ht="25.15" customHeight="1"/>
    <row r="913" s="424" customFormat="1" ht="25.15" customHeight="1"/>
    <row r="914" s="424" customFormat="1" ht="25.15" customHeight="1"/>
    <row r="915" s="424" customFormat="1" ht="25.15" customHeight="1"/>
    <row r="916" s="424" customFormat="1" ht="25.15" customHeight="1"/>
    <row r="917" s="424" customFormat="1" ht="25.15" customHeight="1"/>
    <row r="918" s="424" customFormat="1" ht="25.15" customHeight="1"/>
    <row r="919" s="424" customFormat="1" ht="25.15" customHeight="1"/>
    <row r="920" s="424" customFormat="1" ht="25.15" customHeight="1"/>
    <row r="921" s="424" customFormat="1" ht="25.15" customHeight="1"/>
    <row r="922" s="424" customFormat="1" ht="25.15" customHeight="1"/>
    <row r="923" s="424" customFormat="1" ht="25.15" customHeight="1"/>
    <row r="924" s="424" customFormat="1" ht="25.15" customHeight="1"/>
    <row r="925" s="424" customFormat="1" ht="25.15" customHeight="1"/>
    <row r="926" s="424" customFormat="1" ht="25.15" customHeight="1"/>
    <row r="927" s="424" customFormat="1" ht="25.15" customHeight="1"/>
    <row r="928" s="424" customFormat="1" ht="25.15" customHeight="1"/>
    <row r="929" s="424" customFormat="1" ht="25.15" customHeight="1"/>
    <row r="930" s="424" customFormat="1" ht="25.15" customHeight="1"/>
    <row r="931" s="424" customFormat="1" ht="25.15" customHeight="1"/>
    <row r="932" s="424" customFormat="1" ht="25.15" customHeight="1"/>
    <row r="933" s="424" customFormat="1" ht="25.15" customHeight="1"/>
    <row r="934" s="424" customFormat="1" ht="25.15" customHeight="1"/>
    <row r="935" s="424" customFormat="1" ht="25.15" customHeight="1"/>
    <row r="936" s="424" customFormat="1" ht="25.15" customHeight="1"/>
    <row r="937" s="424" customFormat="1" ht="25.15" customHeight="1"/>
    <row r="938" s="424" customFormat="1" ht="25.15" customHeight="1"/>
    <row r="939" s="424" customFormat="1" ht="25.15" customHeight="1"/>
    <row r="940" s="424" customFormat="1" ht="25.15" customHeight="1"/>
    <row r="941" s="424" customFormat="1" ht="25.15" customHeight="1"/>
    <row r="942" s="424" customFormat="1" ht="25.15" customHeight="1"/>
    <row r="943" s="424" customFormat="1" ht="25.15" customHeight="1"/>
    <row r="944" s="424" customFormat="1" ht="25.15" customHeight="1"/>
    <row r="945" s="424" customFormat="1" ht="25.15" customHeight="1"/>
    <row r="946" s="424" customFormat="1" ht="25.15" customHeight="1"/>
    <row r="947" s="424" customFormat="1" ht="25.15" customHeight="1"/>
    <row r="948" s="424" customFormat="1" ht="25.15" customHeight="1"/>
    <row r="949" s="424" customFormat="1" ht="25.15" customHeight="1"/>
    <row r="950" s="424" customFormat="1" ht="25.15" customHeight="1"/>
    <row r="951" s="424" customFormat="1" ht="25.15" customHeight="1"/>
    <row r="952" s="424" customFormat="1" ht="25.15" customHeight="1"/>
    <row r="953" s="424" customFormat="1" ht="25.15" customHeight="1"/>
    <row r="954" s="424" customFormat="1" ht="25.15" customHeight="1"/>
    <row r="955" s="424" customFormat="1" ht="25.15" customHeight="1"/>
    <row r="956" s="424" customFormat="1" ht="25.15" customHeight="1"/>
    <row r="957" s="424" customFormat="1" ht="25.15" customHeight="1"/>
    <row r="958" s="424" customFormat="1" ht="25.15" customHeight="1"/>
    <row r="959" s="424" customFormat="1" ht="25.15" customHeight="1"/>
    <row r="960" s="424" customFormat="1" ht="25.15" customHeight="1"/>
    <row r="961" s="424" customFormat="1" ht="25.15" customHeight="1"/>
    <row r="962" s="424" customFormat="1" ht="25.15" customHeight="1"/>
    <row r="963" s="424" customFormat="1" ht="25.15" customHeight="1"/>
    <row r="964" s="424" customFormat="1" ht="25.15" customHeight="1"/>
    <row r="965" s="424" customFormat="1" ht="25.15" customHeight="1"/>
    <row r="966" s="424" customFormat="1" ht="25.15" customHeight="1"/>
    <row r="967" s="424" customFormat="1" ht="25.15" customHeight="1"/>
    <row r="968" s="424" customFormat="1" ht="25.15" customHeight="1"/>
    <row r="969" s="424" customFormat="1" ht="25.15" customHeight="1"/>
    <row r="970" s="424" customFormat="1" ht="25.15" customHeight="1"/>
    <row r="971" s="424" customFormat="1" ht="25.15" customHeight="1"/>
    <row r="972" s="424" customFormat="1" ht="25.15" customHeight="1"/>
    <row r="973" s="424" customFormat="1" ht="25.15" customHeight="1"/>
    <row r="974" s="424" customFormat="1" ht="25.15" customHeight="1"/>
    <row r="975" s="424" customFormat="1" ht="25.15" customHeight="1"/>
    <row r="976" s="424" customFormat="1" ht="25.15" customHeight="1"/>
    <row r="977" s="424" customFormat="1" ht="25.15" customHeight="1"/>
    <row r="978" s="424" customFormat="1" ht="25.15" customHeight="1"/>
    <row r="979" s="424" customFormat="1" ht="25.15" customHeight="1"/>
    <row r="980" s="424" customFormat="1" ht="25.15" customHeight="1"/>
    <row r="981" s="424" customFormat="1" ht="25.15" customHeight="1"/>
    <row r="982" s="424" customFormat="1" ht="25.15" customHeight="1"/>
    <row r="983" s="424" customFormat="1" ht="25.15" customHeight="1"/>
    <row r="984" s="424" customFormat="1" ht="25.15" customHeight="1"/>
    <row r="985" s="424" customFormat="1" ht="25.15" customHeight="1"/>
    <row r="986" s="424" customFormat="1" ht="25.15" customHeight="1"/>
    <row r="987" s="424" customFormat="1" ht="25.15" customHeight="1"/>
    <row r="988" s="424" customFormat="1" ht="25.15" customHeight="1"/>
    <row r="989" s="424" customFormat="1" ht="25.15" customHeight="1"/>
    <row r="990" s="424" customFormat="1" ht="25.15" customHeight="1"/>
    <row r="991" s="424" customFormat="1" ht="25.15" customHeight="1"/>
    <row r="992" s="424" customFormat="1" ht="25.15" customHeight="1"/>
    <row r="993" s="424" customFormat="1" ht="25.15" customHeight="1"/>
    <row r="994" s="424" customFormat="1" ht="25.15" customHeight="1"/>
    <row r="995" s="424" customFormat="1" ht="25.15" customHeight="1"/>
    <row r="996" s="424" customFormat="1" ht="25.15" customHeight="1"/>
    <row r="997" s="424" customFormat="1" ht="25.15" customHeight="1"/>
    <row r="998" s="424" customFormat="1" ht="25.15" customHeight="1"/>
    <row r="999" s="424" customFormat="1" ht="25.15" customHeight="1"/>
    <row r="1000" s="424" customFormat="1" ht="25.15" customHeight="1"/>
    <row r="1001" s="424" customFormat="1" ht="25.15" customHeight="1"/>
    <row r="1002" s="424" customFormat="1" ht="25.15" customHeight="1"/>
    <row r="1003" s="424" customFormat="1" ht="25.15" customHeight="1"/>
    <row r="1004" s="424" customFormat="1" ht="25.15" customHeight="1"/>
    <row r="1005" s="424" customFormat="1" ht="25.15" customHeight="1"/>
    <row r="1006" s="424" customFormat="1" ht="25.15" customHeight="1"/>
    <row r="1007" s="424" customFormat="1" ht="25.15" customHeight="1"/>
    <row r="1008" s="424" customFormat="1" ht="25.15" customHeight="1"/>
    <row r="1009" s="424" customFormat="1" ht="25.15" customHeight="1"/>
    <row r="1010" s="424" customFormat="1" ht="25.15" customHeight="1"/>
    <row r="1011" s="424" customFormat="1" ht="25.15" customHeight="1"/>
    <row r="1012" s="424" customFormat="1" ht="25.15" customHeight="1"/>
    <row r="1013" s="424" customFormat="1" ht="25.15" customHeight="1"/>
    <row r="1014" s="424" customFormat="1" ht="25.15" customHeight="1"/>
    <row r="1015" s="424" customFormat="1" ht="25.15" customHeight="1"/>
    <row r="1016" s="424" customFormat="1" ht="25.15" customHeight="1"/>
    <row r="1017" s="424" customFormat="1" ht="25.15" customHeight="1"/>
    <row r="1018" s="424" customFormat="1" ht="25.15" customHeight="1"/>
    <row r="1019" s="424" customFormat="1" ht="25.15" customHeight="1"/>
    <row r="1020" s="424" customFormat="1" ht="25.15" customHeight="1"/>
    <row r="1021" s="424" customFormat="1" ht="25.15" customHeight="1"/>
    <row r="1022" s="424" customFormat="1" ht="25.15" customHeight="1"/>
    <row r="1023" s="424" customFormat="1" ht="25.15" customHeight="1"/>
    <row r="1024" s="424" customFormat="1" ht="25.15" customHeight="1"/>
    <row r="1025" s="424" customFormat="1" ht="25.15" customHeight="1"/>
    <row r="1026" s="424" customFormat="1" ht="25.15" customHeight="1"/>
    <row r="1027" s="424" customFormat="1" ht="25.15" customHeight="1"/>
    <row r="1028" s="424" customFormat="1" ht="25.15" customHeight="1"/>
    <row r="1029" s="424" customFormat="1" ht="25.15" customHeight="1"/>
    <row r="1030" s="424" customFormat="1" ht="24.95" customHeight="1"/>
    <row r="1031" s="424" customFormat="1" ht="24.95" customHeight="1"/>
    <row r="1032" s="424" customFormat="1" ht="24.95" customHeight="1"/>
    <row r="1033" s="424" customFormat="1" ht="24.95" customHeight="1"/>
    <row r="1034" s="424" customFormat="1" ht="24.95" customHeight="1"/>
    <row r="1035" s="424" customFormat="1" ht="24.95" customHeight="1"/>
    <row r="1036" s="424" customFormat="1" ht="24.95" customHeight="1"/>
    <row r="1037" s="424" customFormat="1" ht="24.95" customHeight="1"/>
    <row r="1038" s="424" customFormat="1" ht="24.95" customHeight="1"/>
    <row r="1039" s="424" customFormat="1" ht="24.95" customHeight="1"/>
    <row r="1040" s="424" customFormat="1" ht="24.95" customHeight="1"/>
    <row r="1041" s="424" customFormat="1" ht="24.95" customHeight="1"/>
    <row r="1042" s="424" customFormat="1" ht="24.95" customHeight="1"/>
    <row r="1043" s="424" customFormat="1" ht="24.95" customHeight="1"/>
    <row r="1044" s="424" customFormat="1" ht="24.95" customHeight="1"/>
    <row r="1045" s="424" customFormat="1" ht="24.95" customHeight="1"/>
    <row r="1046" s="424" customFormat="1" ht="24.95" customHeight="1"/>
    <row r="1047" s="424" customFormat="1" ht="24.95" customHeight="1"/>
    <row r="1048" s="424" customFormat="1" ht="24.95" customHeight="1"/>
    <row r="1049" s="424" customFormat="1" ht="24.95" customHeight="1"/>
    <row r="1050" s="424" customFormat="1" ht="24.95" customHeight="1"/>
    <row r="1051" s="424" customFormat="1" ht="24.95" customHeight="1"/>
    <row r="1052" s="424" customFormat="1" ht="24.95" customHeight="1"/>
    <row r="1053" s="424" customFormat="1" ht="24.95" customHeight="1"/>
    <row r="1054" s="424" customFormat="1" ht="24.95" customHeight="1"/>
    <row r="1055" s="424" customFormat="1" ht="24.95" customHeight="1"/>
    <row r="1056" s="424" customFormat="1" ht="24.95" customHeight="1"/>
    <row r="1057" s="424" customFormat="1" ht="24.95" customHeight="1"/>
    <row r="1058" s="424" customFormat="1" ht="24.95" customHeight="1"/>
    <row r="1059" s="424" customFormat="1" ht="24.95" customHeight="1"/>
    <row r="1060" s="424" customFormat="1" ht="24.95" customHeight="1"/>
    <row r="1061" s="424" customFormat="1" ht="24.95" customHeight="1"/>
    <row r="1062" s="424" customFormat="1" ht="24.95" customHeight="1"/>
    <row r="1063" s="424" customFormat="1" ht="24.95" customHeight="1"/>
    <row r="1064" s="424" customFormat="1" ht="24.95" customHeight="1"/>
    <row r="1065" s="424" customFormat="1" ht="24.95" customHeight="1"/>
    <row r="1066" s="424" customFormat="1" ht="24.95" customHeight="1"/>
    <row r="1067" s="424" customFormat="1" ht="24.95" customHeight="1"/>
    <row r="1068" s="424" customFormat="1" ht="24.95" customHeight="1"/>
    <row r="1069" s="424" customFormat="1" ht="24.95" customHeight="1"/>
    <row r="1070" s="424" customFormat="1" ht="24.95" customHeight="1"/>
    <row r="1071" s="424" customFormat="1" ht="24.95" customHeight="1"/>
    <row r="1072" s="424" customFormat="1" ht="24.95" customHeight="1"/>
    <row r="1073" s="424" customFormat="1" ht="24.95" customHeight="1"/>
    <row r="1074" s="424" customFormat="1" ht="24.95" customHeight="1"/>
    <row r="1075" s="424" customFormat="1" ht="24.95" customHeight="1"/>
    <row r="1076" s="424" customFormat="1" ht="24.95" customHeight="1"/>
    <row r="1077" s="424" customFormat="1" ht="24.95" customHeight="1"/>
    <row r="1078" s="424" customFormat="1" ht="24.95" customHeight="1"/>
    <row r="1079" s="424" customFormat="1" ht="24.95" customHeight="1"/>
    <row r="1080" s="424" customFormat="1" ht="24.95" customHeight="1"/>
    <row r="1081" s="424" customFormat="1" ht="24.95" customHeight="1"/>
    <row r="1082" s="424" customFormat="1" ht="24.95" customHeight="1"/>
    <row r="1083" s="424" customFormat="1" ht="24.95" customHeight="1"/>
    <row r="1084" s="424" customFormat="1" ht="24.95" customHeight="1"/>
    <row r="1085" s="424" customFormat="1" ht="24.95" customHeight="1"/>
    <row r="1086" s="424" customFormat="1" ht="24.95" customHeight="1"/>
    <row r="1087" s="424" customFormat="1" ht="24.95" customHeight="1"/>
    <row r="1088" s="424" customFormat="1" ht="24.95" customHeight="1"/>
    <row r="1089" s="424" customFormat="1" ht="24.95" customHeight="1"/>
    <row r="1090" s="424" customFormat="1" ht="24.95" customHeight="1"/>
    <row r="1091" s="424" customFormat="1" ht="24.95" customHeight="1"/>
    <row r="1092" s="424" customFormat="1" ht="24.95" customHeight="1"/>
    <row r="1093" s="424" customFormat="1" ht="24.95" customHeight="1"/>
    <row r="1094" s="424" customFormat="1" ht="24.95" customHeight="1"/>
    <row r="1095" s="424" customFormat="1" ht="24.95" customHeight="1"/>
    <row r="1096" s="424" customFormat="1" ht="24.95" customHeight="1"/>
    <row r="1097" s="424" customFormat="1" ht="24.95" customHeight="1"/>
    <row r="1098" s="424" customFormat="1" ht="24.95" customHeight="1"/>
    <row r="1099" s="424" customFormat="1" ht="24.95" customHeight="1"/>
    <row r="1100" s="424" customFormat="1" ht="24.95" customHeight="1"/>
    <row r="1101" s="424" customFormat="1" ht="24.95" customHeight="1"/>
    <row r="1102" s="424" customFormat="1" ht="24.95" customHeight="1"/>
    <row r="1103" s="424" customFormat="1" ht="24.95" customHeight="1"/>
    <row r="1104" s="424" customFormat="1" ht="24.95" customHeight="1"/>
    <row r="1105" s="424" customFormat="1" ht="24.95" customHeight="1"/>
    <row r="1106" s="424" customFormat="1" ht="24.95" customHeight="1"/>
    <row r="1107" s="424" customFormat="1" ht="24.95" customHeight="1"/>
    <row r="1108" s="424" customFormat="1" ht="24.95" customHeight="1"/>
    <row r="1109" s="424" customFormat="1" ht="24.95" customHeight="1"/>
    <row r="1110" s="424" customFormat="1" ht="24.95" customHeight="1"/>
    <row r="1111" s="424" customFormat="1" ht="24.95" customHeight="1"/>
    <row r="1112" s="424" customFormat="1" ht="24.95" customHeight="1"/>
    <row r="1113" s="424" customFormat="1" ht="24.95" customHeight="1"/>
    <row r="1114" s="424" customFormat="1" ht="24.95" customHeight="1"/>
    <row r="1115" s="424" customFormat="1" ht="24.95" customHeight="1"/>
    <row r="1116" s="424" customFormat="1" ht="24.95" customHeight="1"/>
    <row r="1117" s="424" customFormat="1" ht="24.95" customHeight="1"/>
    <row r="1118" s="424" customFormat="1" ht="24.95" customHeight="1"/>
    <row r="1119" s="424" customFormat="1" ht="24.95" customHeight="1"/>
    <row r="1120" s="424" customFormat="1" ht="24.95" customHeight="1"/>
    <row r="1121" s="424" customFormat="1" ht="24.95" customHeight="1"/>
    <row r="1122" s="424" customFormat="1" ht="24.95" customHeight="1"/>
    <row r="1123" s="424" customFormat="1" ht="24.95" customHeight="1"/>
    <row r="1124" s="424" customFormat="1" ht="24.95" customHeight="1"/>
    <row r="1125" s="424" customFormat="1" ht="24.95" customHeight="1"/>
    <row r="1126" s="424" customFormat="1" ht="24.95" customHeight="1"/>
    <row r="1127" s="424" customFormat="1" ht="24.95" customHeight="1"/>
    <row r="1128" s="424" customFormat="1" ht="24.95" customHeight="1"/>
    <row r="1129" s="424" customFormat="1" ht="24.95" customHeight="1"/>
    <row r="1130" s="424" customFormat="1" ht="24.95" customHeight="1"/>
    <row r="1131" s="424" customFormat="1" ht="24.95" customHeight="1"/>
    <row r="1132" s="424" customFormat="1" ht="24.95" customHeight="1"/>
    <row r="1133" s="424" customFormat="1" ht="24.95" customHeight="1"/>
    <row r="1134" s="424" customFormat="1" ht="24.95" customHeight="1"/>
    <row r="1135" s="424" customFormat="1" ht="24.95" customHeight="1"/>
    <row r="1136" s="424" customFormat="1" ht="24.95" customHeight="1"/>
    <row r="1137" s="424" customFormat="1" ht="24.95" customHeight="1"/>
    <row r="1138" s="424" customFormat="1" ht="24.95" customHeight="1"/>
    <row r="1139" s="424" customFormat="1" ht="24.95" customHeight="1"/>
    <row r="1140" s="424" customFormat="1" ht="24.95" customHeight="1"/>
    <row r="1141" s="424" customFormat="1" ht="24.95" customHeight="1"/>
    <row r="1142" s="424" customFormat="1" ht="24.95" customHeight="1"/>
    <row r="1143" s="424" customFormat="1" ht="24.95" customHeight="1"/>
    <row r="1144" s="424" customFormat="1" ht="24.95" customHeight="1"/>
    <row r="1145" s="424" customFormat="1" ht="24.95" customHeight="1"/>
    <row r="1146" s="424" customFormat="1" ht="24.95" customHeight="1"/>
    <row r="1147" s="424" customFormat="1" ht="24.95" customHeight="1"/>
    <row r="1148" s="424" customFormat="1" ht="24.95" customHeight="1"/>
    <row r="1149" s="424" customFormat="1" ht="24.95" customHeight="1"/>
    <row r="1150" s="424" customFormat="1" ht="24.95" customHeight="1"/>
    <row r="1151" s="424" customFormat="1" ht="24.95" customHeight="1"/>
    <row r="1152" s="424" customFormat="1" ht="24.95" customHeight="1"/>
    <row r="1153" s="424" customFormat="1" ht="24.95" customHeight="1"/>
    <row r="1154" s="424" customFormat="1" ht="24.95" customHeight="1"/>
    <row r="1155" s="424" customFormat="1" ht="24.95" customHeight="1"/>
    <row r="1156" s="424" customFormat="1" ht="24.95" customHeight="1"/>
    <row r="1157" s="424" customFormat="1" ht="24.95" customHeight="1"/>
    <row r="1158" s="424" customFormat="1" ht="24.95" customHeight="1"/>
    <row r="1159" s="424" customFormat="1" ht="24.95" customHeight="1"/>
    <row r="1160" s="424" customFormat="1" ht="24.95" customHeight="1"/>
    <row r="1161" s="424" customFormat="1" ht="24.95" customHeight="1"/>
    <row r="1162" s="424" customFormat="1" ht="24.95" customHeight="1"/>
    <row r="1163" s="424" customFormat="1" ht="24.95" customHeight="1"/>
    <row r="1164" s="424" customFormat="1" ht="24.95" customHeight="1"/>
    <row r="1165" s="424" customFormat="1" ht="24.95" customHeight="1"/>
    <row r="1166" s="424" customFormat="1" ht="24.95" customHeight="1"/>
    <row r="1167" s="424" customFormat="1" ht="24.95" customHeight="1"/>
    <row r="1168" s="424" customFormat="1" ht="24.95" customHeight="1"/>
    <row r="1169" s="424" customFormat="1" ht="24.95" customHeight="1"/>
    <row r="1170" s="424" customFormat="1" ht="24.95" customHeight="1"/>
    <row r="1171" s="424" customFormat="1" ht="24.95" customHeight="1"/>
    <row r="1172" s="424" customFormat="1" ht="24.95" customHeight="1"/>
    <row r="1173" s="424" customFormat="1" ht="24.95" customHeight="1"/>
    <row r="1174" s="424" customFormat="1" ht="24.95" customHeight="1"/>
    <row r="1175" s="424" customFormat="1" ht="24.95" customHeight="1"/>
    <row r="1176" s="424" customFormat="1" ht="24.95" customHeight="1"/>
    <row r="1177" s="424" customFormat="1" ht="24.95" customHeight="1"/>
    <row r="1178" s="424" customFormat="1" ht="24.95" customHeight="1"/>
    <row r="1179" s="424" customFormat="1" ht="24.95" customHeight="1"/>
    <row r="1180" s="424" customFormat="1" ht="24.95" customHeight="1"/>
    <row r="1181" s="424" customFormat="1" ht="24.95" customHeight="1"/>
    <row r="1182" s="424" customFormat="1" ht="24.95" customHeight="1"/>
    <row r="1183" s="424" customFormat="1" ht="24.95" customHeight="1"/>
    <row r="1184" s="424" customFormat="1" ht="24.95" customHeight="1"/>
    <row r="1185" s="424" customFormat="1" ht="24.95" customHeight="1"/>
    <row r="1186" s="424" customFormat="1" ht="24.95" customHeight="1"/>
    <row r="1187" s="424" customFormat="1" ht="24.95" customHeight="1"/>
    <row r="1188" s="424" customFormat="1" ht="24.95" customHeight="1"/>
    <row r="1189" s="424" customFormat="1" ht="24.95" customHeight="1"/>
    <row r="1190" s="424" customFormat="1" ht="24.95" customHeight="1"/>
    <row r="1191" s="424" customFormat="1" ht="24.95" customHeight="1"/>
    <row r="1192" s="424" customFormat="1" ht="24.95" customHeight="1"/>
    <row r="1193" s="424" customFormat="1" ht="24.95" customHeight="1"/>
    <row r="1194" s="424" customFormat="1" ht="24.95" customHeight="1"/>
    <row r="1195" s="424" customFormat="1" ht="24.95" customHeight="1"/>
    <row r="1196" s="424" customFormat="1" ht="24.95" customHeight="1"/>
    <row r="1197" s="424" customFormat="1" ht="24.95" customHeight="1"/>
    <row r="1198" s="424" customFormat="1" ht="24.95" customHeight="1"/>
    <row r="1199" s="424" customFormat="1" ht="24.95" customHeight="1"/>
    <row r="1200" s="424" customFormat="1" ht="24.95" customHeight="1"/>
    <row r="1201" s="424" customFormat="1" ht="24.95" customHeight="1"/>
    <row r="1202" s="424" customFormat="1" ht="24.95" customHeight="1"/>
    <row r="1203" s="424" customFormat="1" ht="24.95" customHeight="1"/>
    <row r="1204" s="424" customFormat="1" ht="24.95" customHeight="1"/>
    <row r="1205" s="424" customFormat="1" ht="24.95" customHeight="1"/>
    <row r="1206" s="424" customFormat="1" ht="24.95" customHeight="1"/>
    <row r="1207" s="424" customFormat="1" ht="24.95" customHeight="1"/>
    <row r="1208" s="424" customFormat="1" ht="24.95" customHeight="1"/>
    <row r="1209" s="424" customFormat="1" ht="24.95" customHeight="1"/>
    <row r="1210" s="424" customFormat="1" ht="24.95" customHeight="1"/>
    <row r="1211" s="424" customFormat="1" ht="24.95" customHeight="1"/>
    <row r="1212" s="424" customFormat="1" ht="24.95" customHeight="1"/>
    <row r="1213" s="424" customFormat="1" ht="24.95" customHeight="1"/>
    <row r="1214" s="424" customFormat="1" ht="24.95" customHeight="1"/>
    <row r="1215" s="424" customFormat="1" ht="24.95" customHeight="1"/>
    <row r="1216" s="424" customFormat="1" ht="24.95" customHeight="1"/>
    <row r="1217" s="424" customFormat="1" ht="24.95" customHeight="1"/>
    <row r="1218" s="424" customFormat="1" ht="24.95" customHeight="1"/>
    <row r="1219" s="424" customFormat="1" ht="24.95" customHeight="1"/>
    <row r="1220" s="424" customFormat="1" ht="24.95" customHeight="1"/>
    <row r="1221" s="424" customFormat="1" ht="24.95" customHeight="1"/>
    <row r="1222" s="424" customFormat="1" ht="24.95" customHeight="1"/>
    <row r="1223" s="424" customFormat="1" ht="24.95" customHeight="1"/>
    <row r="1224" s="424" customFormat="1" ht="24.95" customHeight="1"/>
    <row r="1225" s="424" customFormat="1" ht="24.95" customHeight="1"/>
    <row r="1226" s="424" customFormat="1" ht="24.95" customHeight="1"/>
    <row r="1227" s="424" customFormat="1" ht="24.95" customHeight="1"/>
    <row r="1228" s="424" customFormat="1" ht="24.95" customHeight="1"/>
    <row r="1229" s="424" customFormat="1" ht="24.95" customHeight="1"/>
    <row r="1230" s="424" customFormat="1" ht="24.95" customHeight="1"/>
    <row r="1231" s="424" customFormat="1" ht="24.95" customHeight="1"/>
    <row r="1232" s="424" customFormat="1" ht="24.95" customHeight="1"/>
    <row r="1233" s="424" customFormat="1" ht="24.95" customHeight="1"/>
    <row r="1234" s="424" customFormat="1" ht="24.95" customHeight="1"/>
    <row r="1235" s="424" customFormat="1" ht="24.95" customHeight="1"/>
    <row r="1236" s="424" customFormat="1" ht="24.95" customHeight="1"/>
    <row r="1237" s="424" customFormat="1" ht="24.95" customHeight="1"/>
    <row r="1238" s="424" customFormat="1" ht="24.95" customHeight="1"/>
    <row r="1239" s="424" customFormat="1" ht="24.95" customHeight="1"/>
    <row r="1240" s="424" customFormat="1" ht="24.95" customHeight="1"/>
    <row r="1241" s="424" customFormat="1" ht="24.95" customHeight="1"/>
    <row r="1242" s="424" customFormat="1" ht="24.95" customHeight="1"/>
    <row r="1243" s="424" customFormat="1" ht="24.95" customHeight="1"/>
    <row r="1244" s="424" customFormat="1" ht="24.95" customHeight="1"/>
    <row r="1245" s="424" customFormat="1" ht="24.95" customHeight="1"/>
    <row r="1246" s="424" customFormat="1" ht="24.95" customHeight="1"/>
    <row r="1247" s="424" customFormat="1" ht="24.95" customHeight="1"/>
    <row r="1248" s="424" customFormat="1" ht="24.95" customHeight="1"/>
    <row r="1249" s="424" customFormat="1" ht="24.95" customHeight="1"/>
    <row r="1250" s="424" customFormat="1" ht="24.95" customHeight="1"/>
    <row r="1251" s="424" customFormat="1" ht="24.95" customHeight="1"/>
    <row r="1252" s="424" customFormat="1" ht="24.95" customHeight="1"/>
    <row r="1253" s="424" customFormat="1" ht="24.95" customHeight="1"/>
    <row r="1254" s="424" customFormat="1" ht="24.95" customHeight="1"/>
    <row r="1255" s="424" customFormat="1" ht="24.95" customHeight="1"/>
    <row r="1256" s="424" customFormat="1" ht="24.95" customHeight="1"/>
    <row r="1257" s="424" customFormat="1" ht="24.95" customHeight="1"/>
    <row r="1258" s="424" customFormat="1" ht="24.95" customHeight="1"/>
    <row r="1259" s="424" customFormat="1" ht="24.95" customHeight="1"/>
    <row r="1260" s="424" customFormat="1" ht="24.95" customHeight="1"/>
    <row r="1261" s="424" customFormat="1" ht="24.95" customHeight="1"/>
    <row r="1262" s="424" customFormat="1" ht="24.95" customHeight="1"/>
    <row r="1263" s="424" customFormat="1" ht="24.95" customHeight="1"/>
    <row r="1264" s="424" customFormat="1" ht="24.95" customHeight="1"/>
    <row r="1265" s="424" customFormat="1" ht="24.95" customHeight="1"/>
    <row r="1266" s="424" customFormat="1" ht="24.95" customHeight="1"/>
    <row r="1267" s="424" customFormat="1" ht="24.95" customHeight="1"/>
    <row r="1268" s="424" customFormat="1" ht="24.95" customHeight="1"/>
    <row r="1269" s="424" customFormat="1" ht="24.95" customHeight="1"/>
    <row r="1270" s="424" customFormat="1" ht="24.95" customHeight="1"/>
    <row r="1271" s="424" customFormat="1" ht="24.95" customHeight="1"/>
    <row r="1272" s="424" customFormat="1" ht="24.95" customHeight="1"/>
    <row r="1273" s="424" customFormat="1" ht="24.95" customHeight="1"/>
    <row r="1274" s="424" customFormat="1" ht="24.95" customHeight="1"/>
    <row r="1275" s="424" customFormat="1" ht="24.95" customHeight="1"/>
    <row r="1276" s="424" customFormat="1" ht="24.95" customHeight="1"/>
    <row r="1277" s="424" customFormat="1" ht="24.95" customHeight="1"/>
    <row r="1278" s="424" customFormat="1" ht="24.95" customHeight="1"/>
    <row r="1279" s="424" customFormat="1" ht="24.95" customHeight="1"/>
    <row r="1280" s="424" customFormat="1" ht="24.95" customHeight="1"/>
    <row r="1281" s="424" customFormat="1" ht="24.95" customHeight="1"/>
    <row r="1282" s="424" customFormat="1" ht="24.95" customHeight="1"/>
    <row r="1283" s="424" customFormat="1" ht="24.95" customHeight="1"/>
    <row r="1284" s="424" customFormat="1" ht="24.95" customHeight="1"/>
    <row r="1285" s="424" customFormat="1" ht="24.95" customHeight="1"/>
    <row r="1286" s="424" customFormat="1" ht="24.95" customHeight="1"/>
    <row r="1287" s="424" customFormat="1" ht="24.95" customHeight="1"/>
    <row r="1288" s="424" customFormat="1" ht="24.95" customHeight="1"/>
    <row r="1289" s="424" customFormat="1" ht="24.95" customHeight="1"/>
    <row r="1290" s="424" customFormat="1" ht="24.95" customHeight="1"/>
    <row r="1291" s="424" customFormat="1" ht="24.95" customHeight="1"/>
    <row r="1292" s="424" customFormat="1" ht="24.95" customHeight="1"/>
    <row r="1293" s="424" customFormat="1" ht="24.95" customHeight="1"/>
    <row r="1294" s="424" customFormat="1" ht="24.95" customHeight="1"/>
    <row r="1295" s="424" customFormat="1" ht="24.95" customHeight="1"/>
    <row r="1296" s="424" customFormat="1" ht="24.95" customHeight="1"/>
    <row r="1297" s="424" customFormat="1" ht="24.95" customHeight="1"/>
    <row r="1298" s="424" customFormat="1" ht="24.95" customHeight="1"/>
    <row r="1299" s="424" customFormat="1" ht="24.95" customHeight="1"/>
    <row r="1300" s="424" customFormat="1" ht="24.95" customHeight="1"/>
    <row r="1301" s="424" customFormat="1" ht="24.95" customHeight="1"/>
    <row r="1302" s="424" customFormat="1" ht="24.95" customHeight="1"/>
    <row r="1303" s="424" customFormat="1" ht="24.95" customHeight="1"/>
    <row r="1304" s="424" customFormat="1" ht="24.95" customHeight="1"/>
    <row r="1305" s="424" customFormat="1" ht="24.95" customHeight="1"/>
    <row r="1306" s="424" customFormat="1" ht="24.95" customHeight="1"/>
    <row r="1307" s="424" customFormat="1" ht="24.95" customHeight="1"/>
    <row r="1308" s="424" customFormat="1" ht="24.95" customHeight="1"/>
    <row r="1309" s="424" customFormat="1" ht="24.95" customHeight="1"/>
    <row r="1310" s="424" customFormat="1" ht="24.95" customHeight="1"/>
    <row r="1311" s="424" customFormat="1" ht="24.95" customHeight="1"/>
    <row r="1312" s="424" customFormat="1" ht="24.95" customHeight="1"/>
    <row r="1313" s="424" customFormat="1" ht="24.95" customHeight="1"/>
    <row r="1314" s="424" customFormat="1" ht="24.95" customHeight="1"/>
    <row r="1315" s="424" customFormat="1" ht="24.95" customHeight="1"/>
    <row r="1316" s="424" customFormat="1" ht="24.95" customHeight="1"/>
    <row r="1317" s="424" customFormat="1" ht="24.95" customHeight="1"/>
    <row r="1318" s="424" customFormat="1" ht="24.95" customHeight="1"/>
    <row r="1319" s="424" customFormat="1" ht="24.95" customHeight="1"/>
    <row r="1320" s="424" customFormat="1" ht="24.95" customHeight="1"/>
    <row r="1321" s="424" customFormat="1" ht="24.95" customHeight="1"/>
    <row r="1322" s="424" customFormat="1" ht="24.95" customHeight="1"/>
    <row r="1323" s="424" customFormat="1" ht="24.95" customHeight="1"/>
    <row r="1324" s="424" customFormat="1" ht="24.95" customHeight="1"/>
    <row r="1325" s="424" customFormat="1" ht="24.95" customHeight="1"/>
    <row r="1326" s="424" customFormat="1" ht="24.95" customHeight="1"/>
    <row r="1327" s="424" customFormat="1" ht="24.95" customHeight="1"/>
    <row r="1328" s="424" customFormat="1" ht="24.95" customHeight="1"/>
    <row r="1329" s="424" customFormat="1" ht="24.95" customHeight="1"/>
    <row r="1330" s="424" customFormat="1" ht="24.95" customHeight="1"/>
    <row r="1331" s="424" customFormat="1" ht="24.95" customHeight="1"/>
    <row r="1332" s="424" customFormat="1" ht="24.95" customHeight="1"/>
    <row r="1333" s="424" customFormat="1" ht="24.95" customHeight="1"/>
    <row r="1334" s="424" customFormat="1" ht="24.95" customHeight="1"/>
    <row r="1335" s="424" customFormat="1" ht="24.95" customHeight="1"/>
    <row r="1336" s="424" customFormat="1" ht="24.95" customHeight="1"/>
    <row r="1337" s="424" customFormat="1" ht="24.95" customHeight="1"/>
    <row r="1338" s="424" customFormat="1" ht="24.95" customHeight="1"/>
    <row r="1339" s="424" customFormat="1" ht="24.95" customHeight="1"/>
    <row r="1340" s="424" customFormat="1" ht="24.95" customHeight="1"/>
    <row r="1341" s="424" customFormat="1" ht="24.95" customHeight="1"/>
    <row r="1342" s="424" customFormat="1" ht="24.95" customHeight="1"/>
    <row r="1343" s="424" customFormat="1" ht="24.95" customHeight="1"/>
    <row r="1344" s="424" customFormat="1" ht="24.95" customHeight="1"/>
    <row r="1345" s="424" customFormat="1" ht="24.95" customHeight="1"/>
    <row r="1346" s="424" customFormat="1" ht="24.95" customHeight="1"/>
    <row r="1347" s="424" customFormat="1" ht="24.95" customHeight="1"/>
    <row r="1348" s="424" customFormat="1" ht="24.95" customHeight="1"/>
    <row r="1349" s="424" customFormat="1" ht="24.95" customHeight="1"/>
    <row r="1350" s="424" customFormat="1" ht="24.95" customHeight="1"/>
    <row r="1351" s="424" customFormat="1" ht="24.95" customHeight="1"/>
    <row r="1352" s="424" customFormat="1" ht="24.95" customHeight="1"/>
    <row r="1353" s="424" customFormat="1" ht="24.95" customHeight="1"/>
    <row r="1354" s="424" customFormat="1" ht="24.95" customHeight="1"/>
    <row r="1355" s="424" customFormat="1" ht="24.95" customHeight="1"/>
    <row r="1356" s="424" customFormat="1" ht="24.95" customHeight="1"/>
    <row r="1357" s="424" customFormat="1" ht="24.95" customHeight="1"/>
    <row r="1358" s="424" customFormat="1" ht="24.95" customHeight="1"/>
    <row r="1359" s="424" customFormat="1" ht="24.95" customHeight="1"/>
    <row r="1360" s="424" customFormat="1" ht="24.95" customHeight="1"/>
    <row r="1361" s="424" customFormat="1" ht="24.95" customHeight="1"/>
    <row r="1362" s="424" customFormat="1" ht="24.95" customHeight="1"/>
    <row r="1363" s="424" customFormat="1" ht="24.95" customHeight="1"/>
    <row r="1364" s="424" customFormat="1" ht="24.95" customHeight="1"/>
    <row r="1365" s="424" customFormat="1" ht="24.95" customHeight="1"/>
    <row r="1366" s="424" customFormat="1" ht="24.95" customHeight="1"/>
    <row r="1367" s="424" customFormat="1" ht="24.95" customHeight="1"/>
    <row r="1368" s="424" customFormat="1" ht="24.95" customHeight="1"/>
    <row r="1369" s="424" customFormat="1" ht="24.95" customHeight="1"/>
    <row r="1370" s="424" customFormat="1" ht="24.95" customHeight="1"/>
    <row r="1371" s="424" customFormat="1" ht="24.95" customHeight="1"/>
    <row r="1372" s="424" customFormat="1" ht="24.95" customHeight="1"/>
    <row r="1373" s="424" customFormat="1" ht="24.95" customHeight="1"/>
    <row r="1374" s="424" customFormat="1" ht="24.95" customHeight="1"/>
    <row r="1375" s="424" customFormat="1" ht="24.95" customHeight="1"/>
    <row r="1376" s="424" customFormat="1" ht="24.95" customHeight="1"/>
    <row r="1377" s="424" customFormat="1" ht="24.95" customHeight="1"/>
    <row r="1378" s="424" customFormat="1" ht="24.95" customHeight="1"/>
    <row r="1379" s="424" customFormat="1" ht="24.95" customHeight="1"/>
    <row r="1380" s="424" customFormat="1" ht="24.95" customHeight="1"/>
    <row r="1381" s="424" customFormat="1" ht="24.95" customHeight="1"/>
    <row r="1382" s="424" customFormat="1" ht="24.95" customHeight="1"/>
    <row r="1383" s="424" customFormat="1" ht="24.95" customHeight="1"/>
    <row r="1384" s="424" customFormat="1" ht="24.95" customHeight="1"/>
    <row r="1385" s="424" customFormat="1" ht="24.95" customHeight="1"/>
    <row r="1386" s="424" customFormat="1" ht="24.95" customHeight="1"/>
    <row r="1387" s="424" customFormat="1" ht="24.95" customHeight="1"/>
    <row r="1388" s="424" customFormat="1" ht="24.95" customHeight="1"/>
    <row r="1389" s="424" customFormat="1" ht="24.95" customHeight="1"/>
    <row r="1390" s="424" customFormat="1" ht="24.95" customHeight="1"/>
    <row r="1391" s="424" customFormat="1" ht="24.95" customHeight="1"/>
    <row r="1392" s="424" customFormat="1" ht="24.95" customHeight="1"/>
    <row r="1393" s="424" customFormat="1" ht="24.95" customHeight="1"/>
    <row r="1394" s="424" customFormat="1" ht="24.95" customHeight="1"/>
    <row r="1395" s="424" customFormat="1" ht="24.95" customHeight="1"/>
    <row r="1396" s="424" customFormat="1" ht="24.95" customHeight="1"/>
    <row r="1397" s="424" customFormat="1" ht="24.95" customHeight="1"/>
    <row r="1398" s="424" customFormat="1" ht="24.95" customHeight="1"/>
    <row r="1399" s="424" customFormat="1" ht="24.95" customHeight="1"/>
    <row r="1400" s="424" customFormat="1" ht="24.95" customHeight="1"/>
    <row r="1401" s="424" customFormat="1" ht="24.95" customHeight="1"/>
    <row r="1402" s="424" customFormat="1" ht="24.95" customHeight="1"/>
    <row r="1403" s="424" customFormat="1" ht="24.95" customHeight="1"/>
    <row r="1404" s="424" customFormat="1" ht="24.95" customHeight="1"/>
    <row r="1405" s="424" customFormat="1" ht="24.95" customHeight="1"/>
    <row r="1406" s="424" customFormat="1" ht="24.95" customHeight="1"/>
    <row r="1407" s="424" customFormat="1" ht="24.95" customHeight="1"/>
    <row r="1408" s="424" customFormat="1" ht="24.95" customHeight="1"/>
    <row r="1409" s="424" customFormat="1" ht="24.95" customHeight="1"/>
    <row r="1410" s="424" customFormat="1" ht="24.95" customHeight="1"/>
    <row r="1411" s="424" customFormat="1" ht="24.95" customHeight="1"/>
    <row r="1412" s="424" customFormat="1" ht="24.95" customHeight="1"/>
    <row r="1413" s="424" customFormat="1" ht="24.95" customHeight="1"/>
    <row r="1414" s="424" customFormat="1" ht="24.95" customHeight="1"/>
    <row r="1415" s="424" customFormat="1" ht="24.95" customHeight="1"/>
    <row r="1416" s="424" customFormat="1" ht="24.95" customHeight="1"/>
    <row r="1417" s="424" customFormat="1" ht="24.95" customHeight="1"/>
    <row r="1418" s="424" customFormat="1" ht="24.95" customHeight="1"/>
    <row r="1419" s="424" customFormat="1" ht="24.95" customHeight="1"/>
    <row r="1420" s="424" customFormat="1" ht="24.95" customHeight="1"/>
    <row r="1421" s="424" customFormat="1" ht="24.95" customHeight="1"/>
    <row r="1422" s="424" customFormat="1" ht="24.95" customHeight="1"/>
    <row r="1423" s="424" customFormat="1" ht="24.95" customHeight="1"/>
    <row r="1424" s="424" customFormat="1" ht="24.95" customHeight="1"/>
    <row r="1425" s="424" customFormat="1" ht="24.95" customHeight="1"/>
    <row r="1426" s="424" customFormat="1" ht="24.95" customHeight="1"/>
    <row r="1427" s="424" customFormat="1" ht="24.95" customHeight="1"/>
    <row r="1428" s="424" customFormat="1" ht="24.95" customHeight="1"/>
    <row r="1429" s="424" customFormat="1" ht="24.95" customHeight="1"/>
    <row r="1430" s="424" customFormat="1" ht="24.95" customHeight="1"/>
    <row r="1431" s="424" customFormat="1" ht="24.95" customHeight="1"/>
    <row r="1432" s="424" customFormat="1" ht="24.95" customHeight="1"/>
    <row r="1433" s="424" customFormat="1" ht="24.95" customHeight="1"/>
    <row r="1434" s="424" customFormat="1" ht="24.95" customHeight="1"/>
    <row r="1435" s="424" customFormat="1" ht="24.95" customHeight="1"/>
    <row r="1436" s="424" customFormat="1" ht="24.95" customHeight="1"/>
    <row r="1437" s="424" customFormat="1" ht="24.95" customHeight="1"/>
    <row r="1438" s="424" customFormat="1" ht="24.95" customHeight="1"/>
    <row r="1439" s="424" customFormat="1" ht="24.95" customHeight="1"/>
    <row r="1440" s="424" customFormat="1" ht="24.95" customHeight="1"/>
    <row r="1441" s="424" customFormat="1" ht="24.95" customHeight="1"/>
    <row r="1442" s="424" customFormat="1" ht="24.95" customHeight="1"/>
    <row r="1443" s="424" customFormat="1" ht="24.95" customHeight="1"/>
    <row r="1444" s="424" customFormat="1" ht="24.95" customHeight="1"/>
    <row r="1445" s="424" customFormat="1" ht="24.95" customHeight="1"/>
    <row r="1446" s="424" customFormat="1" ht="24.95" customHeight="1"/>
    <row r="1447" s="424" customFormat="1" ht="24.95" customHeight="1"/>
    <row r="1448" s="424" customFormat="1" ht="24.95" customHeight="1"/>
    <row r="1449" s="424" customFormat="1" ht="24.95" customHeight="1"/>
    <row r="1450" s="424" customFormat="1" ht="24.95" customHeight="1"/>
    <row r="1451" s="424" customFormat="1" ht="24.95" customHeight="1"/>
    <row r="1452" s="424" customFormat="1" ht="24.95" customHeight="1"/>
    <row r="1453" s="424" customFormat="1" ht="24.95" customHeight="1"/>
    <row r="1454" s="424" customFormat="1" ht="24.95" customHeight="1"/>
    <row r="1455" s="424" customFormat="1" ht="24.95" customHeight="1"/>
    <row r="1456" s="424" customFormat="1" ht="24.95" customHeight="1"/>
    <row r="1457" s="424" customFormat="1" ht="24.95" customHeight="1"/>
    <row r="1458" s="424" customFormat="1" ht="24.95" customHeight="1"/>
    <row r="1459" s="424" customFormat="1" ht="24.95" customHeight="1"/>
    <row r="1460" s="424" customFormat="1" ht="24.95" customHeight="1"/>
    <row r="1461" s="424" customFormat="1" ht="24.95" customHeight="1"/>
    <row r="1462" s="424" customFormat="1" ht="24.95" customHeight="1"/>
    <row r="1463" s="424" customFormat="1" ht="24.95" customHeight="1"/>
    <row r="1464" s="424" customFormat="1" ht="24.95" customHeight="1"/>
    <row r="1465" s="424" customFormat="1" ht="24.95" customHeight="1"/>
    <row r="1466" s="424" customFormat="1" ht="24.95" customHeight="1"/>
    <row r="1467" s="424" customFormat="1" ht="24.95" customHeight="1"/>
    <row r="1468" s="424" customFormat="1" ht="24.95" customHeight="1"/>
    <row r="1469" s="424" customFormat="1" ht="24.95" customHeight="1"/>
    <row r="1470" s="424" customFormat="1" ht="24.95" customHeight="1"/>
    <row r="1471" s="424" customFormat="1" ht="24.95" customHeight="1"/>
    <row r="1472" s="424" customFormat="1" ht="24.95" customHeight="1"/>
    <row r="1473" s="424" customFormat="1" ht="24.95" customHeight="1"/>
    <row r="1474" s="424" customFormat="1" ht="24.95" customHeight="1"/>
    <row r="1475" s="424" customFormat="1" ht="24.95" customHeight="1"/>
    <row r="1476" s="424" customFormat="1" ht="24.95" customHeight="1"/>
    <row r="1477" s="424" customFormat="1" ht="24.95" customHeight="1"/>
    <row r="1478" s="424" customFormat="1" ht="24.95" customHeight="1"/>
    <row r="1479" s="424" customFormat="1" ht="24.95" customHeight="1"/>
    <row r="1480" s="424" customFormat="1" ht="24.95" customHeight="1"/>
    <row r="1481" s="424" customFormat="1" ht="24.95" customHeight="1"/>
    <row r="1482" s="424" customFormat="1" ht="24.95" customHeight="1"/>
    <row r="1483" s="424" customFormat="1" ht="24.95" customHeight="1"/>
    <row r="1484" s="424" customFormat="1" ht="24.95" customHeight="1"/>
    <row r="1485" s="424" customFormat="1" ht="24.95" customHeight="1"/>
    <row r="1486" s="424" customFormat="1" ht="24.95" customHeight="1"/>
    <row r="1487" s="424" customFormat="1" ht="24.95" customHeight="1"/>
    <row r="1488" s="424" customFormat="1" ht="24.95" customHeight="1"/>
    <row r="1489" s="424" customFormat="1" ht="24.95" customHeight="1"/>
    <row r="1490" s="424" customFormat="1" ht="24.95" customHeight="1"/>
    <row r="1491" s="424" customFormat="1" ht="24.95" customHeight="1"/>
    <row r="1492" s="424" customFormat="1" ht="24.95" customHeight="1"/>
    <row r="1493" s="424" customFormat="1" ht="24.95" customHeight="1"/>
    <row r="1494" s="424" customFormat="1" ht="24.95" customHeight="1"/>
    <row r="1495" s="424" customFormat="1" ht="24.95" customHeight="1"/>
    <row r="1496" s="424" customFormat="1" ht="24.95" customHeight="1"/>
    <row r="1497" s="424" customFormat="1" ht="24.95" customHeight="1"/>
    <row r="1498" s="424" customFormat="1" ht="24.95" customHeight="1"/>
    <row r="1499" s="424" customFormat="1" ht="24.95" customHeight="1"/>
    <row r="1500" s="424" customFormat="1" ht="24.95" customHeight="1"/>
    <row r="1501" s="424" customFormat="1" ht="24.95" customHeight="1"/>
    <row r="1502" s="424" customFormat="1" ht="24.95" customHeight="1"/>
    <row r="1503" s="424" customFormat="1" ht="24.95" customHeight="1"/>
    <row r="1504" s="424" customFormat="1" ht="24.95" customHeight="1"/>
    <row r="1505" s="424" customFormat="1" ht="24.95" customHeight="1"/>
    <row r="1506" s="424" customFormat="1" ht="24.95" customHeight="1"/>
    <row r="1507" s="424" customFormat="1" ht="24.95" customHeight="1"/>
    <row r="1508" s="424" customFormat="1" ht="24.95" customHeight="1"/>
    <row r="1509" s="424" customFormat="1" ht="24.95" customHeight="1"/>
    <row r="1510" s="424" customFormat="1" ht="24.95" customHeight="1"/>
    <row r="1511" s="424" customFormat="1" ht="24.95" customHeight="1"/>
    <row r="1512" s="424" customFormat="1" ht="24.95" customHeight="1"/>
    <row r="1513" s="424" customFormat="1" ht="24.95" customHeight="1"/>
    <row r="1514" s="424" customFormat="1" ht="24.95" customHeight="1"/>
    <row r="1515" s="424" customFormat="1" ht="24.95" customHeight="1"/>
    <row r="1516" s="424" customFormat="1" ht="24.95" customHeight="1"/>
    <row r="1517" s="424" customFormat="1" ht="24.95" customHeight="1"/>
    <row r="1518" s="424" customFormat="1" ht="24.95" customHeight="1"/>
    <row r="1519" s="424" customFormat="1" ht="24.95" customHeight="1"/>
    <row r="1520" s="424" customFormat="1" ht="24.95" customHeight="1"/>
    <row r="1521" s="424" customFormat="1" ht="24.95" customHeight="1"/>
    <row r="1522" s="424" customFormat="1" ht="24.95" customHeight="1"/>
    <row r="1523" s="424" customFormat="1" ht="24.95" customHeight="1"/>
    <row r="1524" s="424" customFormat="1" ht="24.95" customHeight="1"/>
    <row r="1525" s="424" customFormat="1" ht="24.95" customHeight="1"/>
    <row r="1526" s="424" customFormat="1" ht="24.95" customHeight="1"/>
    <row r="1527" s="424" customFormat="1" ht="24.95" customHeight="1"/>
    <row r="1528" s="424" customFormat="1" ht="24.95" customHeight="1"/>
    <row r="1529" s="424" customFormat="1" ht="24.95" customHeight="1"/>
    <row r="1530" s="424" customFormat="1" ht="24.95" customHeight="1"/>
    <row r="1531" s="424" customFormat="1" ht="24.95" customHeight="1"/>
    <row r="1532" s="424" customFormat="1" ht="24.95" customHeight="1"/>
    <row r="1533" s="424" customFormat="1" ht="24.95" customHeight="1"/>
    <row r="1534" s="424" customFormat="1" ht="24.95" customHeight="1"/>
    <row r="1535" s="424" customFormat="1" ht="24.95" customHeight="1"/>
    <row r="1536" s="424" customFormat="1" ht="24.95" customHeight="1"/>
    <row r="1537" s="424" customFormat="1" ht="24.95" customHeight="1"/>
    <row r="1538" s="424" customFormat="1" ht="24.95" customHeight="1"/>
    <row r="1539" s="424" customFormat="1" ht="24.95" customHeight="1"/>
    <row r="1540" s="424" customFormat="1" ht="24.95" customHeight="1"/>
    <row r="1541" s="424" customFormat="1" ht="24.95" customHeight="1"/>
    <row r="1542" s="424" customFormat="1" ht="24.95" customHeight="1"/>
    <row r="1543" s="424" customFormat="1" ht="24.95" customHeight="1"/>
    <row r="1544" s="424" customFormat="1" ht="24.95" customHeight="1"/>
    <row r="1545" s="424" customFormat="1" ht="24.95" customHeight="1"/>
    <row r="1546" s="424" customFormat="1" ht="24.95" customHeight="1"/>
    <row r="1547" s="424" customFormat="1" ht="24.95" customHeight="1"/>
    <row r="1548" s="424" customFormat="1" ht="24.95" customHeight="1"/>
    <row r="1549" s="424" customFormat="1" ht="24.95" customHeight="1"/>
    <row r="1550" s="424" customFormat="1" ht="24.95" customHeight="1"/>
    <row r="1551" s="424" customFormat="1" ht="24.95" customHeight="1"/>
    <row r="1552" s="424" customFormat="1" ht="24.95" customHeight="1"/>
    <row r="1553" s="424" customFormat="1" ht="24.95" customHeight="1"/>
    <row r="1554" s="424" customFormat="1" ht="24.95" customHeight="1"/>
    <row r="1555" s="424" customFormat="1" ht="24.95" customHeight="1"/>
    <row r="1556" s="424" customFormat="1" ht="24.95" customHeight="1"/>
    <row r="1557" s="424" customFormat="1" ht="24.95" customHeight="1"/>
    <row r="1558" s="424" customFormat="1" ht="24.95" customHeight="1"/>
    <row r="1559" s="424" customFormat="1" ht="24.95" customHeight="1"/>
    <row r="1560" s="424" customFormat="1" ht="24.95" customHeight="1"/>
    <row r="1561" s="424" customFormat="1" ht="24.95" customHeight="1"/>
    <row r="1562" s="424" customFormat="1" ht="24.95" customHeight="1"/>
    <row r="1563" s="424" customFormat="1" ht="24.95" customHeight="1"/>
    <row r="1564" s="424" customFormat="1" ht="24.95" customHeight="1"/>
    <row r="1565" s="424" customFormat="1" ht="24.95" customHeight="1"/>
    <row r="1566" s="424" customFormat="1" ht="24.95" customHeight="1"/>
    <row r="1567" s="424" customFormat="1" ht="24.95" customHeight="1"/>
    <row r="1568" s="424" customFormat="1" ht="24.95" customHeight="1"/>
    <row r="1569" s="424" customFormat="1" ht="24.95" customHeight="1"/>
    <row r="1570" s="424" customFormat="1" ht="24.95" customHeight="1"/>
    <row r="1571" s="424" customFormat="1" ht="24.95" customHeight="1"/>
    <row r="1572" s="424" customFormat="1" ht="24.95" customHeight="1"/>
    <row r="1573" s="424" customFormat="1" ht="24.95" customHeight="1"/>
    <row r="1574" s="424" customFormat="1" ht="24.95" customHeight="1"/>
    <row r="1575" s="424" customFormat="1" ht="24.95" customHeight="1"/>
    <row r="1576" s="424" customFormat="1" ht="24.95" customHeight="1"/>
    <row r="1577" s="424" customFormat="1" ht="24.95" customHeight="1"/>
    <row r="1578" s="424" customFormat="1" ht="24.95" customHeight="1"/>
    <row r="1579" s="424" customFormat="1" ht="24.95" customHeight="1"/>
    <row r="1580" s="424" customFormat="1" ht="24.95" customHeight="1"/>
    <row r="1581" s="424" customFormat="1" ht="24.95" customHeight="1"/>
    <row r="1582" s="424" customFormat="1" ht="24.95" customHeight="1"/>
    <row r="1583" s="424" customFormat="1" ht="24.95" customHeight="1"/>
    <row r="1584" s="424" customFormat="1" ht="24.95" customHeight="1"/>
    <row r="1585" s="424" customFormat="1" ht="24.95" customHeight="1"/>
    <row r="1586" s="424" customFormat="1" ht="24.95" customHeight="1"/>
    <row r="1587" s="424" customFormat="1" ht="24.95" customHeight="1"/>
    <row r="1588" s="424" customFormat="1" ht="24.95" customHeight="1"/>
    <row r="1589" s="424" customFormat="1" ht="24.95" customHeight="1"/>
    <row r="1590" s="424" customFormat="1" ht="24.95" customHeight="1"/>
    <row r="1591" s="424" customFormat="1" ht="24.95" customHeight="1"/>
    <row r="1592" s="424" customFormat="1" ht="24.95" customHeight="1"/>
    <row r="1593" s="424" customFormat="1" ht="24.95" customHeight="1"/>
    <row r="1594" s="424" customFormat="1" ht="24.95" customHeight="1"/>
    <row r="1595" s="424" customFormat="1" ht="24.95" customHeight="1"/>
    <row r="1596" s="424" customFormat="1" ht="24.95" customHeight="1"/>
    <row r="1597" s="424" customFormat="1" ht="24.95" customHeight="1"/>
    <row r="1598" s="424" customFormat="1" ht="24.95" customHeight="1"/>
    <row r="1599" s="424" customFormat="1" ht="24.95" customHeight="1"/>
    <row r="1600" s="424" customFormat="1" ht="24.95" customHeight="1"/>
    <row r="1601" s="424" customFormat="1" ht="24.95" customHeight="1"/>
    <row r="1602" s="424" customFormat="1" ht="24.95" customHeight="1"/>
    <row r="1603" s="424" customFormat="1" ht="24.95" customHeight="1"/>
    <row r="1604" s="424" customFormat="1" ht="24.95" customHeight="1"/>
    <row r="1605" s="424" customFormat="1" ht="24.95" customHeight="1"/>
    <row r="1606" s="424" customFormat="1" ht="24.95" customHeight="1"/>
    <row r="1607" s="424" customFormat="1" ht="24.95" customHeight="1"/>
    <row r="1608" s="424" customFormat="1" ht="24.95" customHeight="1"/>
    <row r="1609" s="424" customFormat="1" ht="24.95" customHeight="1"/>
    <row r="1610" s="424" customFormat="1" ht="24.95" customHeight="1"/>
    <row r="1611" s="424" customFormat="1" ht="24.95" customHeight="1"/>
    <row r="1612" s="424" customFormat="1" ht="24.95" customHeight="1"/>
    <row r="1613" s="424" customFormat="1" ht="24.95" customHeight="1"/>
    <row r="1614" s="424" customFormat="1" ht="24.95" customHeight="1"/>
    <row r="1615" s="424" customFormat="1" ht="24.95" customHeight="1"/>
    <row r="1616" s="424" customFormat="1" ht="24.95" customHeight="1"/>
    <row r="1617" s="424" customFormat="1" ht="24.95" customHeight="1"/>
    <row r="1618" s="424" customFormat="1" ht="24.95" customHeight="1"/>
    <row r="1619" s="424" customFormat="1" ht="24.95" customHeight="1"/>
    <row r="1620" s="424" customFormat="1" ht="24.95" customHeight="1"/>
    <row r="1621" s="424" customFormat="1" ht="24.95" customHeight="1"/>
    <row r="1622" s="424" customFormat="1" ht="24.95" customHeight="1"/>
    <row r="1623" s="424" customFormat="1" ht="24.95" customHeight="1"/>
    <row r="1624" s="424" customFormat="1" ht="24.95" customHeight="1"/>
    <row r="1625" s="424" customFormat="1" ht="24.95" customHeight="1"/>
    <row r="1626" s="424" customFormat="1" ht="24.95" customHeight="1"/>
    <row r="1627" s="424" customFormat="1" ht="24.95" customHeight="1"/>
    <row r="1628" s="424" customFormat="1" ht="24.95" customHeight="1"/>
    <row r="1629" s="424" customFormat="1" ht="24.95" customHeight="1"/>
    <row r="1630" s="424" customFormat="1" ht="24.95" customHeight="1"/>
    <row r="1631" s="424" customFormat="1" ht="24.95" customHeight="1"/>
    <row r="1632" s="424" customFormat="1" ht="24.95" customHeight="1"/>
    <row r="1633" s="424" customFormat="1" ht="24.95" customHeight="1"/>
    <row r="1634" s="424" customFormat="1" ht="24.95" customHeight="1"/>
    <row r="1635" s="424" customFormat="1" ht="24.95" customHeight="1"/>
    <row r="1636" s="424" customFormat="1" ht="24.95" customHeight="1"/>
    <row r="1637" s="424" customFormat="1" ht="24.95" customHeight="1"/>
    <row r="1638" s="424" customFormat="1" ht="24.95" customHeight="1"/>
    <row r="1639" s="424" customFormat="1" ht="24.95" customHeight="1"/>
    <row r="1640" s="424" customFormat="1" ht="24.95" customHeight="1"/>
    <row r="1641" s="424" customFormat="1" ht="24.95" customHeight="1"/>
    <row r="1642" s="424" customFormat="1" ht="24.95" customHeight="1"/>
    <row r="1643" s="424" customFormat="1" ht="24.95" customHeight="1"/>
    <row r="1644" s="424" customFormat="1" ht="24.95" customHeight="1"/>
    <row r="1645" s="424" customFormat="1" ht="24.95" customHeight="1"/>
    <row r="1646" s="424" customFormat="1" ht="24.95" customHeight="1"/>
    <row r="1647" s="424" customFormat="1" ht="24.95" customHeight="1"/>
    <row r="1648" s="424" customFormat="1" ht="24.95" customHeight="1"/>
    <row r="1649" s="424" customFormat="1" ht="24.95" customHeight="1"/>
    <row r="1650" s="424" customFormat="1" ht="24.95" customHeight="1"/>
    <row r="1651" s="424" customFormat="1" ht="24.95" customHeight="1"/>
    <row r="1652" s="424" customFormat="1" ht="24.95" customHeight="1"/>
    <row r="1653" s="424" customFormat="1" ht="24.95" customHeight="1"/>
    <row r="1654" s="424" customFormat="1" ht="24.95" customHeight="1"/>
    <row r="1655" s="424" customFormat="1" ht="24.95" customHeight="1"/>
    <row r="1656" s="424" customFormat="1" ht="24.95" customHeight="1"/>
    <row r="1657" s="424" customFormat="1" ht="24.95" customHeight="1"/>
    <row r="1658" s="424" customFormat="1" ht="24.95" customHeight="1"/>
    <row r="1659" s="424" customFormat="1" ht="24.95" customHeight="1"/>
    <row r="1660" s="424" customFormat="1" ht="24.95" customHeight="1"/>
    <row r="1661" s="424" customFormat="1" ht="24.95" customHeight="1"/>
    <row r="1662" s="424" customFormat="1" ht="24.95" customHeight="1"/>
    <row r="1663" s="424" customFormat="1" ht="24.95" customHeight="1"/>
    <row r="1664" s="424" customFormat="1" ht="24.95" customHeight="1"/>
    <row r="1665" s="424" customFormat="1" ht="24.95" customHeight="1"/>
    <row r="1666" s="424" customFormat="1" ht="24.95" customHeight="1"/>
    <row r="1667" s="424" customFormat="1" ht="24.95" customHeight="1"/>
    <row r="1668" s="424" customFormat="1" ht="24.95" customHeight="1"/>
    <row r="1669" s="424" customFormat="1" ht="24.95" customHeight="1"/>
    <row r="1670" s="424" customFormat="1" ht="24.95" customHeight="1"/>
    <row r="1671" s="424" customFormat="1" ht="24.95" customHeight="1"/>
    <row r="1672" s="424" customFormat="1" ht="24.95" customHeight="1"/>
    <row r="1673" s="424" customFormat="1" ht="24.95" customHeight="1"/>
    <row r="1674" s="424" customFormat="1" ht="24.95" customHeight="1"/>
    <row r="1675" s="424" customFormat="1" ht="24.95" customHeight="1"/>
    <row r="1676" s="424" customFormat="1" ht="24.95" customHeight="1"/>
    <row r="1677" s="424" customFormat="1" ht="24.95" customHeight="1"/>
    <row r="1678" s="424" customFormat="1" ht="24.95" customHeight="1"/>
    <row r="1679" s="424" customFormat="1" ht="24.95" customHeight="1"/>
    <row r="1680" s="424" customFormat="1" ht="24.95" customHeight="1"/>
    <row r="1681" s="424" customFormat="1" ht="24.95" customHeight="1"/>
    <row r="1682" s="424" customFormat="1" ht="24.95" customHeight="1"/>
    <row r="1683" s="424" customFormat="1" ht="24.95" customHeight="1"/>
    <row r="1684" s="424" customFormat="1" ht="24.95" customHeight="1"/>
    <row r="1685" s="424" customFormat="1" ht="24.95" customHeight="1"/>
    <row r="1686" s="424" customFormat="1" ht="24.95" customHeight="1"/>
    <row r="1687" s="424" customFormat="1" ht="24.95" customHeight="1"/>
    <row r="1688" s="424" customFormat="1" ht="24.95" customHeight="1"/>
    <row r="1689" s="424" customFormat="1" ht="24.95" customHeight="1"/>
    <row r="1690" s="424" customFormat="1" ht="24.95" customHeight="1"/>
    <row r="1691" s="424" customFormat="1" ht="24.95" customHeight="1"/>
    <row r="1692" s="424" customFormat="1" ht="24.95" customHeight="1"/>
    <row r="1693" s="424" customFormat="1" ht="24.95" customHeight="1"/>
    <row r="1694" s="424" customFormat="1" ht="24.95" customHeight="1"/>
    <row r="1695" s="424" customFormat="1" ht="24.95" customHeight="1"/>
    <row r="1696" s="424" customFormat="1" ht="24.95" customHeight="1"/>
    <row r="1697" s="424" customFormat="1" ht="24.95" customHeight="1"/>
    <row r="1698" s="424" customFormat="1" ht="24.95" customHeight="1"/>
    <row r="1699" s="424" customFormat="1" ht="24.95" customHeight="1"/>
    <row r="1700" s="424" customFormat="1" ht="24.95" customHeight="1"/>
    <row r="1701" s="424" customFormat="1" ht="24.95" customHeight="1"/>
    <row r="1702" s="424" customFormat="1" ht="24.95" customHeight="1"/>
    <row r="1703" s="424" customFormat="1" ht="24.95" customHeight="1"/>
    <row r="1704" s="424" customFormat="1" ht="24.95" customHeight="1"/>
    <row r="1705" s="424" customFormat="1" ht="24.95" customHeight="1"/>
    <row r="1706" s="424" customFormat="1" ht="24.95" customHeight="1"/>
    <row r="1707" s="424" customFormat="1" ht="24.95" customHeight="1"/>
    <row r="1708" s="424" customFormat="1" ht="24.95" customHeight="1"/>
    <row r="1709" s="424" customFormat="1" ht="24.95" customHeight="1"/>
    <row r="1710" s="424" customFormat="1" ht="24.95" customHeight="1"/>
    <row r="1711" s="424" customFormat="1" ht="24.95" customHeight="1"/>
    <row r="1712" s="424" customFormat="1" ht="24.95" customHeight="1"/>
    <row r="1713" s="424" customFormat="1" ht="24.95" customHeight="1"/>
    <row r="1714" s="424" customFormat="1" ht="24.95" customHeight="1"/>
    <row r="1715" s="424" customFormat="1" ht="24.95" customHeight="1"/>
    <row r="1716" s="424" customFormat="1" ht="24.95" customHeight="1"/>
    <row r="1717" s="424" customFormat="1" ht="24.95" customHeight="1"/>
    <row r="1718" s="424" customFormat="1" ht="24.95" customHeight="1"/>
    <row r="1719" s="424" customFormat="1" ht="24.95" customHeight="1"/>
    <row r="1720" s="424" customFormat="1" ht="24.95" customHeight="1"/>
    <row r="1721" s="424" customFormat="1" ht="24.95" customHeight="1"/>
    <row r="1722" s="424" customFormat="1" ht="24.95" customHeight="1"/>
    <row r="1723" s="424" customFormat="1" ht="24.95" customHeight="1"/>
    <row r="1724" s="424" customFormat="1" ht="24.95" customHeight="1"/>
    <row r="1725" s="424" customFormat="1" ht="24.95" customHeight="1"/>
    <row r="1726" s="424" customFormat="1" ht="24.95" customHeight="1"/>
    <row r="1727" s="424" customFormat="1" ht="24.95" customHeight="1"/>
    <row r="1728" s="424" customFormat="1" ht="24.95" customHeight="1"/>
    <row r="1729" s="424" customFormat="1" ht="24.95" customHeight="1"/>
    <row r="1730" s="424" customFormat="1" ht="24.95" customHeight="1"/>
    <row r="1731" s="424" customFormat="1" ht="24.95" customHeight="1"/>
    <row r="1732" s="424" customFormat="1" ht="24.95" customHeight="1"/>
    <row r="1733" s="424" customFormat="1" ht="24.95" customHeight="1"/>
    <row r="1734" s="424" customFormat="1" ht="24.95" customHeight="1"/>
    <row r="1735" s="424" customFormat="1" ht="24.95" customHeight="1"/>
    <row r="1736" s="424" customFormat="1" ht="24.95" customHeight="1"/>
    <row r="1737" s="424" customFormat="1" ht="24.95" customHeight="1"/>
    <row r="1738" s="424" customFormat="1" ht="24.95" customHeight="1"/>
    <row r="1739" s="424" customFormat="1" ht="24.95" customHeight="1"/>
    <row r="1740" s="424" customFormat="1" ht="24.95" customHeight="1"/>
    <row r="1741" s="424" customFormat="1" ht="24.95" customHeight="1"/>
    <row r="1742" s="424" customFormat="1" ht="24.95" customHeight="1"/>
    <row r="1743" s="424" customFormat="1" ht="24.95" customHeight="1"/>
    <row r="1744" s="424" customFormat="1" ht="24.95" customHeight="1"/>
    <row r="1745" s="424" customFormat="1" ht="24.95" customHeight="1"/>
    <row r="1746" s="424" customFormat="1" ht="24.95" customHeight="1"/>
    <row r="1747" s="424" customFormat="1" ht="24.95" customHeight="1"/>
    <row r="1748" s="424" customFormat="1" ht="24.95" customHeight="1"/>
    <row r="1749" s="424" customFormat="1" ht="24.95" customHeight="1"/>
    <row r="1750" s="424" customFormat="1" ht="24.95" customHeight="1"/>
    <row r="1751" s="424" customFormat="1" ht="24.95" customHeight="1"/>
    <row r="1752" s="424" customFormat="1" ht="24.95" customHeight="1"/>
    <row r="1753" s="424" customFormat="1" ht="24.95" customHeight="1"/>
    <row r="1754" s="424" customFormat="1" ht="24.95" customHeight="1"/>
    <row r="1755" s="424" customFormat="1" ht="24.95" customHeight="1"/>
    <row r="1756" s="424" customFormat="1" ht="24.95" customHeight="1"/>
    <row r="1757" s="424" customFormat="1" ht="24.95" customHeight="1"/>
    <row r="1758" s="424" customFormat="1" ht="24.95" customHeight="1"/>
    <row r="1759" s="424" customFormat="1" ht="24.95" customHeight="1"/>
    <row r="1760" s="424" customFormat="1" ht="24.95" customHeight="1"/>
    <row r="1761" s="424" customFormat="1" ht="24.95" customHeight="1"/>
    <row r="1762" s="424" customFormat="1" ht="24.95" customHeight="1"/>
    <row r="1763" s="424" customFormat="1" ht="24.95" customHeight="1"/>
    <row r="1764" s="424" customFormat="1" ht="24.95" customHeight="1"/>
    <row r="1765" s="424" customFormat="1" ht="24.95" customHeight="1"/>
    <row r="1766" s="424" customFormat="1" ht="24.95" customHeight="1"/>
    <row r="1767" s="424" customFormat="1" ht="24.95" customHeight="1"/>
    <row r="1768" s="424" customFormat="1" ht="24.95" customHeight="1"/>
    <row r="1769" s="424" customFormat="1" ht="24.95" customHeight="1"/>
    <row r="1770" s="424" customFormat="1" ht="24.95" customHeight="1"/>
    <row r="1771" s="424" customFormat="1" ht="24.95" customHeight="1"/>
    <row r="1772" s="424" customFormat="1" ht="24.95" customHeight="1"/>
    <row r="1773" s="424" customFormat="1" ht="24.95" customHeight="1"/>
    <row r="1774" s="424" customFormat="1" ht="24.95" customHeight="1"/>
    <row r="1775" s="424" customFormat="1" ht="24.95" customHeight="1"/>
    <row r="1776" s="424" customFormat="1" ht="24.95" customHeight="1"/>
    <row r="1777" s="424" customFormat="1" ht="24.95" customHeight="1"/>
    <row r="1778" s="424" customFormat="1" ht="24.95" customHeight="1"/>
    <row r="1779" s="424" customFormat="1" ht="24.95" customHeight="1"/>
    <row r="1780" s="424" customFormat="1" ht="24.95" customHeight="1"/>
    <row r="1781" s="424" customFormat="1" ht="24.95" customHeight="1"/>
    <row r="1782" s="424" customFormat="1" ht="24.95" customHeight="1"/>
    <row r="1783" s="424" customFormat="1" ht="24.95" customHeight="1"/>
    <row r="1784" s="424" customFormat="1" ht="24.95" customHeight="1"/>
    <row r="1785" s="424" customFormat="1" ht="24.95" customHeight="1"/>
    <row r="1786" s="424" customFormat="1" ht="24.95" customHeight="1"/>
    <row r="1787" s="424" customFormat="1" ht="24.95" customHeight="1"/>
    <row r="1788" s="424" customFormat="1" ht="24.95" customHeight="1"/>
    <row r="1789" s="424" customFormat="1" ht="24.95" customHeight="1"/>
    <row r="1790" s="424" customFormat="1" ht="24.95" customHeight="1"/>
    <row r="1791" s="424" customFormat="1" ht="24.95" customHeight="1"/>
    <row r="1792" s="424" customFormat="1" ht="24.95" customHeight="1"/>
    <row r="1793" s="424" customFormat="1" ht="24.95" customHeight="1"/>
    <row r="1794" s="424" customFormat="1" ht="24.95" customHeight="1"/>
    <row r="1795" s="424" customFormat="1" ht="24.95" customHeight="1"/>
    <row r="1796" s="424" customFormat="1" ht="24.95" customHeight="1"/>
    <row r="1797" s="424" customFormat="1" ht="24.95" customHeight="1"/>
    <row r="1798" s="424" customFormat="1" ht="24.95" customHeight="1"/>
    <row r="1799" s="424" customFormat="1" ht="24.95" customHeight="1"/>
    <row r="1800" s="424" customFormat="1" ht="24.95" customHeight="1"/>
    <row r="1801" s="424" customFormat="1" ht="24.95" customHeight="1"/>
    <row r="1802" s="424" customFormat="1" ht="24.95" customHeight="1"/>
    <row r="1803" s="424" customFormat="1" ht="24.95" customHeight="1"/>
    <row r="1804" s="424" customFormat="1" ht="24.95" customHeight="1"/>
    <row r="1805" s="424" customFormat="1" ht="24.95" customHeight="1"/>
    <row r="1806" s="424" customFormat="1" ht="24.95" customHeight="1"/>
    <row r="1807" s="424" customFormat="1" ht="24.95" customHeight="1"/>
    <row r="1808" s="424" customFormat="1" ht="24.95" customHeight="1"/>
    <row r="1809" s="424" customFormat="1" ht="24.95" customHeight="1"/>
    <row r="1810" s="424" customFormat="1" ht="24.95" customHeight="1"/>
    <row r="1811" s="424" customFormat="1" ht="24.95" customHeight="1"/>
    <row r="1812" s="424" customFormat="1" ht="24.95" customHeight="1"/>
    <row r="1813" s="424" customFormat="1" ht="24.95" customHeight="1"/>
    <row r="1814" s="424" customFormat="1" ht="24.95" customHeight="1"/>
    <row r="1815" s="424" customFormat="1" ht="24.95" customHeight="1"/>
    <row r="1816" s="424" customFormat="1" ht="24.95" customHeight="1"/>
    <row r="1817" s="424" customFormat="1" ht="24.95" customHeight="1"/>
    <row r="1818" s="424" customFormat="1" ht="24.95" customHeight="1"/>
    <row r="1819" s="424" customFormat="1" ht="24.95" customHeight="1"/>
    <row r="1820" s="424" customFormat="1" ht="24.95" customHeight="1"/>
    <row r="1821" s="424" customFormat="1" ht="24.95" customHeight="1"/>
    <row r="1822" s="424" customFormat="1" ht="24.95" customHeight="1"/>
    <row r="1823" s="424" customFormat="1" ht="24.95" customHeight="1"/>
    <row r="1824" s="424" customFormat="1" ht="24.95" customHeight="1"/>
    <row r="1825" s="424" customFormat="1" ht="24.95" customHeight="1"/>
    <row r="1826" s="424" customFormat="1" ht="24.95" customHeight="1"/>
    <row r="1827" s="424" customFormat="1" ht="24.95" customHeight="1"/>
    <row r="1828" s="424" customFormat="1" ht="24.95" customHeight="1"/>
    <row r="1829" s="424" customFormat="1" ht="24.95" customHeight="1"/>
    <row r="1830" s="424" customFormat="1" ht="24.95" customHeight="1"/>
    <row r="1831" s="424" customFormat="1" ht="24.95" customHeight="1"/>
    <row r="1832" s="424" customFormat="1" ht="24.95" customHeight="1"/>
    <row r="1833" s="424" customFormat="1" ht="24.95" customHeight="1"/>
    <row r="1834" s="424" customFormat="1" ht="24.95" customHeight="1"/>
    <row r="1835" s="424" customFormat="1" ht="24.95" customHeight="1"/>
    <row r="1836" s="424" customFormat="1" ht="24.95" customHeight="1"/>
    <row r="1837" s="424" customFormat="1" ht="24.95" customHeight="1"/>
    <row r="1838" s="424" customFormat="1" ht="24.95" customHeight="1"/>
    <row r="1839" s="424" customFormat="1" ht="24.95" customHeight="1"/>
    <row r="1840" s="424" customFormat="1" ht="24.95" customHeight="1"/>
    <row r="1841" s="424" customFormat="1" ht="24.95" customHeight="1"/>
    <row r="1842" s="424" customFormat="1" ht="24.95" customHeight="1"/>
    <row r="1843" s="424" customFormat="1" ht="24.95" customHeight="1"/>
    <row r="1844" s="424" customFormat="1" ht="24.95" customHeight="1"/>
    <row r="1845" s="424" customFormat="1" ht="24.95" customHeight="1"/>
    <row r="1846" s="424" customFormat="1" ht="24.95" customHeight="1"/>
    <row r="1847" s="424" customFormat="1" ht="24.95" customHeight="1"/>
    <row r="1848" s="424" customFormat="1" ht="24.95" customHeight="1"/>
    <row r="1849" s="424" customFormat="1" ht="24.95" customHeight="1"/>
    <row r="1850" s="424" customFormat="1" ht="24.95" customHeight="1"/>
    <row r="1851" s="424" customFormat="1" ht="24.95" customHeight="1"/>
    <row r="1852" s="424" customFormat="1" ht="24.95" customHeight="1"/>
    <row r="1853" s="424" customFormat="1" ht="24.95" customHeight="1"/>
    <row r="1854" s="424" customFormat="1" ht="24.95" customHeight="1"/>
    <row r="1855" s="424" customFormat="1" ht="24.95" customHeight="1"/>
    <row r="1856" s="424" customFormat="1" ht="24.95" customHeight="1"/>
    <row r="1857" s="424" customFormat="1" ht="24.95" customHeight="1"/>
    <row r="1858" s="424" customFormat="1" ht="24.95" customHeight="1"/>
    <row r="1859" s="424" customFormat="1" ht="24.95" customHeight="1"/>
    <row r="1860" s="424" customFormat="1" ht="24.95" customHeight="1"/>
    <row r="1861" s="424" customFormat="1" ht="24.95" customHeight="1"/>
    <row r="1862" s="424" customFormat="1" ht="24.95" customHeight="1"/>
    <row r="1863" s="424" customFormat="1" ht="24.95" customHeight="1"/>
    <row r="1864" s="424" customFormat="1" ht="24.95" customHeight="1"/>
    <row r="1865" s="424" customFormat="1" ht="24.95" customHeight="1"/>
    <row r="1866" s="424" customFormat="1" ht="24.95" customHeight="1"/>
    <row r="1867" s="424" customFormat="1" ht="24.95" customHeight="1"/>
    <row r="1868" s="424" customFormat="1" ht="24.95" customHeight="1"/>
    <row r="1869" s="424" customFormat="1" ht="24.95" customHeight="1"/>
    <row r="1870" s="424" customFormat="1" ht="24.95" customHeight="1"/>
    <row r="1871" s="424" customFormat="1" ht="24.95" customHeight="1"/>
    <row r="1872" s="424" customFormat="1" ht="24.95" customHeight="1"/>
    <row r="1873" s="424" customFormat="1" ht="24.95" customHeight="1"/>
    <row r="1874" s="424" customFormat="1" ht="24.95" customHeight="1"/>
    <row r="1875" s="424" customFormat="1" ht="24.95" customHeight="1"/>
    <row r="1876" s="424" customFormat="1" ht="24.95" customHeight="1"/>
    <row r="1877" s="424" customFormat="1" ht="24.95" customHeight="1"/>
    <row r="1878" s="424" customFormat="1" ht="24.95" customHeight="1"/>
    <row r="1879" s="424" customFormat="1" ht="24.95" customHeight="1"/>
    <row r="1880" s="424" customFormat="1" ht="24.95" customHeight="1"/>
    <row r="1881" s="424" customFormat="1" ht="24.95" customHeight="1"/>
    <row r="1882" s="424" customFormat="1" ht="24.95" customHeight="1"/>
    <row r="1883" s="424" customFormat="1" ht="24.95" customHeight="1"/>
    <row r="1884" s="424" customFormat="1" ht="24.95" customHeight="1"/>
    <row r="1885" s="424" customFormat="1" ht="24.95" customHeight="1"/>
    <row r="1886" s="424" customFormat="1" ht="24.95" customHeight="1"/>
    <row r="1887" s="424" customFormat="1" ht="24.95" customHeight="1"/>
    <row r="1888" s="424" customFormat="1" ht="24.95" customHeight="1"/>
    <row r="1889" s="424" customFormat="1" ht="24.95" customHeight="1"/>
    <row r="1890" s="424" customFormat="1" ht="24.95" customHeight="1"/>
    <row r="1891" s="424" customFormat="1" ht="24.95" customHeight="1"/>
    <row r="1892" s="424" customFormat="1" ht="24.95" customHeight="1"/>
    <row r="1893" s="424" customFormat="1" ht="24.95" customHeight="1"/>
    <row r="1894" s="424" customFormat="1" ht="24.95" customHeight="1"/>
    <row r="1895" s="424" customFormat="1" ht="24.95" customHeight="1"/>
    <row r="1896" s="424" customFormat="1" ht="24.95" customHeight="1"/>
    <row r="1897" s="424" customFormat="1" ht="24.95" customHeight="1"/>
    <row r="1898" s="424" customFormat="1" ht="24.95" customHeight="1"/>
    <row r="1899" s="424" customFormat="1" ht="24.95" customHeight="1"/>
    <row r="1900" s="424" customFormat="1" ht="24.95" customHeight="1"/>
    <row r="1901" s="424" customFormat="1" ht="24.95" customHeight="1"/>
    <row r="1902" s="424" customFormat="1" ht="24.95" customHeight="1"/>
    <row r="1903" s="424" customFormat="1" ht="24.95" customHeight="1"/>
    <row r="1904" s="424" customFormat="1" ht="24.95" customHeight="1"/>
    <row r="1905" s="424" customFormat="1" ht="24.95" customHeight="1"/>
    <row r="1906" s="424" customFormat="1" ht="24.95" customHeight="1"/>
    <row r="1907" s="424" customFormat="1" ht="24.95" customHeight="1"/>
    <row r="1908" s="424" customFormat="1" ht="24.95" customHeight="1"/>
    <row r="1909" s="424" customFormat="1" ht="24.95" customHeight="1"/>
    <row r="1910" s="424" customFormat="1" ht="24.95" customHeight="1"/>
    <row r="1911" s="424" customFormat="1" ht="24.95" customHeight="1"/>
    <row r="1912" s="424" customFormat="1" ht="24.95" customHeight="1"/>
    <row r="1913" s="424" customFormat="1" ht="24.95" customHeight="1"/>
    <row r="1914" s="424" customFormat="1" ht="24.95" customHeight="1"/>
    <row r="1915" s="424" customFormat="1" ht="24.95" customHeight="1"/>
    <row r="1916" s="424" customFormat="1" ht="24.95" customHeight="1"/>
    <row r="1917" s="424" customFormat="1" ht="24.95" customHeight="1"/>
    <row r="1918" s="424" customFormat="1" ht="24.95" customHeight="1"/>
    <row r="1919" s="424" customFormat="1" ht="24.95" customHeight="1"/>
    <row r="1920" s="424" customFormat="1" ht="24.95" customHeight="1"/>
    <row r="1921" s="424" customFormat="1" ht="24.95" customHeight="1"/>
    <row r="1922" s="424" customFormat="1" ht="24.95" customHeight="1"/>
    <row r="1923" s="424" customFormat="1" ht="24.95" customHeight="1"/>
    <row r="1924" s="424" customFormat="1" ht="24.95" customHeight="1"/>
    <row r="1925" s="424" customFormat="1" ht="24.95" customHeight="1"/>
    <row r="1926" s="424" customFormat="1" ht="24.95" customHeight="1"/>
    <row r="1927" s="424" customFormat="1" ht="24.95" customHeight="1"/>
    <row r="1928" s="424" customFormat="1" ht="24.95" customHeight="1"/>
    <row r="1929" s="424" customFormat="1" ht="24.95" customHeight="1"/>
    <row r="1930" s="424" customFormat="1" ht="24.95" customHeight="1"/>
    <row r="1931" s="424" customFormat="1" ht="24.95" customHeight="1"/>
    <row r="1932" s="424" customFormat="1" ht="24.95" customHeight="1"/>
    <row r="1933" s="424" customFormat="1" ht="24.95" customHeight="1"/>
    <row r="1934" s="424" customFormat="1" ht="24.95" customHeight="1"/>
    <row r="1935" s="424" customFormat="1" ht="24.95" customHeight="1"/>
    <row r="1936" s="424" customFormat="1" ht="24.95" customHeight="1"/>
    <row r="1937" s="424" customFormat="1" ht="24.95" customHeight="1"/>
    <row r="1938" s="424" customFormat="1" ht="24.95" customHeight="1"/>
    <row r="1939" s="424" customFormat="1" ht="24.95" customHeight="1"/>
    <row r="1940" s="424" customFormat="1" ht="24.95" customHeight="1"/>
    <row r="1941" s="424" customFormat="1" ht="24.95" customHeight="1"/>
    <row r="1942" s="424" customFormat="1" ht="24.95" customHeight="1"/>
    <row r="1943" s="424" customFormat="1" ht="24.95" customHeight="1"/>
    <row r="1944" s="424" customFormat="1" ht="24.95" customHeight="1"/>
    <row r="1945" s="424" customFormat="1" ht="24.95" customHeight="1"/>
    <row r="1946" s="424" customFormat="1" ht="24.95" customHeight="1"/>
    <row r="1947" s="424" customFormat="1" ht="24.95" customHeight="1"/>
    <row r="1948" s="424" customFormat="1" ht="24.95" customHeight="1"/>
    <row r="1949" s="424" customFormat="1" ht="24.95" customHeight="1"/>
    <row r="1950" s="424" customFormat="1" ht="24.95" customHeight="1"/>
    <row r="1951" s="424" customFormat="1" ht="24.95" customHeight="1"/>
    <row r="1952" s="424" customFormat="1" ht="24.95" customHeight="1"/>
    <row r="1953" s="424" customFormat="1" ht="24.95" customHeight="1"/>
    <row r="1954" s="424" customFormat="1" ht="24.95" customHeight="1"/>
    <row r="1955" s="424" customFormat="1" ht="24.95" customHeight="1"/>
    <row r="1956" s="424" customFormat="1" ht="24.95" customHeight="1"/>
    <row r="1957" s="424" customFormat="1" ht="24.95" customHeight="1"/>
    <row r="1958" s="424" customFormat="1" ht="24.95" customHeight="1"/>
    <row r="1959" s="424" customFormat="1" ht="24.95" customHeight="1"/>
    <row r="1960" s="424" customFormat="1" ht="24.95" customHeight="1"/>
    <row r="1961" s="424" customFormat="1" ht="24.95" customHeight="1"/>
    <row r="1962" s="424" customFormat="1" ht="24.95" customHeight="1"/>
    <row r="1963" s="424" customFormat="1" ht="24.95" customHeight="1"/>
    <row r="1964" s="424" customFormat="1" ht="24.95" customHeight="1"/>
    <row r="1965" s="424" customFormat="1" ht="24.95" customHeight="1"/>
    <row r="1966" s="424" customFormat="1" ht="24.95" customHeight="1"/>
    <row r="1967" s="424" customFormat="1" ht="24.95" customHeight="1"/>
    <row r="1968" s="424" customFormat="1" ht="24.95" customHeight="1"/>
    <row r="1969" s="424" customFormat="1" ht="24.95" customHeight="1"/>
    <row r="1970" s="424" customFormat="1" ht="24.95" customHeight="1"/>
    <row r="1971" s="424" customFormat="1" ht="24.95" customHeight="1"/>
    <row r="1972" s="424" customFormat="1" ht="24.95" customHeight="1"/>
    <row r="1973" s="424" customFormat="1" ht="24.95" customHeight="1"/>
    <row r="1974" s="424" customFormat="1" ht="24.95" customHeight="1"/>
    <row r="1975" s="424" customFormat="1" ht="24.95" customHeight="1"/>
    <row r="1976" s="424" customFormat="1" ht="24.95" customHeight="1"/>
    <row r="1977" s="424" customFormat="1" ht="24.95" customHeight="1"/>
    <row r="1978" s="424" customFormat="1" ht="24.95" customHeight="1"/>
    <row r="1979" s="424" customFormat="1" ht="24.95" customHeight="1"/>
    <row r="1980" s="424" customFormat="1" ht="24.95" customHeight="1"/>
    <row r="1981" s="424" customFormat="1" ht="24.95" customHeight="1"/>
    <row r="1982" s="424" customFormat="1" ht="24.95" customHeight="1"/>
    <row r="1983" s="424" customFormat="1" ht="24.95" customHeight="1"/>
    <row r="1984" s="424" customFormat="1" ht="24.95" customHeight="1"/>
    <row r="1985" s="424" customFormat="1" ht="24.95" customHeight="1"/>
    <row r="1986" s="424" customFormat="1" ht="24.95" customHeight="1"/>
    <row r="1987" s="424" customFormat="1" ht="24.95" customHeight="1"/>
    <row r="1988" s="424" customFormat="1" ht="24.95" customHeight="1"/>
    <row r="1989" s="424" customFormat="1" ht="24.95" customHeight="1"/>
    <row r="1990" s="424" customFormat="1" ht="24.95" customHeight="1"/>
    <row r="1991" s="424" customFormat="1" ht="24.95" customHeight="1"/>
    <row r="1992" s="424" customFormat="1" ht="24.95" customHeight="1"/>
    <row r="1993" s="424" customFormat="1" ht="24.95" customHeight="1"/>
    <row r="1994" s="424" customFormat="1" ht="24.95" customHeight="1"/>
    <row r="1995" s="424" customFormat="1" ht="24.95" customHeight="1"/>
    <row r="1996" s="424" customFormat="1" ht="24.95" customHeight="1"/>
    <row r="1997" s="424" customFormat="1" ht="24.95" customHeight="1"/>
    <row r="1998" s="424" customFormat="1" ht="24.95" customHeight="1"/>
    <row r="1999" s="424" customFormat="1" ht="24.95" customHeight="1"/>
    <row r="2000" s="424" customFormat="1" ht="24.95" customHeight="1"/>
    <row r="2001" s="424" customFormat="1" ht="24.95" customHeight="1"/>
    <row r="2002" s="424" customFormat="1" ht="24.95" customHeight="1"/>
    <row r="2003" s="424" customFormat="1" ht="24.95" customHeight="1"/>
    <row r="2004" s="424" customFormat="1" ht="24.95" customHeight="1"/>
    <row r="2005" s="424" customFormat="1" ht="24.95" customHeight="1"/>
    <row r="2006" s="424" customFormat="1" ht="24.95" customHeight="1"/>
    <row r="2007" s="424" customFormat="1" ht="24.95" customHeight="1"/>
    <row r="2008" s="424" customFormat="1" ht="24.95" customHeight="1"/>
    <row r="2009" s="424" customFormat="1" ht="24.95" customHeight="1"/>
    <row r="2010" s="424" customFormat="1" ht="24.95" customHeight="1"/>
    <row r="2011" s="424" customFormat="1" ht="24.95" customHeight="1"/>
    <row r="2012" s="424" customFormat="1" ht="24.95" customHeight="1"/>
  </sheetData>
  <phoneticPr fontId="5" type="noConversion"/>
  <pageMargins left="0.78740157480314965" right="0.78740157480314965" top="0.98425196850393704" bottom="0.78740157480314965" header="0.51181102362204722" footer="0.51181102362204722"/>
  <pageSetup paperSize="9" scale="94" orientation="portrait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7"/>
  <dimension ref="A1:M21"/>
  <sheetViews>
    <sheetView showGridLines="0" showZeros="0" view="pageBreakPreview" zoomScaleNormal="100" workbookViewId="0">
      <selection activeCell="I17" sqref="I17"/>
    </sheetView>
  </sheetViews>
  <sheetFormatPr defaultColWidth="10.28515625" defaultRowHeight="34.15" customHeight="1"/>
  <cols>
    <col min="1" max="1" width="1.7109375" style="386" customWidth="1"/>
    <col min="2" max="2" width="12.7109375" style="386" customWidth="1"/>
    <col min="3" max="4" width="1.7109375" style="386" customWidth="1"/>
    <col min="5" max="5" width="14.140625" style="386" bestFit="1" customWidth="1"/>
    <col min="6" max="6" width="1.7109375" style="386" customWidth="1"/>
    <col min="7" max="7" width="12.7109375" style="694" hidden="1" customWidth="1"/>
    <col min="8" max="8" width="1.7109375" style="387" hidden="1" customWidth="1"/>
    <col min="9" max="12" width="12.85546875" style="387" customWidth="1"/>
    <col min="13" max="13" width="10.140625" style="387" customWidth="1"/>
    <col min="14" max="16384" width="10.28515625" style="386"/>
  </cols>
  <sheetData>
    <row r="1" spans="1:13" ht="20.100000000000001" customHeight="1">
      <c r="A1" s="386" t="s">
        <v>490</v>
      </c>
    </row>
    <row r="2" spans="1:13" s="390" customFormat="1" ht="39.950000000000003" customHeight="1">
      <c r="A2" s="388" t="s">
        <v>114</v>
      </c>
      <c r="B2" s="388"/>
      <c r="C2" s="388"/>
      <c r="D2" s="388"/>
      <c r="E2" s="388"/>
      <c r="F2" s="388"/>
      <c r="G2" s="695"/>
      <c r="H2" s="389"/>
      <c r="I2" s="389"/>
      <c r="J2" s="389"/>
      <c r="K2" s="389"/>
      <c r="L2" s="389"/>
      <c r="M2" s="389"/>
    </row>
    <row r="3" spans="1:13" ht="20.100000000000001" customHeight="1">
      <c r="A3" s="391"/>
      <c r="B3" s="391"/>
      <c r="C3" s="391"/>
      <c r="D3" s="391"/>
      <c r="E3" s="391"/>
      <c r="F3" s="391"/>
      <c r="G3" s="696"/>
      <c r="H3" s="392"/>
      <c r="I3" s="392"/>
      <c r="J3" s="392"/>
      <c r="K3" s="392"/>
      <c r="L3" s="392"/>
      <c r="M3" s="392"/>
    </row>
    <row r="4" spans="1:13" ht="20.100000000000001" customHeight="1">
      <c r="B4" s="391"/>
      <c r="C4" s="393"/>
      <c r="D4" s="393"/>
      <c r="E4" s="393"/>
      <c r="F4" s="393"/>
      <c r="G4" s="696"/>
      <c r="H4" s="392"/>
      <c r="I4" s="392"/>
      <c r="J4" s="392"/>
      <c r="K4" s="392"/>
      <c r="L4" s="392"/>
      <c r="M4" s="394" t="s">
        <v>33</v>
      </c>
    </row>
    <row r="5" spans="1:13" ht="50.1" customHeight="1">
      <c r="A5" s="395" t="s">
        <v>248</v>
      </c>
      <c r="B5" s="396"/>
      <c r="C5" s="397"/>
      <c r="D5" s="396" t="s">
        <v>249</v>
      </c>
      <c r="E5" s="396"/>
      <c r="F5" s="396"/>
      <c r="G5" s="697" t="s">
        <v>250</v>
      </c>
      <c r="H5" s="399"/>
      <c r="I5" s="398" t="s">
        <v>302</v>
      </c>
      <c r="J5" s="398" t="s">
        <v>463</v>
      </c>
      <c r="K5" s="398" t="s">
        <v>459</v>
      </c>
      <c r="L5" s="595" t="s">
        <v>178</v>
      </c>
      <c r="M5" s="593" t="s">
        <v>247</v>
      </c>
    </row>
    <row r="6" spans="1:13" ht="22.5" customHeight="1">
      <c r="A6" s="400"/>
      <c r="B6" s="401"/>
      <c r="C6" s="402"/>
      <c r="D6" s="401"/>
      <c r="E6" s="403"/>
      <c r="F6" s="401"/>
      <c r="G6" s="698" t="s">
        <v>251</v>
      </c>
      <c r="H6" s="404"/>
      <c r="I6" s="594" t="s">
        <v>67</v>
      </c>
      <c r="J6" s="594" t="s">
        <v>10</v>
      </c>
      <c r="K6" s="594" t="s">
        <v>11</v>
      </c>
      <c r="L6" s="585"/>
      <c r="M6" s="404"/>
    </row>
    <row r="7" spans="1:13" ht="30" customHeight="1">
      <c r="A7" s="400"/>
      <c r="B7" s="405">
        <f>인집!B6</f>
        <v>0</v>
      </c>
      <c r="C7" s="402"/>
      <c r="D7" s="401"/>
      <c r="E7" s="406">
        <f>인집!E6</f>
        <v>0</v>
      </c>
      <c r="F7" s="401"/>
      <c r="G7" s="699">
        <f>식대!I7</f>
        <v>0</v>
      </c>
      <c r="H7" s="408"/>
      <c r="I7" s="407"/>
      <c r="J7" s="407">
        <f>체력단련비!I7</f>
        <v>0</v>
      </c>
      <c r="K7" s="407">
        <f>피복비!I7</f>
        <v>0</v>
      </c>
      <c r="L7" s="596">
        <f>SUM(I7:K7)</f>
        <v>0</v>
      </c>
      <c r="M7" s="409"/>
    </row>
    <row r="8" spans="1:13" ht="30" customHeight="1">
      <c r="A8" s="400"/>
      <c r="B8" s="405">
        <f>인집!B7</f>
        <v>0</v>
      </c>
      <c r="C8" s="402"/>
      <c r="D8" s="401"/>
      <c r="E8" s="406">
        <f>인집!E7</f>
        <v>0</v>
      </c>
      <c r="F8" s="401"/>
      <c r="G8" s="699">
        <f>식대!I8</f>
        <v>0</v>
      </c>
      <c r="H8" s="408"/>
      <c r="I8" s="407"/>
      <c r="J8" s="407">
        <f>체력단련비!I8</f>
        <v>0</v>
      </c>
      <c r="K8" s="407">
        <f>피복비!I8</f>
        <v>0</v>
      </c>
      <c r="L8" s="596">
        <f t="shared" ref="L8:L16" si="0">SUM(I8:K8)</f>
        <v>0</v>
      </c>
      <c r="M8" s="409"/>
    </row>
    <row r="9" spans="1:13" ht="30" customHeight="1">
      <c r="A9" s="400"/>
      <c r="B9" s="405">
        <f>인집!B8</f>
        <v>0</v>
      </c>
      <c r="C9" s="402"/>
      <c r="D9" s="401"/>
      <c r="E9" s="406">
        <f>인집!E8</f>
        <v>0</v>
      </c>
      <c r="F9" s="401"/>
      <c r="G9" s="699">
        <f>식대!I9</f>
        <v>0</v>
      </c>
      <c r="H9" s="408"/>
      <c r="I9" s="407"/>
      <c r="J9" s="407">
        <f>체력단련비!I9</f>
        <v>0</v>
      </c>
      <c r="K9" s="407">
        <f>피복비!I9</f>
        <v>0</v>
      </c>
      <c r="L9" s="596">
        <f t="shared" si="0"/>
        <v>0</v>
      </c>
      <c r="M9" s="409"/>
    </row>
    <row r="10" spans="1:13" ht="30" customHeight="1">
      <c r="A10" s="400"/>
      <c r="B10" s="405">
        <f>인집!B9</f>
        <v>0</v>
      </c>
      <c r="C10" s="402"/>
      <c r="D10" s="401"/>
      <c r="E10" s="406">
        <f>인집!E9</f>
        <v>0</v>
      </c>
      <c r="F10" s="401"/>
      <c r="G10" s="699">
        <f>식대!I10</f>
        <v>0</v>
      </c>
      <c r="H10" s="408"/>
      <c r="I10" s="407"/>
      <c r="J10" s="407">
        <f>체력단련비!I10</f>
        <v>0</v>
      </c>
      <c r="K10" s="407">
        <f>피복비!I10</f>
        <v>0</v>
      </c>
      <c r="L10" s="596">
        <f t="shared" si="0"/>
        <v>0</v>
      </c>
      <c r="M10" s="409"/>
    </row>
    <row r="11" spans="1:13" ht="30" customHeight="1">
      <c r="A11" s="400"/>
      <c r="B11" s="405">
        <f>인집!B10</f>
        <v>0</v>
      </c>
      <c r="C11" s="402"/>
      <c r="D11" s="401"/>
      <c r="E11" s="406">
        <f>인집!E10</f>
        <v>0</v>
      </c>
      <c r="F11" s="401"/>
      <c r="G11" s="699">
        <f>식대!I11</f>
        <v>0</v>
      </c>
      <c r="H11" s="408"/>
      <c r="I11" s="407"/>
      <c r="J11" s="407">
        <f>체력단련비!I11</f>
        <v>0</v>
      </c>
      <c r="K11" s="407">
        <f>피복비!I11</f>
        <v>0</v>
      </c>
      <c r="L11" s="596">
        <f t="shared" si="0"/>
        <v>0</v>
      </c>
      <c r="M11" s="409"/>
    </row>
    <row r="12" spans="1:13" ht="30" customHeight="1">
      <c r="A12" s="400"/>
      <c r="B12" s="405">
        <f>인집!B11</f>
        <v>0</v>
      </c>
      <c r="C12" s="402"/>
      <c r="D12" s="401"/>
      <c r="E12" s="406">
        <f>인집!E11</f>
        <v>0</v>
      </c>
      <c r="F12" s="401"/>
      <c r="G12" s="699">
        <f>식대!I12</f>
        <v>0</v>
      </c>
      <c r="H12" s="408"/>
      <c r="I12" s="407"/>
      <c r="J12" s="407">
        <f>체력단련비!I12</f>
        <v>0</v>
      </c>
      <c r="K12" s="407">
        <f>피복비!I12</f>
        <v>0</v>
      </c>
      <c r="L12" s="596">
        <f t="shared" si="0"/>
        <v>0</v>
      </c>
      <c r="M12" s="409"/>
    </row>
    <row r="13" spans="1:13" ht="30" customHeight="1">
      <c r="A13" s="400"/>
      <c r="B13" s="405">
        <f>인집!B12</f>
        <v>0</v>
      </c>
      <c r="C13" s="402"/>
      <c r="D13" s="401"/>
      <c r="E13" s="406">
        <f>인집!E12</f>
        <v>0</v>
      </c>
      <c r="F13" s="401"/>
      <c r="G13" s="699">
        <f>식대!I13</f>
        <v>0</v>
      </c>
      <c r="H13" s="408"/>
      <c r="I13" s="407"/>
      <c r="J13" s="407">
        <f>체력단련비!I13</f>
        <v>0</v>
      </c>
      <c r="K13" s="407">
        <f>피복비!I13</f>
        <v>0</v>
      </c>
      <c r="L13" s="596">
        <f t="shared" si="0"/>
        <v>0</v>
      </c>
      <c r="M13" s="409"/>
    </row>
    <row r="14" spans="1:13" ht="30" customHeight="1">
      <c r="A14" s="400"/>
      <c r="B14" s="405">
        <f>인집!B13</f>
        <v>0</v>
      </c>
      <c r="C14" s="402"/>
      <c r="D14" s="401"/>
      <c r="E14" s="406">
        <f>인집!E13</f>
        <v>0</v>
      </c>
      <c r="F14" s="401"/>
      <c r="G14" s="699">
        <f>식대!I14</f>
        <v>0</v>
      </c>
      <c r="H14" s="408"/>
      <c r="I14" s="407"/>
      <c r="J14" s="407">
        <f>체력단련비!I14</f>
        <v>0</v>
      </c>
      <c r="K14" s="407">
        <f>피복비!I14</f>
        <v>0</v>
      </c>
      <c r="L14" s="596">
        <f>SUM(I14:K14)</f>
        <v>0</v>
      </c>
      <c r="M14" s="409"/>
    </row>
    <row r="15" spans="1:13" ht="30" customHeight="1">
      <c r="A15" s="400"/>
      <c r="B15" s="405" t="str">
        <f>인집!B14</f>
        <v>다산홀운영</v>
      </c>
      <c r="C15" s="402"/>
      <c r="D15" s="401"/>
      <c r="E15" s="406" t="str">
        <f>인집!E14</f>
        <v>전기기능사</v>
      </c>
      <c r="F15" s="401"/>
      <c r="G15" s="699">
        <f>식대!I15</f>
        <v>0</v>
      </c>
      <c r="H15" s="408"/>
      <c r="I15" s="407"/>
      <c r="J15" s="407">
        <f>체력단련비!I15</f>
        <v>0</v>
      </c>
      <c r="K15" s="407">
        <f>피복비!I15</f>
        <v>0</v>
      </c>
      <c r="L15" s="596">
        <f t="shared" si="0"/>
        <v>0</v>
      </c>
      <c r="M15" s="409"/>
    </row>
    <row r="16" spans="1:13" ht="30" customHeight="1">
      <c r="A16" s="400"/>
      <c r="B16" s="405" t="str">
        <f>인집!B15</f>
        <v>운 전 원</v>
      </c>
      <c r="C16" s="402"/>
      <c r="D16" s="401"/>
      <c r="E16" s="406" t="str">
        <f>인집!E15</f>
        <v>단순노무종사원</v>
      </c>
      <c r="F16" s="401"/>
      <c r="G16" s="699">
        <f>식대!I16</f>
        <v>0</v>
      </c>
      <c r="H16" s="408"/>
      <c r="I16" s="407"/>
      <c r="J16" s="407">
        <f>체력단련비!I16</f>
        <v>0</v>
      </c>
      <c r="K16" s="407">
        <f>피복비!I16</f>
        <v>0</v>
      </c>
      <c r="L16" s="596">
        <f t="shared" si="0"/>
        <v>0</v>
      </c>
      <c r="M16" s="409"/>
    </row>
    <row r="17" spans="1:13" ht="30" customHeight="1">
      <c r="A17" s="400"/>
      <c r="B17" s="405" t="str">
        <f>인집!B16</f>
        <v>사무보조원</v>
      </c>
      <c r="C17" s="402"/>
      <c r="D17" s="401"/>
      <c r="E17" s="406" t="str">
        <f>인집!E16</f>
        <v>단순노무종사원</v>
      </c>
      <c r="F17" s="401"/>
      <c r="G17" s="699">
        <f>식대!I17</f>
        <v>0</v>
      </c>
      <c r="H17" s="408"/>
      <c r="I17" s="407"/>
      <c r="J17" s="407">
        <f>체력단련비!I17</f>
        <v>0</v>
      </c>
      <c r="K17" s="407">
        <f>피복비!I17</f>
        <v>0</v>
      </c>
      <c r="L17" s="596">
        <f>SUM(I17:K17)</f>
        <v>0</v>
      </c>
      <c r="M17" s="409"/>
    </row>
    <row r="18" spans="1:13" ht="9.9499999999999993" customHeight="1">
      <c r="A18" s="410"/>
      <c r="B18" s="411"/>
      <c r="C18" s="412"/>
      <c r="D18" s="413"/>
      <c r="E18" s="414"/>
      <c r="F18" s="413"/>
      <c r="G18" s="700"/>
      <c r="H18" s="416"/>
      <c r="I18" s="415"/>
      <c r="J18" s="415"/>
      <c r="K18" s="415"/>
      <c r="L18" s="597"/>
      <c r="M18" s="417"/>
    </row>
    <row r="19" spans="1:13" ht="24.95" customHeight="1">
      <c r="A19" s="418" t="str">
        <f>"주 1) 식대 : "&amp;식대!A1&amp;식대!A2&amp;" 참조"</f>
        <v>주 1) 식대 : &lt; 표 : 16 &gt; 식비산출표 참조</v>
      </c>
    </row>
    <row r="20" spans="1:13" ht="24.95" customHeight="1">
      <c r="A20" s="418" t="str">
        <f>"   2) 체력단련비 : "&amp;체력단련비!A1&amp;체력단련비!A2&amp;" 참조"</f>
        <v xml:space="preserve">   2) 체력단련비 : &lt; 표 : 17 &gt; 체력단련비산출표 참조</v>
      </c>
    </row>
    <row r="21" spans="1:13" ht="24.95" customHeight="1">
      <c r="A21" s="418" t="str">
        <f>"   3) 피복비 : "&amp;피복비!A1&amp;피복비!A2&amp;" 참조"</f>
        <v xml:space="preserve">   3) 피복비 : &lt; 표 : 18 &gt; 피복비산출표 참조</v>
      </c>
    </row>
  </sheetData>
  <phoneticPr fontId="5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8"/>
  <dimension ref="A1:O19"/>
  <sheetViews>
    <sheetView showGridLines="0" showZeros="0" view="pageBreakPreview" zoomScale="90" zoomScaleNormal="100" workbookViewId="0">
      <selection activeCell="H17" sqref="H17"/>
    </sheetView>
  </sheetViews>
  <sheetFormatPr defaultRowHeight="29.25" customHeight="1"/>
  <cols>
    <col min="1" max="1" width="2.7109375" style="105" customWidth="1"/>
    <col min="2" max="2" width="14.7109375" style="116" customWidth="1"/>
    <col min="3" max="3" width="2.7109375" style="105" customWidth="1"/>
    <col min="4" max="4" width="1.7109375" style="106" customWidth="1"/>
    <col min="5" max="5" width="15.7109375" style="85" customWidth="1"/>
    <col min="6" max="6" width="1.7109375" style="106" customWidth="1"/>
    <col min="7" max="8" width="10.7109375" style="106" customWidth="1"/>
    <col min="9" max="9" width="12.7109375" style="106" customWidth="1"/>
    <col min="10" max="10" width="0.85546875" style="106" customWidth="1"/>
    <col min="11" max="11" width="70" style="106" customWidth="1"/>
    <col min="12" max="14" width="0" style="74" hidden="1" customWidth="1"/>
    <col min="15" max="16384" width="9.140625" style="74"/>
  </cols>
  <sheetData>
    <row r="1" spans="1:15" ht="23.25" customHeight="1">
      <c r="A1" s="74" t="s">
        <v>491</v>
      </c>
    </row>
    <row r="2" spans="1:15" s="365" customFormat="1" ht="39.75" customHeight="1">
      <c r="A2" s="75" t="s">
        <v>293</v>
      </c>
      <c r="B2" s="107"/>
      <c r="C2" s="75"/>
      <c r="D2" s="364"/>
      <c r="E2" s="110"/>
      <c r="F2" s="364"/>
      <c r="G2" s="364"/>
      <c r="H2" s="364"/>
      <c r="I2" s="364"/>
      <c r="J2" s="364"/>
      <c r="K2" s="364"/>
    </row>
    <row r="3" spans="1:15" s="365" customFormat="1" ht="15" customHeight="1">
      <c r="A3" s="75"/>
      <c r="B3" s="107"/>
      <c r="C3" s="75"/>
      <c r="D3" s="364"/>
      <c r="E3" s="110"/>
      <c r="F3" s="364"/>
      <c r="G3" s="364"/>
      <c r="H3" s="364"/>
      <c r="I3" s="364"/>
      <c r="J3" s="364"/>
      <c r="K3" s="364"/>
    </row>
    <row r="4" spans="1:15" ht="20.100000000000001" customHeight="1">
      <c r="A4" s="115"/>
      <c r="K4" s="366" t="s">
        <v>36</v>
      </c>
    </row>
    <row r="5" spans="1:15" ht="42" customHeight="1">
      <c r="A5" s="133" t="s">
        <v>171</v>
      </c>
      <c r="B5" s="328" t="s">
        <v>207</v>
      </c>
      <c r="C5" s="328"/>
      <c r="D5" s="329"/>
      <c r="E5" s="328" t="s">
        <v>239</v>
      </c>
      <c r="F5" s="367"/>
      <c r="G5" s="368" t="s">
        <v>115</v>
      </c>
      <c r="H5" s="368" t="s">
        <v>116</v>
      </c>
      <c r="I5" s="368" t="s">
        <v>34</v>
      </c>
      <c r="J5" s="369" t="s">
        <v>117</v>
      </c>
      <c r="K5" s="367"/>
    </row>
    <row r="6" spans="1:15" s="377" customFormat="1" ht="23.1" customHeight="1">
      <c r="A6" s="370"/>
      <c r="B6" s="116"/>
      <c r="C6" s="371"/>
      <c r="D6" s="370"/>
      <c r="E6" s="372"/>
      <c r="F6" s="116"/>
      <c r="G6" s="370" t="s">
        <v>49</v>
      </c>
      <c r="H6" s="370" t="s">
        <v>10</v>
      </c>
      <c r="I6" s="373"/>
      <c r="J6" s="374"/>
      <c r="K6" s="375"/>
      <c r="L6" s="376" t="s">
        <v>290</v>
      </c>
      <c r="M6" s="376" t="s">
        <v>291</v>
      </c>
      <c r="N6" s="376" t="s">
        <v>292</v>
      </c>
      <c r="O6" s="376"/>
    </row>
    <row r="7" spans="1:15" ht="23.1" customHeight="1">
      <c r="A7" s="370"/>
      <c r="B7" s="346">
        <f>인집!B6</f>
        <v>0</v>
      </c>
      <c r="C7" s="320"/>
      <c r="D7" s="337"/>
      <c r="E7" s="347">
        <f>인집!E6</f>
        <v>0</v>
      </c>
      <c r="F7" s="375"/>
      <c r="G7" s="378"/>
      <c r="H7" s="813"/>
      <c r="I7" s="255">
        <f>TRUNC(G7*H7,0)</f>
        <v>0</v>
      </c>
      <c r="J7" s="80"/>
      <c r="K7" s="379" t="str">
        <f>""&amp;L7&amp;"(월근무일수) + "&amp;M7&amp;"(휴일근무일수)"</f>
        <v>0(월근무일수) + 1(휴일근무일수)</v>
      </c>
      <c r="L7" s="74">
        <f>월기본급!I9</f>
        <v>0</v>
      </c>
      <c r="M7" s="380">
        <f>휴일근로!$E$8</f>
        <v>1</v>
      </c>
      <c r="N7" s="381"/>
    </row>
    <row r="8" spans="1:15" ht="23.1" customHeight="1">
      <c r="A8" s="370"/>
      <c r="B8" s="346">
        <f>인집!B7</f>
        <v>0</v>
      </c>
      <c r="C8" s="320"/>
      <c r="D8" s="337"/>
      <c r="E8" s="347">
        <f>인집!E7</f>
        <v>0</v>
      </c>
      <c r="F8" s="375"/>
      <c r="G8" s="378"/>
      <c r="H8" s="813"/>
      <c r="I8" s="255">
        <f t="shared" ref="I8:I16" si="0">TRUNC(G8*H8,0)</f>
        <v>0</v>
      </c>
      <c r="J8" s="80"/>
      <c r="K8" s="379" t="str">
        <f t="shared" ref="K8:K16" si="1">""&amp;L8&amp;"(월근무일수) + "&amp;M8&amp;"(휴일근무일수)"</f>
        <v>0(월근무일수) + 1(휴일근무일수)</v>
      </c>
      <c r="L8" s="74">
        <f>월기본급!I10</f>
        <v>0</v>
      </c>
      <c r="M8" s="380">
        <f>휴일근로!$E$8</f>
        <v>1</v>
      </c>
      <c r="N8" s="381"/>
    </row>
    <row r="9" spans="1:15" ht="23.1" customHeight="1">
      <c r="A9" s="370"/>
      <c r="B9" s="346">
        <f>인집!B8</f>
        <v>0</v>
      </c>
      <c r="C9" s="320"/>
      <c r="D9" s="337"/>
      <c r="E9" s="347">
        <f>인집!E8</f>
        <v>0</v>
      </c>
      <c r="F9" s="375"/>
      <c r="G9" s="378"/>
      <c r="H9" s="813"/>
      <c r="I9" s="255">
        <f t="shared" si="0"/>
        <v>0</v>
      </c>
      <c r="J9" s="80"/>
      <c r="K9" s="379" t="str">
        <f t="shared" si="1"/>
        <v>0(월근무일수) + 1(휴일근무일수)</v>
      </c>
      <c r="L9" s="74">
        <f>월기본급!I11</f>
        <v>0</v>
      </c>
      <c r="M9" s="380">
        <f>휴일근로!$E$8</f>
        <v>1</v>
      </c>
      <c r="N9" s="381"/>
    </row>
    <row r="10" spans="1:15" ht="23.1" customHeight="1">
      <c r="A10" s="370"/>
      <c r="B10" s="346">
        <f>인집!B9</f>
        <v>0</v>
      </c>
      <c r="C10" s="320"/>
      <c r="D10" s="337"/>
      <c r="E10" s="347">
        <f>인집!E9</f>
        <v>0</v>
      </c>
      <c r="F10" s="375"/>
      <c r="G10" s="378"/>
      <c r="H10" s="813"/>
      <c r="I10" s="255">
        <f t="shared" si="0"/>
        <v>0</v>
      </c>
      <c r="J10" s="80"/>
      <c r="K10" s="379" t="str">
        <f t="shared" si="1"/>
        <v>0(월근무일수) + 1(휴일근무일수)</v>
      </c>
      <c r="L10" s="74">
        <f>월기본급!I12</f>
        <v>0</v>
      </c>
      <c r="M10" s="380">
        <f>휴일근로!$E$8</f>
        <v>1</v>
      </c>
      <c r="N10" s="381"/>
    </row>
    <row r="11" spans="1:15" ht="23.1" customHeight="1">
      <c r="A11" s="370"/>
      <c r="B11" s="346">
        <f>인집!B10</f>
        <v>0</v>
      </c>
      <c r="C11" s="320"/>
      <c r="D11" s="337"/>
      <c r="E11" s="347">
        <f>인집!E10</f>
        <v>0</v>
      </c>
      <c r="F11" s="375"/>
      <c r="G11" s="378"/>
      <c r="H11" s="813"/>
      <c r="I11" s="255">
        <f t="shared" si="0"/>
        <v>0</v>
      </c>
      <c r="J11" s="80"/>
      <c r="K11" s="379" t="str">
        <f t="shared" si="1"/>
        <v>0(월근무일수) + 1(휴일근무일수)</v>
      </c>
      <c r="L11" s="74">
        <f>월기본급!I13</f>
        <v>0</v>
      </c>
      <c r="M11" s="380">
        <f>휴일근로!$E$8</f>
        <v>1</v>
      </c>
      <c r="N11" s="381"/>
    </row>
    <row r="12" spans="1:15" ht="23.1" customHeight="1">
      <c r="A12" s="370"/>
      <c r="B12" s="346">
        <f>인집!B11</f>
        <v>0</v>
      </c>
      <c r="C12" s="320"/>
      <c r="D12" s="337"/>
      <c r="E12" s="347">
        <f>인집!E11</f>
        <v>0</v>
      </c>
      <c r="F12" s="375"/>
      <c r="G12" s="378"/>
      <c r="H12" s="813"/>
      <c r="I12" s="255">
        <f t="shared" si="0"/>
        <v>0</v>
      </c>
      <c r="J12" s="80"/>
      <c r="K12" s="379" t="str">
        <f t="shared" si="1"/>
        <v>0(월근무일수) + 1(휴일근무일수)</v>
      </c>
      <c r="L12" s="74">
        <f>월기본급!I14</f>
        <v>0</v>
      </c>
      <c r="M12" s="380">
        <f>휴일근로!$E$8</f>
        <v>1</v>
      </c>
      <c r="N12" s="381"/>
    </row>
    <row r="13" spans="1:15" ht="23.1" customHeight="1">
      <c r="A13" s="370"/>
      <c r="B13" s="346">
        <f>인집!B12</f>
        <v>0</v>
      </c>
      <c r="C13" s="320"/>
      <c r="D13" s="337"/>
      <c r="E13" s="347">
        <f>인집!E12</f>
        <v>0</v>
      </c>
      <c r="F13" s="375"/>
      <c r="G13" s="378"/>
      <c r="H13" s="813"/>
      <c r="I13" s="255">
        <f t="shared" si="0"/>
        <v>0</v>
      </c>
      <c r="J13" s="80"/>
      <c r="K13" s="379" t="str">
        <f t="shared" si="1"/>
        <v>0(월근무일수) + 1(휴일근무일수)</v>
      </c>
      <c r="L13" s="74">
        <f>월기본급!I15</f>
        <v>0</v>
      </c>
      <c r="M13" s="380">
        <f>휴일근로!$E$8</f>
        <v>1</v>
      </c>
      <c r="N13" s="381"/>
    </row>
    <row r="14" spans="1:15" ht="23.1" customHeight="1">
      <c r="A14" s="370"/>
      <c r="B14" s="346">
        <f>인집!B13</f>
        <v>0</v>
      </c>
      <c r="C14" s="320"/>
      <c r="D14" s="337"/>
      <c r="E14" s="347">
        <f>인집!E13</f>
        <v>0</v>
      </c>
      <c r="F14" s="375"/>
      <c r="G14" s="378"/>
      <c r="H14" s="813"/>
      <c r="I14" s="255">
        <f>TRUNC(G14*H14,0)</f>
        <v>0</v>
      </c>
      <c r="J14" s="80"/>
      <c r="K14" s="379" t="str">
        <f>""&amp;L14&amp;"(월근무일수) + "&amp;M14&amp;"(휴일근무일수)"</f>
        <v>0(월근무일수) + 1(휴일근무일수)</v>
      </c>
      <c r="L14" s="74">
        <f>월기본급!I15</f>
        <v>0</v>
      </c>
      <c r="M14" s="380">
        <f>휴일근로!$E$8</f>
        <v>1</v>
      </c>
      <c r="N14" s="381"/>
    </row>
    <row r="15" spans="1:15" ht="23.1" customHeight="1">
      <c r="A15" s="370"/>
      <c r="B15" s="346" t="str">
        <f>인집!B14</f>
        <v>다산홀운영</v>
      </c>
      <c r="C15" s="320"/>
      <c r="D15" s="337"/>
      <c r="E15" s="347" t="str">
        <f>인집!E14</f>
        <v>전기기능사</v>
      </c>
      <c r="F15" s="375"/>
      <c r="G15" s="378">
        <f t="shared" ref="G15:G16" si="2">SUM(L15:N15)</f>
        <v>27</v>
      </c>
      <c r="H15" s="813"/>
      <c r="I15" s="255">
        <f t="shared" si="0"/>
        <v>0</v>
      </c>
      <c r="J15" s="80"/>
      <c r="K15" s="379" t="str">
        <f t="shared" si="1"/>
        <v>26(월근무일수) + 1(휴일근무일수)</v>
      </c>
      <c r="L15" s="74">
        <f>월기본급!I17</f>
        <v>26</v>
      </c>
      <c r="M15" s="380">
        <f>휴일근로!$E$8</f>
        <v>1</v>
      </c>
      <c r="N15" s="381"/>
    </row>
    <row r="16" spans="1:15" ht="23.1" customHeight="1">
      <c r="A16" s="370"/>
      <c r="B16" s="346" t="str">
        <f>인집!B15</f>
        <v>운 전 원</v>
      </c>
      <c r="C16" s="320"/>
      <c r="D16" s="337"/>
      <c r="E16" s="347" t="str">
        <f>인집!E15</f>
        <v>단순노무종사원</v>
      </c>
      <c r="F16" s="375"/>
      <c r="G16" s="378">
        <f t="shared" si="2"/>
        <v>27</v>
      </c>
      <c r="H16" s="813"/>
      <c r="I16" s="255">
        <f t="shared" si="0"/>
        <v>0</v>
      </c>
      <c r="J16" s="80"/>
      <c r="K16" s="379" t="str">
        <f t="shared" si="1"/>
        <v>26(월근무일수) + 1(휴일근무일수)</v>
      </c>
      <c r="L16" s="74">
        <f>월기본급!I18</f>
        <v>26</v>
      </c>
      <c r="M16" s="380">
        <f>휴일근로!$E$8</f>
        <v>1</v>
      </c>
      <c r="N16" s="381"/>
    </row>
    <row r="17" spans="1:14" ht="23.1" customHeight="1">
      <c r="A17" s="602"/>
      <c r="B17" s="354" t="str">
        <f>인집!B16</f>
        <v>사무보조원</v>
      </c>
      <c r="C17" s="355"/>
      <c r="D17" s="353"/>
      <c r="E17" s="383" t="str">
        <f>인집!E16</f>
        <v>단순노무종사원</v>
      </c>
      <c r="F17" s="601"/>
      <c r="G17" s="384">
        <f>SUM(L17:N17)</f>
        <v>27</v>
      </c>
      <c r="H17" s="813"/>
      <c r="I17" s="314">
        <f>TRUNC(G17*H17,0)</f>
        <v>0</v>
      </c>
      <c r="J17" s="81"/>
      <c r="K17" s="385" t="str">
        <f>""&amp;L17&amp;"(월근무일수) + "&amp;M17&amp;"(휴일근무일수)"</f>
        <v>26(월근무일수) + 1(휴일근무일수)</v>
      </c>
      <c r="L17" s="74">
        <f>월기본급!I19</f>
        <v>26</v>
      </c>
      <c r="M17" s="380">
        <f>휴일근로!$E$8</f>
        <v>1</v>
      </c>
      <c r="N17" s="381"/>
    </row>
    <row r="18" spans="1:14" ht="20.100000000000001" customHeight="1">
      <c r="A18" s="114" t="str">
        <f>"주 1) 수량 : "&amp;월기본급!A1&amp;월기본급!A2&amp;" 참조"</f>
        <v>주 1) 수량 : &lt; 표 : 5 &gt; M/M당기본급산출표 참조</v>
      </c>
    </row>
    <row r="19" spans="1:14" ht="20.100000000000001" customHeight="1">
      <c r="A19" s="114" t="s">
        <v>172</v>
      </c>
    </row>
  </sheetData>
  <phoneticPr fontId="5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O19"/>
  <sheetViews>
    <sheetView showGridLines="0" showZeros="0" view="pageBreakPreview" zoomScale="90" zoomScaleNormal="100" workbookViewId="0">
      <selection activeCell="H18" sqref="H18"/>
    </sheetView>
  </sheetViews>
  <sheetFormatPr defaultRowHeight="29.25" customHeight="1"/>
  <cols>
    <col min="1" max="1" width="2.7109375" style="105" customWidth="1"/>
    <col min="2" max="2" width="14.7109375" style="116" customWidth="1"/>
    <col min="3" max="3" width="2.7109375" style="105" customWidth="1"/>
    <col min="4" max="4" width="1.7109375" style="106" customWidth="1"/>
    <col min="5" max="5" width="15.7109375" style="85" customWidth="1"/>
    <col min="6" max="6" width="1.7109375" style="106" customWidth="1"/>
    <col min="7" max="8" width="10.7109375" style="106" customWidth="1"/>
    <col min="9" max="9" width="12.7109375" style="106" customWidth="1"/>
    <col min="10" max="10" width="0.85546875" style="106" customWidth="1"/>
    <col min="11" max="11" width="70" style="106" customWidth="1"/>
    <col min="12" max="14" width="0" style="74" hidden="1" customWidth="1"/>
    <col min="15" max="16384" width="9.140625" style="74"/>
  </cols>
  <sheetData>
    <row r="1" spans="1:15" ht="23.25" customHeight="1">
      <c r="A1" s="74" t="s">
        <v>492</v>
      </c>
    </row>
    <row r="2" spans="1:15" s="365" customFormat="1" ht="39.950000000000003" customHeight="1">
      <c r="A2" s="75" t="s">
        <v>464</v>
      </c>
      <c r="B2" s="107"/>
      <c r="C2" s="75"/>
      <c r="D2" s="364"/>
      <c r="E2" s="110"/>
      <c r="F2" s="364"/>
      <c r="G2" s="364"/>
      <c r="H2" s="364"/>
      <c r="I2" s="364"/>
      <c r="J2" s="364"/>
      <c r="K2" s="364"/>
    </row>
    <row r="3" spans="1:15" s="365" customFormat="1" ht="15" customHeight="1">
      <c r="A3" s="75"/>
      <c r="B3" s="107"/>
      <c r="C3" s="75"/>
      <c r="D3" s="364"/>
      <c r="E3" s="110"/>
      <c r="F3" s="364"/>
      <c r="G3" s="364"/>
      <c r="H3" s="364"/>
      <c r="I3" s="364"/>
      <c r="J3" s="364"/>
      <c r="K3" s="364"/>
    </row>
    <row r="4" spans="1:15" ht="20.100000000000001" customHeight="1">
      <c r="A4" s="115"/>
      <c r="K4" s="366" t="s">
        <v>36</v>
      </c>
    </row>
    <row r="5" spans="1:15" ht="42" customHeight="1">
      <c r="A5" s="133" t="s">
        <v>171</v>
      </c>
      <c r="B5" s="328" t="s">
        <v>61</v>
      </c>
      <c r="C5" s="328"/>
      <c r="D5" s="329"/>
      <c r="E5" s="328" t="s">
        <v>120</v>
      </c>
      <c r="F5" s="367"/>
      <c r="G5" s="368" t="s">
        <v>115</v>
      </c>
      <c r="H5" s="368" t="s">
        <v>116</v>
      </c>
      <c r="I5" s="368" t="s">
        <v>34</v>
      </c>
      <c r="J5" s="369" t="s">
        <v>117</v>
      </c>
      <c r="K5" s="367"/>
    </row>
    <row r="6" spans="1:15" s="377" customFormat="1" ht="23.1" customHeight="1">
      <c r="A6" s="370"/>
      <c r="B6" s="116"/>
      <c r="C6" s="371"/>
      <c r="D6" s="370"/>
      <c r="E6" s="372"/>
      <c r="F6" s="116"/>
      <c r="G6" s="370" t="s">
        <v>49</v>
      </c>
      <c r="H6" s="370" t="s">
        <v>10</v>
      </c>
      <c r="I6" s="373"/>
      <c r="J6" s="374"/>
      <c r="K6" s="375"/>
      <c r="L6" s="376" t="s">
        <v>461</v>
      </c>
      <c r="M6" s="376"/>
      <c r="N6" s="376"/>
      <c r="O6" s="376"/>
    </row>
    <row r="7" spans="1:15" ht="23.1" customHeight="1">
      <c r="A7" s="370"/>
      <c r="B7" s="346">
        <f>인집!B6</f>
        <v>0</v>
      </c>
      <c r="C7" s="320"/>
      <c r="D7" s="337"/>
      <c r="E7" s="347">
        <f>인집!E6</f>
        <v>0</v>
      </c>
      <c r="F7" s="375"/>
      <c r="G7" s="378">
        <f>TRUNC(L7*M7/N7,2)</f>
        <v>0.16</v>
      </c>
      <c r="H7" s="255">
        <v>0</v>
      </c>
      <c r="I7" s="255">
        <f>TRUNC(G7*H7,0)</f>
        <v>0</v>
      </c>
      <c r="J7" s="80"/>
      <c r="K7" s="379" t="str">
        <f>""&amp;L7&amp;"인 × "&amp;M7&amp;"회/년 ÷ 12개월"</f>
        <v>1인 × 2회/년 ÷ 12개월</v>
      </c>
      <c r="L7" s="74">
        <v>1</v>
      </c>
      <c r="M7" s="380">
        <v>2</v>
      </c>
      <c r="N7" s="381">
        <v>12</v>
      </c>
    </row>
    <row r="8" spans="1:15" ht="23.1" customHeight="1">
      <c r="A8" s="370"/>
      <c r="B8" s="346">
        <f>인집!B7</f>
        <v>0</v>
      </c>
      <c r="C8" s="320"/>
      <c r="D8" s="337"/>
      <c r="E8" s="347">
        <f>인집!E7</f>
        <v>0</v>
      </c>
      <c r="F8" s="375"/>
      <c r="G8" s="378">
        <f t="shared" ref="G8:G16" si="0">TRUNC(L8*M8/N8,2)</f>
        <v>0.16</v>
      </c>
      <c r="H8" s="255">
        <v>0</v>
      </c>
      <c r="I8" s="255">
        <f t="shared" ref="I8:I16" si="1">TRUNC(G8*H8,0)</f>
        <v>0</v>
      </c>
      <c r="J8" s="80"/>
      <c r="K8" s="379" t="str">
        <f t="shared" ref="K8:K16" si="2">""&amp;L8&amp;"인 × "&amp;M8&amp;"회/년 ÷ 12개월"</f>
        <v>1인 × 2회/년 ÷ 12개월</v>
      </c>
      <c r="L8" s="74">
        <v>1</v>
      </c>
      <c r="M8" s="380">
        <v>2</v>
      </c>
      <c r="N8" s="381">
        <v>12</v>
      </c>
    </row>
    <row r="9" spans="1:15" ht="23.1" customHeight="1">
      <c r="A9" s="370"/>
      <c r="B9" s="346">
        <f>인집!B8</f>
        <v>0</v>
      </c>
      <c r="C9" s="320"/>
      <c r="D9" s="337"/>
      <c r="E9" s="347">
        <f>인집!E8</f>
        <v>0</v>
      </c>
      <c r="F9" s="375"/>
      <c r="G9" s="378">
        <f t="shared" si="0"/>
        <v>0.16</v>
      </c>
      <c r="H9" s="255">
        <v>0</v>
      </c>
      <c r="I9" s="255">
        <f t="shared" si="1"/>
        <v>0</v>
      </c>
      <c r="J9" s="80"/>
      <c r="K9" s="379" t="str">
        <f t="shared" si="2"/>
        <v>1인 × 2회/년 ÷ 12개월</v>
      </c>
      <c r="L9" s="74">
        <v>1</v>
      </c>
      <c r="M9" s="380">
        <v>2</v>
      </c>
      <c r="N9" s="381">
        <v>12</v>
      </c>
    </row>
    <row r="10" spans="1:15" ht="23.1" customHeight="1">
      <c r="A10" s="370"/>
      <c r="B10" s="346">
        <f>인집!B9</f>
        <v>0</v>
      </c>
      <c r="C10" s="320"/>
      <c r="D10" s="337"/>
      <c r="E10" s="347">
        <f>인집!E9</f>
        <v>0</v>
      </c>
      <c r="F10" s="375"/>
      <c r="G10" s="378">
        <f t="shared" si="0"/>
        <v>0.16</v>
      </c>
      <c r="H10" s="255">
        <v>0</v>
      </c>
      <c r="I10" s="255">
        <f t="shared" si="1"/>
        <v>0</v>
      </c>
      <c r="J10" s="80"/>
      <c r="K10" s="379" t="str">
        <f t="shared" si="2"/>
        <v>1인 × 2회/년 ÷ 12개월</v>
      </c>
      <c r="L10" s="74">
        <v>1</v>
      </c>
      <c r="M10" s="380">
        <v>2</v>
      </c>
      <c r="N10" s="381">
        <v>12</v>
      </c>
    </row>
    <row r="11" spans="1:15" ht="23.1" customHeight="1">
      <c r="A11" s="370"/>
      <c r="B11" s="346">
        <f>인집!B10</f>
        <v>0</v>
      </c>
      <c r="C11" s="320"/>
      <c r="D11" s="337"/>
      <c r="E11" s="347">
        <f>인집!E10</f>
        <v>0</v>
      </c>
      <c r="F11" s="375"/>
      <c r="G11" s="378">
        <f t="shared" si="0"/>
        <v>0.16</v>
      </c>
      <c r="H11" s="255">
        <v>0</v>
      </c>
      <c r="I11" s="255">
        <f t="shared" si="1"/>
        <v>0</v>
      </c>
      <c r="J11" s="80"/>
      <c r="K11" s="379" t="str">
        <f t="shared" si="2"/>
        <v>1인 × 2회/년 ÷ 12개월</v>
      </c>
      <c r="L11" s="74">
        <v>1</v>
      </c>
      <c r="M11" s="380">
        <v>2</v>
      </c>
      <c r="N11" s="381">
        <v>12</v>
      </c>
    </row>
    <row r="12" spans="1:15" ht="23.1" customHeight="1">
      <c r="A12" s="370"/>
      <c r="B12" s="346">
        <f>인집!B11</f>
        <v>0</v>
      </c>
      <c r="C12" s="320"/>
      <c r="D12" s="337"/>
      <c r="E12" s="347">
        <f>인집!E11</f>
        <v>0</v>
      </c>
      <c r="F12" s="375"/>
      <c r="G12" s="378">
        <f t="shared" si="0"/>
        <v>0.16</v>
      </c>
      <c r="H12" s="255">
        <v>0</v>
      </c>
      <c r="I12" s="255">
        <f t="shared" si="1"/>
        <v>0</v>
      </c>
      <c r="J12" s="80"/>
      <c r="K12" s="379" t="str">
        <f t="shared" si="2"/>
        <v>1인 × 2회/년 ÷ 12개월</v>
      </c>
      <c r="L12" s="74">
        <v>1</v>
      </c>
      <c r="M12" s="380">
        <v>2</v>
      </c>
      <c r="N12" s="381">
        <v>12</v>
      </c>
    </row>
    <row r="13" spans="1:15" ht="23.1" customHeight="1">
      <c r="A13" s="370"/>
      <c r="B13" s="346">
        <f>인집!B12</f>
        <v>0</v>
      </c>
      <c r="C13" s="320"/>
      <c r="D13" s="337"/>
      <c r="E13" s="347">
        <f>인집!E12</f>
        <v>0</v>
      </c>
      <c r="F13" s="375"/>
      <c r="G13" s="378">
        <f t="shared" si="0"/>
        <v>0.16</v>
      </c>
      <c r="H13" s="255">
        <v>0</v>
      </c>
      <c r="I13" s="255">
        <f t="shared" si="1"/>
        <v>0</v>
      </c>
      <c r="J13" s="80"/>
      <c r="K13" s="379" t="str">
        <f t="shared" si="2"/>
        <v>1인 × 2회/년 ÷ 12개월</v>
      </c>
      <c r="L13" s="74">
        <v>1</v>
      </c>
      <c r="M13" s="380">
        <v>2</v>
      </c>
      <c r="N13" s="381">
        <v>12</v>
      </c>
    </row>
    <row r="14" spans="1:15" ht="23.1" customHeight="1">
      <c r="A14" s="370"/>
      <c r="B14" s="346">
        <f>인집!B13</f>
        <v>0</v>
      </c>
      <c r="C14" s="320"/>
      <c r="D14" s="337"/>
      <c r="E14" s="347">
        <f>인집!E13</f>
        <v>0</v>
      </c>
      <c r="F14" s="375"/>
      <c r="G14" s="378">
        <f>TRUNC(L14*M14/N14,2)</f>
        <v>0.16</v>
      </c>
      <c r="H14" s="255">
        <v>0</v>
      </c>
      <c r="I14" s="255">
        <f>TRUNC(G14*H14,0)</f>
        <v>0</v>
      </c>
      <c r="J14" s="80"/>
      <c r="K14" s="379" t="str">
        <f>""&amp;L14&amp;"인 × "&amp;M14&amp;"회/년 ÷ 12개월"</f>
        <v>1인 × 2회/년 ÷ 12개월</v>
      </c>
      <c r="L14" s="74">
        <v>1</v>
      </c>
      <c r="M14" s="380">
        <v>2</v>
      </c>
      <c r="N14" s="381">
        <v>12</v>
      </c>
    </row>
    <row r="15" spans="1:15" ht="23.1" customHeight="1">
      <c r="A15" s="370"/>
      <c r="B15" s="346" t="str">
        <f>인집!B14</f>
        <v>다산홀운영</v>
      </c>
      <c r="C15" s="320"/>
      <c r="D15" s="337"/>
      <c r="E15" s="347" t="str">
        <f>인집!E14</f>
        <v>전기기능사</v>
      </c>
      <c r="F15" s="375"/>
      <c r="G15" s="378">
        <f t="shared" si="0"/>
        <v>0.16</v>
      </c>
      <c r="H15" s="255">
        <v>0</v>
      </c>
      <c r="I15" s="255">
        <f t="shared" si="1"/>
        <v>0</v>
      </c>
      <c r="J15" s="80"/>
      <c r="K15" s="379" t="str">
        <f t="shared" si="2"/>
        <v>1인 × 2회/년 ÷ 12개월</v>
      </c>
      <c r="L15" s="74">
        <v>1</v>
      </c>
      <c r="M15" s="380">
        <v>2</v>
      </c>
      <c r="N15" s="381">
        <v>12</v>
      </c>
    </row>
    <row r="16" spans="1:15" ht="23.1" customHeight="1">
      <c r="A16" s="370"/>
      <c r="B16" s="346" t="str">
        <f>인집!B15</f>
        <v>운 전 원</v>
      </c>
      <c r="C16" s="320"/>
      <c r="D16" s="337"/>
      <c r="E16" s="347" t="str">
        <f>인집!E15</f>
        <v>단순노무종사원</v>
      </c>
      <c r="F16" s="375"/>
      <c r="G16" s="378">
        <f t="shared" si="0"/>
        <v>0.16</v>
      </c>
      <c r="H16" s="255">
        <v>0</v>
      </c>
      <c r="I16" s="255">
        <f t="shared" si="1"/>
        <v>0</v>
      </c>
      <c r="J16" s="80"/>
      <c r="K16" s="379" t="str">
        <f t="shared" si="2"/>
        <v>1인 × 2회/년 ÷ 12개월</v>
      </c>
      <c r="L16" s="74">
        <v>1</v>
      </c>
      <c r="M16" s="380">
        <v>2</v>
      </c>
      <c r="N16" s="381">
        <v>12</v>
      </c>
    </row>
    <row r="17" spans="1:14" ht="23.1" customHeight="1">
      <c r="A17" s="602"/>
      <c r="B17" s="354" t="str">
        <f>인집!B16</f>
        <v>사무보조원</v>
      </c>
      <c r="C17" s="355"/>
      <c r="D17" s="353"/>
      <c r="E17" s="383" t="str">
        <f>인집!E16</f>
        <v>단순노무종사원</v>
      </c>
      <c r="F17" s="601"/>
      <c r="G17" s="384">
        <f>TRUNC(L17*M17/N17,2)</f>
        <v>0.16</v>
      </c>
      <c r="H17" s="314">
        <v>0</v>
      </c>
      <c r="I17" s="314">
        <f>TRUNC(G17*H17,0)</f>
        <v>0</v>
      </c>
      <c r="J17" s="81"/>
      <c r="K17" s="385" t="str">
        <f>""&amp;L17&amp;"인 × "&amp;M17&amp;"회/년 ÷ 12개월"</f>
        <v>1인 × 2회/년 ÷ 12개월</v>
      </c>
      <c r="L17" s="74">
        <v>1</v>
      </c>
      <c r="M17" s="380">
        <v>2</v>
      </c>
      <c r="N17" s="381">
        <v>12</v>
      </c>
    </row>
    <row r="18" spans="1:14" ht="20.100000000000001" customHeight="1">
      <c r="A18" s="114" t="str">
        <f>"주 1) 수량 : 전문업체 지급실적 참조"</f>
        <v>주 1) 수량 : 전문업체 지급실적 참조</v>
      </c>
    </row>
    <row r="19" spans="1:14" ht="20.100000000000001" customHeight="1">
      <c r="A19" s="114" t="s">
        <v>172</v>
      </c>
    </row>
  </sheetData>
  <phoneticPr fontId="5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O19"/>
  <sheetViews>
    <sheetView showGridLines="0" showZeros="0" view="pageBreakPreview" zoomScale="90" zoomScaleNormal="100" workbookViewId="0">
      <selection activeCell="H18" sqref="H18"/>
    </sheetView>
  </sheetViews>
  <sheetFormatPr defaultRowHeight="29.25" customHeight="1"/>
  <cols>
    <col min="1" max="1" width="2.7109375" style="105" customWidth="1"/>
    <col min="2" max="2" width="14.7109375" style="116" customWidth="1"/>
    <col min="3" max="3" width="2.7109375" style="105" customWidth="1"/>
    <col min="4" max="4" width="1.7109375" style="106" customWidth="1"/>
    <col min="5" max="5" width="15.7109375" style="85" customWidth="1"/>
    <col min="6" max="6" width="1.7109375" style="106" customWidth="1"/>
    <col min="7" max="8" width="10.7109375" style="106" customWidth="1"/>
    <col min="9" max="9" width="12.7109375" style="106" customWidth="1"/>
    <col min="10" max="10" width="0.85546875" style="106" customWidth="1"/>
    <col min="11" max="11" width="70" style="106" customWidth="1"/>
    <col min="12" max="14" width="0" style="74" hidden="1" customWidth="1"/>
    <col min="15" max="16384" width="9.140625" style="74"/>
  </cols>
  <sheetData>
    <row r="1" spans="1:15" ht="23.25" customHeight="1">
      <c r="A1" s="74" t="s">
        <v>365</v>
      </c>
    </row>
    <row r="2" spans="1:15" s="365" customFormat="1" ht="39.950000000000003" customHeight="1">
      <c r="A2" s="75" t="s">
        <v>460</v>
      </c>
      <c r="B2" s="107"/>
      <c r="C2" s="75"/>
      <c r="D2" s="364"/>
      <c r="E2" s="110"/>
      <c r="F2" s="364"/>
      <c r="G2" s="364"/>
      <c r="H2" s="364"/>
      <c r="I2" s="364"/>
      <c r="J2" s="364"/>
      <c r="K2" s="364"/>
    </row>
    <row r="3" spans="1:15" s="365" customFormat="1" ht="15" customHeight="1">
      <c r="A3" s="75"/>
      <c r="B3" s="107"/>
      <c r="C3" s="75"/>
      <c r="D3" s="364"/>
      <c r="E3" s="110"/>
      <c r="F3" s="364"/>
      <c r="G3" s="364"/>
      <c r="H3" s="364"/>
      <c r="I3" s="364"/>
      <c r="J3" s="364"/>
      <c r="K3" s="364"/>
    </row>
    <row r="4" spans="1:15" ht="20.100000000000001" customHeight="1">
      <c r="A4" s="115"/>
      <c r="K4" s="366" t="s">
        <v>36</v>
      </c>
    </row>
    <row r="5" spans="1:15" ht="42" customHeight="1">
      <c r="A5" s="133" t="s">
        <v>171</v>
      </c>
      <c r="B5" s="328" t="s">
        <v>61</v>
      </c>
      <c r="C5" s="328"/>
      <c r="D5" s="329"/>
      <c r="E5" s="328" t="s">
        <v>120</v>
      </c>
      <c r="F5" s="367"/>
      <c r="G5" s="368" t="s">
        <v>115</v>
      </c>
      <c r="H5" s="368" t="s">
        <v>116</v>
      </c>
      <c r="I5" s="368" t="s">
        <v>34</v>
      </c>
      <c r="J5" s="369" t="s">
        <v>117</v>
      </c>
      <c r="K5" s="367"/>
    </row>
    <row r="6" spans="1:15" s="377" customFormat="1" ht="23.1" customHeight="1">
      <c r="A6" s="370"/>
      <c r="B6" s="116"/>
      <c r="C6" s="371"/>
      <c r="D6" s="370"/>
      <c r="E6" s="372"/>
      <c r="F6" s="116"/>
      <c r="G6" s="370" t="s">
        <v>49</v>
      </c>
      <c r="H6" s="370" t="s">
        <v>10</v>
      </c>
      <c r="I6" s="373"/>
      <c r="J6" s="374"/>
      <c r="K6" s="375"/>
      <c r="L6" s="376" t="s">
        <v>461</v>
      </c>
      <c r="M6" s="376"/>
      <c r="N6" s="376"/>
      <c r="O6" s="376"/>
    </row>
    <row r="7" spans="1:15" ht="23.1" customHeight="1">
      <c r="A7" s="370"/>
      <c r="B7" s="346">
        <f>인집!B6</f>
        <v>0</v>
      </c>
      <c r="C7" s="320"/>
      <c r="D7" s="337"/>
      <c r="E7" s="347">
        <f>인집!E6</f>
        <v>0</v>
      </c>
      <c r="F7" s="375"/>
      <c r="G7" s="378">
        <f>TRUNC(L7*M7/N7,2)</f>
        <v>0.16</v>
      </c>
      <c r="H7" s="255">
        <v>0</v>
      </c>
      <c r="I7" s="255">
        <f>TRUNC(G7*H7,0)</f>
        <v>0</v>
      </c>
      <c r="J7" s="80"/>
      <c r="K7" s="379" t="str">
        <f>""&amp;L7&amp;"인 × "&amp;M7&amp;"착/년 ÷ 12개월"</f>
        <v>1인 × 2착/년 ÷ 12개월</v>
      </c>
      <c r="L7" s="74">
        <v>1</v>
      </c>
      <c r="M7" s="380">
        <v>2</v>
      </c>
      <c r="N7" s="381">
        <v>12</v>
      </c>
    </row>
    <row r="8" spans="1:15" ht="23.1" customHeight="1">
      <c r="A8" s="370"/>
      <c r="B8" s="346">
        <f>인집!B7</f>
        <v>0</v>
      </c>
      <c r="C8" s="320"/>
      <c r="D8" s="337"/>
      <c r="E8" s="347">
        <f>인집!E7</f>
        <v>0</v>
      </c>
      <c r="F8" s="375"/>
      <c r="G8" s="378">
        <f t="shared" ref="G8:G16" si="0">TRUNC(L8*M8/N8,2)</f>
        <v>0.16</v>
      </c>
      <c r="H8" s="255">
        <v>0</v>
      </c>
      <c r="I8" s="255">
        <f t="shared" ref="I8:I16" si="1">TRUNC(G8*H8,0)</f>
        <v>0</v>
      </c>
      <c r="J8" s="80"/>
      <c r="K8" s="379" t="str">
        <f t="shared" ref="K8:K16" si="2">""&amp;L8&amp;"인 × "&amp;M8&amp;"벌/년 ÷ 12개월"</f>
        <v>1인 × 2벌/년 ÷ 12개월</v>
      </c>
      <c r="L8" s="74">
        <v>1</v>
      </c>
      <c r="M8" s="380">
        <v>2</v>
      </c>
      <c r="N8" s="381">
        <v>12</v>
      </c>
    </row>
    <row r="9" spans="1:15" ht="23.1" customHeight="1">
      <c r="A9" s="370"/>
      <c r="B9" s="346">
        <f>인집!B8</f>
        <v>0</v>
      </c>
      <c r="C9" s="320"/>
      <c r="D9" s="337"/>
      <c r="E9" s="347">
        <f>인집!E8</f>
        <v>0</v>
      </c>
      <c r="F9" s="375"/>
      <c r="G9" s="378">
        <f t="shared" si="0"/>
        <v>0.16</v>
      </c>
      <c r="H9" s="255">
        <v>0</v>
      </c>
      <c r="I9" s="255">
        <f t="shared" si="1"/>
        <v>0</v>
      </c>
      <c r="J9" s="80"/>
      <c r="K9" s="379" t="str">
        <f t="shared" si="2"/>
        <v>1인 × 2벌/년 ÷ 12개월</v>
      </c>
      <c r="L9" s="74">
        <v>1</v>
      </c>
      <c r="M9" s="380">
        <v>2</v>
      </c>
      <c r="N9" s="381">
        <v>12</v>
      </c>
    </row>
    <row r="10" spans="1:15" ht="23.1" customHeight="1">
      <c r="A10" s="370"/>
      <c r="B10" s="346">
        <f>인집!B9</f>
        <v>0</v>
      </c>
      <c r="C10" s="320"/>
      <c r="D10" s="337"/>
      <c r="E10" s="347">
        <f>인집!E9</f>
        <v>0</v>
      </c>
      <c r="F10" s="375"/>
      <c r="G10" s="378">
        <f t="shared" si="0"/>
        <v>0.16</v>
      </c>
      <c r="H10" s="255">
        <v>0</v>
      </c>
      <c r="I10" s="255">
        <f t="shared" si="1"/>
        <v>0</v>
      </c>
      <c r="J10" s="80"/>
      <c r="K10" s="379" t="str">
        <f t="shared" si="2"/>
        <v>1인 × 2벌/년 ÷ 12개월</v>
      </c>
      <c r="L10" s="74">
        <v>1</v>
      </c>
      <c r="M10" s="380">
        <v>2</v>
      </c>
      <c r="N10" s="381">
        <v>12</v>
      </c>
    </row>
    <row r="11" spans="1:15" ht="23.1" customHeight="1">
      <c r="A11" s="370"/>
      <c r="B11" s="346">
        <f>인집!B10</f>
        <v>0</v>
      </c>
      <c r="C11" s="320"/>
      <c r="D11" s="337"/>
      <c r="E11" s="347">
        <f>인집!E10</f>
        <v>0</v>
      </c>
      <c r="F11" s="375"/>
      <c r="G11" s="378">
        <f t="shared" si="0"/>
        <v>0.16</v>
      </c>
      <c r="H11" s="255">
        <v>0</v>
      </c>
      <c r="I11" s="255">
        <f t="shared" si="1"/>
        <v>0</v>
      </c>
      <c r="J11" s="80"/>
      <c r="K11" s="379" t="str">
        <f t="shared" si="2"/>
        <v>1인 × 2벌/년 ÷ 12개월</v>
      </c>
      <c r="L11" s="74">
        <v>1</v>
      </c>
      <c r="M11" s="380">
        <v>2</v>
      </c>
      <c r="N11" s="381">
        <v>12</v>
      </c>
    </row>
    <row r="12" spans="1:15" ht="23.1" customHeight="1">
      <c r="A12" s="370"/>
      <c r="B12" s="346">
        <f>인집!B11</f>
        <v>0</v>
      </c>
      <c r="C12" s="320"/>
      <c r="D12" s="337"/>
      <c r="E12" s="347">
        <f>인집!E11</f>
        <v>0</v>
      </c>
      <c r="F12" s="375"/>
      <c r="G12" s="378">
        <f t="shared" si="0"/>
        <v>0.16</v>
      </c>
      <c r="H12" s="255">
        <v>0</v>
      </c>
      <c r="I12" s="255">
        <f t="shared" si="1"/>
        <v>0</v>
      </c>
      <c r="J12" s="80"/>
      <c r="K12" s="379" t="str">
        <f t="shared" si="2"/>
        <v>1인 × 2벌/년 ÷ 12개월</v>
      </c>
      <c r="L12" s="74">
        <v>1</v>
      </c>
      <c r="M12" s="380">
        <v>2</v>
      </c>
      <c r="N12" s="381">
        <v>12</v>
      </c>
    </row>
    <row r="13" spans="1:15" ht="23.1" customHeight="1">
      <c r="A13" s="370"/>
      <c r="B13" s="346">
        <f>인집!B12</f>
        <v>0</v>
      </c>
      <c r="C13" s="320"/>
      <c r="D13" s="337"/>
      <c r="E13" s="347">
        <f>인집!E12</f>
        <v>0</v>
      </c>
      <c r="F13" s="375"/>
      <c r="G13" s="378">
        <f t="shared" si="0"/>
        <v>0.16</v>
      </c>
      <c r="H13" s="255">
        <v>0</v>
      </c>
      <c r="I13" s="255">
        <f t="shared" si="1"/>
        <v>0</v>
      </c>
      <c r="J13" s="80"/>
      <c r="K13" s="379" t="str">
        <f t="shared" si="2"/>
        <v>1인 × 2벌/년 ÷ 12개월</v>
      </c>
      <c r="L13" s="74">
        <v>1</v>
      </c>
      <c r="M13" s="380">
        <v>2</v>
      </c>
      <c r="N13" s="381">
        <v>12</v>
      </c>
    </row>
    <row r="14" spans="1:15" ht="23.1" customHeight="1">
      <c r="A14" s="370"/>
      <c r="B14" s="346">
        <f>인집!B13</f>
        <v>0</v>
      </c>
      <c r="C14" s="320"/>
      <c r="D14" s="337"/>
      <c r="E14" s="347">
        <f>인집!E13</f>
        <v>0</v>
      </c>
      <c r="F14" s="375"/>
      <c r="G14" s="378">
        <f>TRUNC(L14*M14/N14,2)</f>
        <v>0.16</v>
      </c>
      <c r="H14" s="255">
        <v>0</v>
      </c>
      <c r="I14" s="255">
        <f>TRUNC(G14*H14,0)</f>
        <v>0</v>
      </c>
      <c r="J14" s="80"/>
      <c r="K14" s="379" t="str">
        <f>""&amp;L14&amp;"인 × "&amp;M14&amp;"벌/년 ÷ 12개월"</f>
        <v>1인 × 2벌/년 ÷ 12개월</v>
      </c>
      <c r="L14" s="74">
        <v>1</v>
      </c>
      <c r="M14" s="380">
        <v>2</v>
      </c>
      <c r="N14" s="381">
        <v>12</v>
      </c>
    </row>
    <row r="15" spans="1:15" ht="23.1" customHeight="1">
      <c r="A15" s="370"/>
      <c r="B15" s="346" t="str">
        <f>인집!B14</f>
        <v>다산홀운영</v>
      </c>
      <c r="C15" s="320"/>
      <c r="D15" s="337"/>
      <c r="E15" s="347" t="str">
        <f>인집!E14</f>
        <v>전기기능사</v>
      </c>
      <c r="F15" s="375"/>
      <c r="G15" s="378">
        <f t="shared" si="0"/>
        <v>0.16</v>
      </c>
      <c r="H15" s="255">
        <v>0</v>
      </c>
      <c r="I15" s="255">
        <f t="shared" si="1"/>
        <v>0</v>
      </c>
      <c r="J15" s="80"/>
      <c r="K15" s="379" t="str">
        <f t="shared" si="2"/>
        <v>1인 × 2벌/년 ÷ 12개월</v>
      </c>
      <c r="L15" s="74">
        <v>1</v>
      </c>
      <c r="M15" s="380">
        <v>2</v>
      </c>
      <c r="N15" s="381">
        <v>12</v>
      </c>
    </row>
    <row r="16" spans="1:15" ht="23.1" customHeight="1">
      <c r="A16" s="370"/>
      <c r="B16" s="346" t="str">
        <f>인집!B15</f>
        <v>운 전 원</v>
      </c>
      <c r="C16" s="320"/>
      <c r="D16" s="337"/>
      <c r="E16" s="347" t="str">
        <f>인집!E15</f>
        <v>단순노무종사원</v>
      </c>
      <c r="F16" s="375"/>
      <c r="G16" s="378">
        <f t="shared" si="0"/>
        <v>0.16</v>
      </c>
      <c r="H16" s="255">
        <v>0</v>
      </c>
      <c r="I16" s="255">
        <f t="shared" si="1"/>
        <v>0</v>
      </c>
      <c r="J16" s="80"/>
      <c r="K16" s="379" t="str">
        <f t="shared" si="2"/>
        <v>1인 × 2벌/년 ÷ 12개월</v>
      </c>
      <c r="L16" s="74">
        <v>1</v>
      </c>
      <c r="M16" s="380">
        <v>2</v>
      </c>
      <c r="N16" s="381">
        <v>12</v>
      </c>
    </row>
    <row r="17" spans="1:14" ht="23.1" customHeight="1">
      <c r="A17" s="602"/>
      <c r="B17" s="354" t="str">
        <f>인집!B16</f>
        <v>사무보조원</v>
      </c>
      <c r="C17" s="355"/>
      <c r="D17" s="353"/>
      <c r="E17" s="383" t="str">
        <f>인집!E16</f>
        <v>단순노무종사원</v>
      </c>
      <c r="F17" s="601"/>
      <c r="G17" s="384">
        <f>TRUNC(L17*M17/N17,2)</f>
        <v>0.16</v>
      </c>
      <c r="H17" s="314">
        <v>0</v>
      </c>
      <c r="I17" s="314">
        <f>TRUNC(G17*H17,0)</f>
        <v>0</v>
      </c>
      <c r="J17" s="81"/>
      <c r="K17" s="385" t="str">
        <f>""&amp;L17&amp;"인 × "&amp;M17&amp;"벌/년 ÷ 12개월"</f>
        <v>1인 × 2벌/년 ÷ 12개월</v>
      </c>
      <c r="L17" s="74">
        <v>1</v>
      </c>
      <c r="M17" s="380">
        <v>2</v>
      </c>
      <c r="N17" s="381">
        <v>12</v>
      </c>
    </row>
    <row r="18" spans="1:14" ht="20.100000000000001" customHeight="1">
      <c r="A18" s="114" t="str">
        <f>"주 1) 수량 : 전문업체 지급실적 참조"</f>
        <v>주 1) 수량 : 전문업체 지급실적 참조</v>
      </c>
    </row>
    <row r="19" spans="1:14" ht="20.100000000000001" customHeight="1">
      <c r="A19" s="114" t="s">
        <v>172</v>
      </c>
    </row>
  </sheetData>
  <phoneticPr fontId="5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0"/>
  <dimension ref="A1:L23"/>
  <sheetViews>
    <sheetView showGridLines="0" showZeros="0" view="pageBreakPreview" zoomScaleNormal="100" workbookViewId="0">
      <selection activeCell="G18" sqref="G18"/>
    </sheetView>
  </sheetViews>
  <sheetFormatPr defaultRowHeight="27" customHeight="1"/>
  <cols>
    <col min="1" max="1" width="1.7109375" style="319" customWidth="1"/>
    <col min="2" max="2" width="14.7109375" style="319" customWidth="1"/>
    <col min="3" max="3" width="1.7109375" style="319" customWidth="1"/>
    <col min="4" max="4" width="1.7109375" style="320" customWidth="1"/>
    <col min="5" max="5" width="15.7109375" style="320" customWidth="1"/>
    <col min="6" max="6" width="1.7109375" style="320" customWidth="1"/>
    <col min="7" max="7" width="14.7109375" style="319" customWidth="1"/>
    <col min="8" max="8" width="2.7109375" style="319" customWidth="1"/>
    <col min="9" max="9" width="9.7109375" style="319" customWidth="1"/>
    <col min="10" max="10" width="13.7109375" style="321" customWidth="1"/>
    <col min="11" max="11" width="3.7109375" style="322" customWidth="1"/>
    <col min="12" max="12" width="13.42578125" style="321" customWidth="1"/>
    <col min="13" max="16384" width="9.140625" style="319"/>
  </cols>
  <sheetData>
    <row r="1" spans="1:12" ht="20.100000000000001" customHeight="1">
      <c r="A1" s="317" t="s">
        <v>433</v>
      </c>
      <c r="B1" s="318"/>
      <c r="I1" s="320"/>
    </row>
    <row r="2" spans="1:12" s="313" customFormat="1" ht="39.950000000000003" customHeight="1">
      <c r="A2" s="232" t="s">
        <v>241</v>
      </c>
      <c r="B2" s="232"/>
      <c r="C2" s="232"/>
      <c r="D2" s="312"/>
      <c r="E2" s="312"/>
      <c r="F2" s="312"/>
      <c r="G2" s="232"/>
      <c r="H2" s="232"/>
      <c r="I2" s="232"/>
      <c r="J2" s="232"/>
      <c r="K2" s="312"/>
      <c r="L2" s="232"/>
    </row>
    <row r="3" spans="1:12" s="313" customFormat="1" ht="20.100000000000001" customHeight="1">
      <c r="A3" s="232"/>
      <c r="B3" s="232"/>
      <c r="C3" s="232"/>
      <c r="D3" s="312"/>
      <c r="E3" s="312"/>
      <c r="F3" s="312"/>
      <c r="G3" s="232"/>
      <c r="H3" s="232"/>
      <c r="I3" s="232"/>
      <c r="J3" s="232"/>
      <c r="K3" s="312"/>
      <c r="L3" s="232"/>
    </row>
    <row r="4" spans="1:12" ht="20.100000000000001" customHeight="1">
      <c r="A4" s="323"/>
      <c r="B4" s="320"/>
      <c r="C4" s="320"/>
      <c r="G4" s="324"/>
      <c r="H4" s="324"/>
      <c r="I4" s="325"/>
      <c r="J4" s="326"/>
      <c r="K4" s="326"/>
      <c r="L4" s="236" t="s">
        <v>279</v>
      </c>
    </row>
    <row r="5" spans="1:12" s="320" customFormat="1" ht="50.1" customHeight="1">
      <c r="A5" s="327"/>
      <c r="B5" s="328" t="s">
        <v>207</v>
      </c>
      <c r="C5" s="328"/>
      <c r="D5" s="329"/>
      <c r="E5" s="328" t="s">
        <v>239</v>
      </c>
      <c r="F5" s="330"/>
      <c r="G5" s="331" t="s">
        <v>244</v>
      </c>
      <c r="H5" s="332"/>
      <c r="I5" s="333" t="s">
        <v>206</v>
      </c>
      <c r="J5" s="334" t="s">
        <v>240</v>
      </c>
      <c r="K5" s="335"/>
      <c r="L5" s="336" t="s">
        <v>245</v>
      </c>
    </row>
    <row r="6" spans="1:12" s="320" customFormat="1" ht="9.9499999999999993" customHeight="1">
      <c r="A6" s="337"/>
      <c r="B6" s="338"/>
      <c r="C6" s="338"/>
      <c r="D6" s="339"/>
      <c r="E6" s="338"/>
      <c r="F6" s="340"/>
      <c r="G6" s="341"/>
      <c r="H6" s="342"/>
      <c r="I6" s="340"/>
      <c r="J6" s="343"/>
      <c r="K6" s="344"/>
      <c r="L6" s="345"/>
    </row>
    <row r="7" spans="1:12" ht="30" customHeight="1">
      <c r="A7" s="337"/>
      <c r="B7" s="320"/>
      <c r="C7" s="320"/>
      <c r="D7" s="337"/>
      <c r="F7" s="348"/>
      <c r="G7" s="339" t="s">
        <v>208</v>
      </c>
      <c r="H7" s="340"/>
      <c r="I7" s="342" t="s">
        <v>246</v>
      </c>
      <c r="J7" s="343"/>
      <c r="K7" s="344"/>
      <c r="L7" s="345"/>
    </row>
    <row r="8" spans="1:12" ht="30" customHeight="1">
      <c r="A8" s="337"/>
      <c r="B8" s="346">
        <f>인집!B6</f>
        <v>0</v>
      </c>
      <c r="C8" s="320"/>
      <c r="D8" s="337"/>
      <c r="E8" s="347">
        <f>인집!E6</f>
        <v>0</v>
      </c>
      <c r="F8" s="348"/>
      <c r="G8" s="349">
        <f>인집!K6-인집!J6</f>
        <v>0</v>
      </c>
      <c r="H8" s="350"/>
      <c r="I8" s="363">
        <v>0.5</v>
      </c>
      <c r="J8" s="349">
        <f t="shared" ref="J8:J17" si="0">TRUNC(G8*I8%,0)</f>
        <v>0</v>
      </c>
      <c r="K8" s="350"/>
      <c r="L8" s="352"/>
    </row>
    <row r="9" spans="1:12" ht="30" customHeight="1">
      <c r="A9" s="337"/>
      <c r="B9" s="346">
        <f>인집!B7</f>
        <v>0</v>
      </c>
      <c r="C9" s="320"/>
      <c r="D9" s="337"/>
      <c r="E9" s="347">
        <f>인집!E7</f>
        <v>0</v>
      </c>
      <c r="F9" s="348"/>
      <c r="G9" s="349">
        <f>인집!K7-인집!J7</f>
        <v>0</v>
      </c>
      <c r="H9" s="350"/>
      <c r="I9" s="363">
        <f t="shared" ref="I9:I18" si="1">I8</f>
        <v>0.5</v>
      </c>
      <c r="J9" s="349">
        <f t="shared" si="0"/>
        <v>0</v>
      </c>
      <c r="K9" s="350"/>
      <c r="L9" s="352"/>
    </row>
    <row r="10" spans="1:12" ht="30" customHeight="1">
      <c r="A10" s="337"/>
      <c r="B10" s="346">
        <f>인집!B8</f>
        <v>0</v>
      </c>
      <c r="C10" s="320"/>
      <c r="D10" s="337"/>
      <c r="E10" s="347">
        <f>인집!E8</f>
        <v>0</v>
      </c>
      <c r="F10" s="348"/>
      <c r="G10" s="349">
        <f>인집!K8-인집!J8</f>
        <v>0</v>
      </c>
      <c r="H10" s="350"/>
      <c r="I10" s="363">
        <f t="shared" si="1"/>
        <v>0.5</v>
      </c>
      <c r="J10" s="349">
        <f t="shared" si="0"/>
        <v>0</v>
      </c>
      <c r="K10" s="350"/>
      <c r="L10" s="352"/>
    </row>
    <row r="11" spans="1:12" ht="30" customHeight="1">
      <c r="A11" s="337"/>
      <c r="B11" s="346">
        <f>인집!B9</f>
        <v>0</v>
      </c>
      <c r="C11" s="320"/>
      <c r="D11" s="337"/>
      <c r="E11" s="347">
        <f>인집!E9</f>
        <v>0</v>
      </c>
      <c r="F11" s="348"/>
      <c r="G11" s="349">
        <f>인집!K9-인집!J9</f>
        <v>0</v>
      </c>
      <c r="H11" s="350"/>
      <c r="I11" s="363">
        <f t="shared" si="1"/>
        <v>0.5</v>
      </c>
      <c r="J11" s="349">
        <f t="shared" si="0"/>
        <v>0</v>
      </c>
      <c r="K11" s="350"/>
      <c r="L11" s="352"/>
    </row>
    <row r="12" spans="1:12" ht="30" customHeight="1">
      <c r="A12" s="337"/>
      <c r="B12" s="346">
        <f>인집!B10</f>
        <v>0</v>
      </c>
      <c r="C12" s="320"/>
      <c r="D12" s="337"/>
      <c r="E12" s="347">
        <f>인집!E10</f>
        <v>0</v>
      </c>
      <c r="F12" s="348"/>
      <c r="G12" s="349">
        <f>인집!K10-인집!J10</f>
        <v>0</v>
      </c>
      <c r="H12" s="350"/>
      <c r="I12" s="363">
        <f t="shared" si="1"/>
        <v>0.5</v>
      </c>
      <c r="J12" s="349">
        <f t="shared" si="0"/>
        <v>0</v>
      </c>
      <c r="K12" s="350"/>
      <c r="L12" s="352"/>
    </row>
    <row r="13" spans="1:12" ht="30" customHeight="1">
      <c r="A13" s="337"/>
      <c r="B13" s="346">
        <f>인집!B11</f>
        <v>0</v>
      </c>
      <c r="C13" s="320"/>
      <c r="D13" s="337"/>
      <c r="E13" s="347">
        <f>인집!E11</f>
        <v>0</v>
      </c>
      <c r="F13" s="348"/>
      <c r="G13" s="349">
        <f>인집!K11-인집!J11</f>
        <v>0</v>
      </c>
      <c r="H13" s="350"/>
      <c r="I13" s="363">
        <f t="shared" si="1"/>
        <v>0.5</v>
      </c>
      <c r="J13" s="349">
        <f t="shared" si="0"/>
        <v>0</v>
      </c>
      <c r="K13" s="350"/>
      <c r="L13" s="352"/>
    </row>
    <row r="14" spans="1:12" ht="30" customHeight="1">
      <c r="A14" s="337"/>
      <c r="B14" s="346">
        <f>인집!B12</f>
        <v>0</v>
      </c>
      <c r="C14" s="320"/>
      <c r="D14" s="337"/>
      <c r="E14" s="347">
        <f>인집!E12</f>
        <v>0</v>
      </c>
      <c r="F14" s="348"/>
      <c r="G14" s="349">
        <f>인집!K12-인집!J12</f>
        <v>0</v>
      </c>
      <c r="H14" s="350"/>
      <c r="I14" s="363">
        <f t="shared" si="1"/>
        <v>0.5</v>
      </c>
      <c r="J14" s="349">
        <f t="shared" si="0"/>
        <v>0</v>
      </c>
      <c r="K14" s="350"/>
      <c r="L14" s="352"/>
    </row>
    <row r="15" spans="1:12" ht="30" customHeight="1">
      <c r="A15" s="337"/>
      <c r="B15" s="346">
        <f>인집!B13</f>
        <v>0</v>
      </c>
      <c r="C15" s="320"/>
      <c r="D15" s="337"/>
      <c r="E15" s="347">
        <f>인집!E13</f>
        <v>0</v>
      </c>
      <c r="F15" s="348"/>
      <c r="G15" s="349">
        <f>인집!K13-인집!J13</f>
        <v>0</v>
      </c>
      <c r="H15" s="350"/>
      <c r="I15" s="363">
        <f t="shared" si="1"/>
        <v>0.5</v>
      </c>
      <c r="J15" s="349">
        <f>TRUNC(G15*I15%,0)</f>
        <v>0</v>
      </c>
      <c r="K15" s="350"/>
      <c r="L15" s="352"/>
    </row>
    <row r="16" spans="1:12" ht="30" customHeight="1">
      <c r="A16" s="337"/>
      <c r="B16" s="346" t="str">
        <f>인집!B14</f>
        <v>다산홀운영</v>
      </c>
      <c r="C16" s="320"/>
      <c r="D16" s="337"/>
      <c r="E16" s="347" t="str">
        <f>인집!E14</f>
        <v>전기기능사</v>
      </c>
      <c r="F16" s="348"/>
      <c r="G16" s="349">
        <f>인집!K14-인집!J14</f>
        <v>3007045</v>
      </c>
      <c r="H16" s="350"/>
      <c r="I16" s="363">
        <f>I14</f>
        <v>0.5</v>
      </c>
      <c r="J16" s="349">
        <f t="shared" si="0"/>
        <v>15035</v>
      </c>
      <c r="K16" s="350"/>
      <c r="L16" s="352"/>
    </row>
    <row r="17" spans="1:12" ht="30" customHeight="1">
      <c r="A17" s="337"/>
      <c r="B17" s="346" t="str">
        <f>인집!B15</f>
        <v>운 전 원</v>
      </c>
      <c r="C17" s="320"/>
      <c r="D17" s="337"/>
      <c r="E17" s="347" t="str">
        <f>인집!E15</f>
        <v>단순노무종사원</v>
      </c>
      <c r="F17" s="348"/>
      <c r="G17" s="349">
        <f>인집!K15-인집!J15</f>
        <v>2824413</v>
      </c>
      <c r="H17" s="350"/>
      <c r="I17" s="363">
        <f t="shared" si="1"/>
        <v>0.5</v>
      </c>
      <c r="J17" s="349">
        <f t="shared" si="0"/>
        <v>14122</v>
      </c>
      <c r="K17" s="350"/>
      <c r="L17" s="352"/>
    </row>
    <row r="18" spans="1:12" ht="30" customHeight="1">
      <c r="A18" s="337"/>
      <c r="B18" s="346" t="str">
        <f>인집!B16</f>
        <v>사무보조원</v>
      </c>
      <c r="C18" s="320"/>
      <c r="D18" s="337"/>
      <c r="E18" s="347" t="str">
        <f>인집!E16</f>
        <v>단순노무종사원</v>
      </c>
      <c r="F18" s="348"/>
      <c r="G18" s="349">
        <f>인집!K16-인집!J16</f>
        <v>2923879</v>
      </c>
      <c r="H18" s="350"/>
      <c r="I18" s="363">
        <f t="shared" si="1"/>
        <v>0.5</v>
      </c>
      <c r="J18" s="349">
        <f>TRUNC(G18*I18%,0)</f>
        <v>14619</v>
      </c>
      <c r="K18" s="350"/>
      <c r="L18" s="352"/>
    </row>
    <row r="19" spans="1:12" ht="9.9499999999999993" customHeight="1">
      <c r="A19" s="353"/>
      <c r="B19" s="354"/>
      <c r="C19" s="355"/>
      <c r="D19" s="353"/>
      <c r="E19" s="355"/>
      <c r="F19" s="356"/>
      <c r="G19" s="357"/>
      <c r="H19" s="358"/>
      <c r="I19" s="359"/>
      <c r="J19" s="360"/>
      <c r="K19" s="361"/>
      <c r="L19" s="362"/>
    </row>
    <row r="20" spans="1:12" ht="24.95" customHeight="1">
      <c r="A20" s="317" t="str">
        <f>"주 1) 적용대상액(급여액) : "&amp;인집!A1&amp;인집!A2&amp;" 참조"</f>
        <v>주 1) 적용대상액(급여액) : &lt; 표 : 3 &gt; 단위당인건비집계표 참조</v>
      </c>
      <c r="B20" s="317"/>
      <c r="I20" s="320"/>
    </row>
    <row r="21" spans="1:12" ht="24.95" customHeight="1">
      <c r="A21" s="317" t="s">
        <v>517</v>
      </c>
      <c r="B21" s="318"/>
      <c r="I21" s="320"/>
    </row>
    <row r="22" spans="1:12" ht="27" customHeight="1">
      <c r="A22" s="318"/>
      <c r="B22" s="317"/>
      <c r="I22" s="320"/>
    </row>
    <row r="23" spans="1:12" ht="27" customHeight="1">
      <c r="B23" s="317"/>
    </row>
  </sheetData>
  <phoneticPr fontId="7" type="noConversion"/>
  <pageMargins left="0.78740157480314965" right="0.78740157480314965" top="0.98425196850393704" bottom="0.78740157480314965" header="0.51181102362204722" footer="0.51181102362204722"/>
  <pageSetup paperSize="9" firstPageNumber="47" orientation="portrait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D22"/>
  <sheetViews>
    <sheetView showGridLines="0" showZeros="0" view="pageBreakPreview" zoomScaleNormal="100" zoomScaleSheetLayoutView="100" workbookViewId="0">
      <selection activeCell="B17" sqref="B17"/>
    </sheetView>
  </sheetViews>
  <sheetFormatPr defaultColWidth="8.140625" defaultRowHeight="30" customHeight="1"/>
  <cols>
    <col min="1" max="1" width="11.5703125" style="86" customWidth="1"/>
    <col min="2" max="2" width="24.42578125" style="86" customWidth="1"/>
    <col min="3" max="3" width="9.85546875" style="86" customWidth="1"/>
    <col min="4" max="4" width="48.7109375" style="86" customWidth="1"/>
    <col min="5" max="16384" width="8.140625" style="86"/>
  </cols>
  <sheetData>
    <row r="1" spans="1:4" ht="39.950000000000003" customHeight="1">
      <c r="A1" s="1003" t="s">
        <v>641</v>
      </c>
      <c r="B1" s="1003"/>
      <c r="C1" s="1003"/>
      <c r="D1" s="1003"/>
    </row>
    <row r="2" spans="1:4" s="89" customFormat="1" ht="30" customHeight="1">
      <c r="A2" s="87"/>
      <c r="B2" s="88"/>
      <c r="C2" s="88"/>
      <c r="D2" s="88"/>
    </row>
    <row r="3" spans="1:4" s="91" customFormat="1" ht="30" customHeight="1">
      <c r="A3" s="90"/>
      <c r="B3" s="90"/>
      <c r="C3" s="90"/>
      <c r="D3" s="90"/>
    </row>
    <row r="4" spans="1:4" ht="30" customHeight="1">
      <c r="A4" s="90"/>
      <c r="B4" s="90"/>
      <c r="C4" s="90"/>
      <c r="D4" s="90"/>
    </row>
    <row r="5" spans="1:4" s="92" customFormat="1" ht="30" customHeight="1">
      <c r="A5" s="90"/>
      <c r="B5" s="90"/>
      <c r="C5" s="90"/>
      <c r="D5" s="90"/>
    </row>
    <row r="6" spans="1:4" ht="30" customHeight="1">
      <c r="A6" s="90"/>
      <c r="B6" s="90"/>
      <c r="C6" s="90"/>
      <c r="D6" s="90"/>
    </row>
    <row r="7" spans="1:4" ht="30" customHeight="1">
      <c r="A7" s="90"/>
      <c r="B7" s="93"/>
      <c r="C7" s="93"/>
      <c r="D7" s="93"/>
    </row>
    <row r="8" spans="1:4" ht="39.950000000000003" customHeight="1">
      <c r="A8" s="94"/>
      <c r="B8" s="95"/>
      <c r="C8" s="1004" t="s">
        <v>434</v>
      </c>
      <c r="D8" s="1004"/>
    </row>
    <row r="9" spans="1:4" ht="30" customHeight="1">
      <c r="A9" s="94"/>
      <c r="B9" s="95"/>
      <c r="C9" s="96"/>
      <c r="D9" s="97"/>
    </row>
    <row r="10" spans="1:4" ht="30" customHeight="1">
      <c r="A10" s="94"/>
      <c r="B10" s="95"/>
      <c r="C10" s="96"/>
      <c r="D10" s="97"/>
    </row>
    <row r="11" spans="1:4" ht="30" customHeight="1">
      <c r="A11" s="94"/>
      <c r="B11" s="95"/>
      <c r="C11" s="96"/>
      <c r="D11" s="97"/>
    </row>
    <row r="12" spans="1:4" ht="30" customHeight="1">
      <c r="A12" s="94"/>
      <c r="B12" s="95"/>
      <c r="C12" s="96"/>
      <c r="D12" s="97"/>
    </row>
    <row r="13" spans="1:4" ht="30" customHeight="1">
      <c r="A13" s="94"/>
      <c r="B13" s="95"/>
      <c r="C13" s="96"/>
      <c r="D13" s="97"/>
    </row>
    <row r="14" spans="1:4" ht="30" customHeight="1">
      <c r="A14" s="94"/>
      <c r="B14" s="95"/>
      <c r="C14" s="96"/>
      <c r="D14" s="97"/>
    </row>
    <row r="15" spans="1:4" ht="30" customHeight="1">
      <c r="A15" s="94"/>
      <c r="B15" s="95"/>
      <c r="C15" s="96"/>
      <c r="D15" s="97"/>
    </row>
    <row r="16" spans="1:4" ht="30" customHeight="1">
      <c r="A16" s="94"/>
      <c r="B16" s="95"/>
      <c r="C16" s="96"/>
      <c r="D16" s="97"/>
    </row>
    <row r="17" spans="1:4" ht="30" customHeight="1">
      <c r="A17" s="94"/>
      <c r="B17" s="95"/>
      <c r="C17" s="96"/>
      <c r="D17" s="97"/>
    </row>
    <row r="18" spans="1:4" ht="30" customHeight="1">
      <c r="A18" s="94"/>
      <c r="B18" s="95"/>
      <c r="C18" s="96"/>
      <c r="D18" s="97"/>
    </row>
    <row r="19" spans="1:4" ht="30" customHeight="1">
      <c r="A19" s="94"/>
      <c r="B19" s="95"/>
      <c r="C19" s="96"/>
      <c r="D19" s="97"/>
    </row>
    <row r="20" spans="1:4" ht="30" customHeight="1">
      <c r="A20" s="94"/>
      <c r="B20" s="95"/>
      <c r="C20" s="96"/>
      <c r="D20" s="97"/>
    </row>
    <row r="21" spans="1:4" ht="30" customHeight="1">
      <c r="A21" s="94"/>
      <c r="B21" s="95"/>
      <c r="C21" s="96"/>
      <c r="D21" s="97"/>
    </row>
    <row r="22" spans="1:4" ht="39.950000000000003" customHeight="1">
      <c r="A22" s="98"/>
      <c r="B22" s="98"/>
      <c r="C22" s="98"/>
      <c r="D22" s="98"/>
    </row>
  </sheetData>
  <mergeCells count="2">
    <mergeCell ref="A1:D1"/>
    <mergeCell ref="C8:D8"/>
  </mergeCells>
  <phoneticPr fontId="7" type="noConversion"/>
  <pageMargins left="0.78740157480314965" right="0.78740157480314965" top="0.98425196850393704" bottom="0.78740157480314965" header="0.51181102362204722" footer="0.51181102362204722"/>
  <pageSetup paperSize="9" orientation="portrait" useFirstPageNumber="1" r:id="rId1"/>
  <headerFooter alignWithMargins="0">
    <oddFooter>&amp;C&amp;"바탕체,보통"&amp;10-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1"/>
  <dimension ref="A1:L21"/>
  <sheetViews>
    <sheetView showGridLines="0" showZeros="0" view="pageBreakPreview" zoomScaleNormal="100" workbookViewId="0">
      <selection activeCell="G19" sqref="G19"/>
    </sheetView>
  </sheetViews>
  <sheetFormatPr defaultRowHeight="27" customHeight="1"/>
  <cols>
    <col min="1" max="1" width="1.7109375" style="319" customWidth="1"/>
    <col min="2" max="2" width="14.7109375" style="319" customWidth="1"/>
    <col min="3" max="3" width="1.7109375" style="319" customWidth="1"/>
    <col min="4" max="4" width="1.7109375" style="320" customWidth="1"/>
    <col min="5" max="5" width="15.7109375" style="320" customWidth="1"/>
    <col min="6" max="6" width="1.7109375" style="320" customWidth="1"/>
    <col min="7" max="7" width="12.7109375" style="319" customWidth="1"/>
    <col min="8" max="8" width="1.7109375" style="319" customWidth="1"/>
    <col min="9" max="9" width="9.7109375" style="319" customWidth="1"/>
    <col min="10" max="10" width="13.7109375" style="321" customWidth="1"/>
    <col min="11" max="11" width="2.7109375" style="322" customWidth="1"/>
    <col min="12" max="12" width="17.5703125" style="321" customWidth="1"/>
    <col min="13" max="16384" width="9.140625" style="319"/>
  </cols>
  <sheetData>
    <row r="1" spans="1:12" ht="20.100000000000001" customHeight="1">
      <c r="A1" s="317" t="s">
        <v>429</v>
      </c>
      <c r="B1" s="318"/>
      <c r="I1" s="320"/>
    </row>
    <row r="2" spans="1:12" s="313" customFormat="1" ht="39.950000000000003" customHeight="1">
      <c r="A2" s="232" t="s">
        <v>263</v>
      </c>
      <c r="B2" s="232"/>
      <c r="C2" s="232"/>
      <c r="D2" s="312"/>
      <c r="E2" s="312"/>
      <c r="F2" s="312"/>
      <c r="G2" s="232"/>
      <c r="H2" s="232"/>
      <c r="I2" s="232"/>
      <c r="J2" s="232"/>
      <c r="K2" s="312"/>
      <c r="L2" s="232"/>
    </row>
    <row r="3" spans="1:12" s="313" customFormat="1" ht="20.100000000000001" customHeight="1">
      <c r="A3" s="232"/>
      <c r="B3" s="232"/>
      <c r="C3" s="232"/>
      <c r="D3" s="312"/>
      <c r="E3" s="312"/>
      <c r="F3" s="312"/>
      <c r="G3" s="232"/>
      <c r="H3" s="232"/>
      <c r="I3" s="232"/>
      <c r="J3" s="232"/>
      <c r="K3" s="312"/>
      <c r="L3" s="232"/>
    </row>
    <row r="4" spans="1:12" ht="20.100000000000001" customHeight="1">
      <c r="A4" s="323"/>
      <c r="B4" s="320"/>
      <c r="C4" s="320"/>
      <c r="G4" s="324"/>
      <c r="H4" s="324"/>
      <c r="I4" s="325"/>
      <c r="J4" s="326"/>
      <c r="K4" s="326"/>
      <c r="L4" s="236" t="s">
        <v>279</v>
      </c>
    </row>
    <row r="5" spans="1:12" s="320" customFormat="1" ht="50.1" customHeight="1">
      <c r="A5" s="327"/>
      <c r="B5" s="328" t="s">
        <v>207</v>
      </c>
      <c r="C5" s="328"/>
      <c r="D5" s="329"/>
      <c r="E5" s="328" t="s">
        <v>239</v>
      </c>
      <c r="F5" s="330"/>
      <c r="G5" s="331" t="s">
        <v>265</v>
      </c>
      <c r="H5" s="332"/>
      <c r="I5" s="333" t="s">
        <v>264</v>
      </c>
      <c r="J5" s="334" t="s">
        <v>266</v>
      </c>
      <c r="K5" s="335"/>
      <c r="L5" s="336" t="s">
        <v>245</v>
      </c>
    </row>
    <row r="6" spans="1:12" s="320" customFormat="1" ht="9.9499999999999993" customHeight="1">
      <c r="A6" s="337"/>
      <c r="B6" s="338"/>
      <c r="C6" s="338"/>
      <c r="D6" s="339"/>
      <c r="E6" s="338"/>
      <c r="F6" s="340"/>
      <c r="G6" s="341"/>
      <c r="H6" s="342"/>
      <c r="I6" s="340"/>
      <c r="J6" s="343"/>
      <c r="K6" s="344"/>
      <c r="L6" s="345"/>
    </row>
    <row r="7" spans="1:12" ht="30" customHeight="1">
      <c r="A7" s="337"/>
      <c r="B7" s="346">
        <f>인집!B6</f>
        <v>0</v>
      </c>
      <c r="C7" s="320"/>
      <c r="D7" s="337"/>
      <c r="E7" s="347">
        <f>인집!E6</f>
        <v>0</v>
      </c>
      <c r="F7" s="348"/>
      <c r="G7" s="349">
        <v>0</v>
      </c>
      <c r="H7" s="350"/>
      <c r="I7" s="351">
        <v>12</v>
      </c>
      <c r="J7" s="349">
        <f t="shared" ref="J7:J16" si="0">TRUNC(G7/I7)</f>
        <v>0</v>
      </c>
      <c r="K7" s="350"/>
      <c r="L7" s="352"/>
    </row>
    <row r="8" spans="1:12" ht="30" customHeight="1">
      <c r="A8" s="337"/>
      <c r="B8" s="346">
        <f>인집!B7</f>
        <v>0</v>
      </c>
      <c r="C8" s="320"/>
      <c r="D8" s="337"/>
      <c r="E8" s="347">
        <f>인집!E7</f>
        <v>0</v>
      </c>
      <c r="F8" s="348"/>
      <c r="G8" s="349">
        <v>0</v>
      </c>
      <c r="H8" s="350"/>
      <c r="I8" s="351">
        <f t="shared" ref="I8:I17" si="1">I7</f>
        <v>12</v>
      </c>
      <c r="J8" s="349">
        <f t="shared" si="0"/>
        <v>0</v>
      </c>
      <c r="K8" s="350"/>
      <c r="L8" s="352"/>
    </row>
    <row r="9" spans="1:12" ht="30" customHeight="1">
      <c r="A9" s="337"/>
      <c r="B9" s="346">
        <f>인집!B8</f>
        <v>0</v>
      </c>
      <c r="C9" s="320"/>
      <c r="D9" s="337"/>
      <c r="E9" s="347">
        <f>인집!E8</f>
        <v>0</v>
      </c>
      <c r="F9" s="348"/>
      <c r="G9" s="349">
        <v>0</v>
      </c>
      <c r="H9" s="350"/>
      <c r="I9" s="351">
        <f t="shared" si="1"/>
        <v>12</v>
      </c>
      <c r="J9" s="349">
        <f t="shared" si="0"/>
        <v>0</v>
      </c>
      <c r="K9" s="350"/>
      <c r="L9" s="352"/>
    </row>
    <row r="10" spans="1:12" ht="30" customHeight="1">
      <c r="A10" s="337"/>
      <c r="B10" s="346">
        <f>인집!B9</f>
        <v>0</v>
      </c>
      <c r="C10" s="320"/>
      <c r="D10" s="337"/>
      <c r="E10" s="347">
        <f>인집!E9</f>
        <v>0</v>
      </c>
      <c r="F10" s="348"/>
      <c r="G10" s="349">
        <v>0</v>
      </c>
      <c r="H10" s="350"/>
      <c r="I10" s="351">
        <f t="shared" si="1"/>
        <v>12</v>
      </c>
      <c r="J10" s="349">
        <f t="shared" si="0"/>
        <v>0</v>
      </c>
      <c r="K10" s="350"/>
      <c r="L10" s="352"/>
    </row>
    <row r="11" spans="1:12" ht="30" customHeight="1">
      <c r="A11" s="337"/>
      <c r="B11" s="346">
        <f>인집!B10</f>
        <v>0</v>
      </c>
      <c r="C11" s="320"/>
      <c r="D11" s="337"/>
      <c r="E11" s="347">
        <f>인집!E10</f>
        <v>0</v>
      </c>
      <c r="F11" s="348"/>
      <c r="G11" s="349">
        <v>0</v>
      </c>
      <c r="H11" s="350"/>
      <c r="I11" s="351">
        <f t="shared" si="1"/>
        <v>12</v>
      </c>
      <c r="J11" s="349">
        <f t="shared" si="0"/>
        <v>0</v>
      </c>
      <c r="K11" s="350"/>
      <c r="L11" s="352"/>
    </row>
    <row r="12" spans="1:12" ht="30" customHeight="1">
      <c r="A12" s="337"/>
      <c r="B12" s="346">
        <f>인집!B11</f>
        <v>0</v>
      </c>
      <c r="C12" s="320"/>
      <c r="D12" s="337"/>
      <c r="E12" s="347">
        <f>인집!E11</f>
        <v>0</v>
      </c>
      <c r="F12" s="348"/>
      <c r="G12" s="349">
        <v>0</v>
      </c>
      <c r="H12" s="350"/>
      <c r="I12" s="351">
        <f t="shared" si="1"/>
        <v>12</v>
      </c>
      <c r="J12" s="349">
        <f t="shared" si="0"/>
        <v>0</v>
      </c>
      <c r="K12" s="350"/>
      <c r="L12" s="352"/>
    </row>
    <row r="13" spans="1:12" ht="30" customHeight="1">
      <c r="A13" s="337"/>
      <c r="B13" s="346">
        <f>인집!B12</f>
        <v>0</v>
      </c>
      <c r="C13" s="320"/>
      <c r="D13" s="337"/>
      <c r="E13" s="347">
        <f>인집!E12</f>
        <v>0</v>
      </c>
      <c r="F13" s="348"/>
      <c r="G13" s="349">
        <v>0</v>
      </c>
      <c r="H13" s="350"/>
      <c r="I13" s="351">
        <f t="shared" si="1"/>
        <v>12</v>
      </c>
      <c r="J13" s="349">
        <f t="shared" si="0"/>
        <v>0</v>
      </c>
      <c r="K13" s="350"/>
      <c r="L13" s="352"/>
    </row>
    <row r="14" spans="1:12" ht="30" customHeight="1">
      <c r="A14" s="337"/>
      <c r="B14" s="346">
        <f>인집!B13</f>
        <v>0</v>
      </c>
      <c r="C14" s="320"/>
      <c r="D14" s="337"/>
      <c r="E14" s="347">
        <f>인집!E13</f>
        <v>0</v>
      </c>
      <c r="F14" s="348"/>
      <c r="G14" s="349">
        <v>0</v>
      </c>
      <c r="H14" s="350"/>
      <c r="I14" s="351">
        <f t="shared" si="1"/>
        <v>12</v>
      </c>
      <c r="J14" s="349">
        <f>TRUNC(G14/I14)</f>
        <v>0</v>
      </c>
      <c r="K14" s="350"/>
      <c r="L14" s="352"/>
    </row>
    <row r="15" spans="1:12" ht="30" customHeight="1">
      <c r="A15" s="337"/>
      <c r="B15" s="346" t="str">
        <f>인집!B14</f>
        <v>다산홀운영</v>
      </c>
      <c r="C15" s="320"/>
      <c r="D15" s="337"/>
      <c r="E15" s="347" t="str">
        <f>인집!E14</f>
        <v>전기기능사</v>
      </c>
      <c r="F15" s="348"/>
      <c r="G15" s="349">
        <v>0</v>
      </c>
      <c r="H15" s="350"/>
      <c r="I15" s="351">
        <f>I13</f>
        <v>12</v>
      </c>
      <c r="J15" s="349">
        <f t="shared" si="0"/>
        <v>0</v>
      </c>
      <c r="K15" s="350"/>
      <c r="L15" s="352"/>
    </row>
    <row r="16" spans="1:12" ht="30" customHeight="1">
      <c r="A16" s="337"/>
      <c r="B16" s="346" t="str">
        <f>인집!B15</f>
        <v>운 전 원</v>
      </c>
      <c r="C16" s="320"/>
      <c r="D16" s="337"/>
      <c r="E16" s="347" t="str">
        <f>인집!E15</f>
        <v>단순노무종사원</v>
      </c>
      <c r="F16" s="348"/>
      <c r="G16" s="349">
        <v>0</v>
      </c>
      <c r="H16" s="350"/>
      <c r="I16" s="351">
        <f t="shared" si="1"/>
        <v>12</v>
      </c>
      <c r="J16" s="349">
        <f t="shared" si="0"/>
        <v>0</v>
      </c>
      <c r="K16" s="350"/>
      <c r="L16" s="352"/>
    </row>
    <row r="17" spans="1:12" ht="30" customHeight="1">
      <c r="A17" s="337"/>
      <c r="B17" s="346" t="str">
        <f>인집!B16</f>
        <v>사무보조원</v>
      </c>
      <c r="C17" s="320"/>
      <c r="D17" s="337"/>
      <c r="E17" s="347" t="str">
        <f>인집!E16</f>
        <v>단순노무종사원</v>
      </c>
      <c r="F17" s="348"/>
      <c r="G17" s="349">
        <v>0</v>
      </c>
      <c r="H17" s="350"/>
      <c r="I17" s="351">
        <f t="shared" si="1"/>
        <v>12</v>
      </c>
      <c r="J17" s="349">
        <f>TRUNC(G17/I17)</f>
        <v>0</v>
      </c>
      <c r="K17" s="350"/>
      <c r="L17" s="352"/>
    </row>
    <row r="18" spans="1:12" ht="9.9499999999999993" customHeight="1">
      <c r="A18" s="353"/>
      <c r="B18" s="354"/>
      <c r="C18" s="355"/>
      <c r="D18" s="353"/>
      <c r="E18" s="355"/>
      <c r="F18" s="356"/>
      <c r="G18" s="357"/>
      <c r="H18" s="358"/>
      <c r="I18" s="359"/>
      <c r="J18" s="360"/>
      <c r="K18" s="361"/>
      <c r="L18" s="362"/>
    </row>
    <row r="19" spans="1:12" ht="24.95" customHeight="1">
      <c r="A19" s="317" t="s">
        <v>278</v>
      </c>
      <c r="B19" s="317"/>
      <c r="I19" s="320"/>
    </row>
    <row r="20" spans="1:12" ht="27" customHeight="1">
      <c r="A20" s="318"/>
      <c r="B20" s="317"/>
      <c r="I20" s="320"/>
    </row>
    <row r="21" spans="1:12" ht="27" customHeight="1">
      <c r="B21" s="317"/>
      <c r="I21" s="320"/>
    </row>
  </sheetData>
  <phoneticPr fontId="7" type="noConversion"/>
  <pageMargins left="0.78740157480314965" right="0.78740157480314965" top="0.98425196850393704" bottom="0.78740157480314965" header="0.51181102362204722" footer="0.51181102362204722"/>
  <pageSetup paperSize="9" firstPageNumber="47" orientation="portrait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C000"/>
  </sheetPr>
  <dimension ref="A1:D16"/>
  <sheetViews>
    <sheetView showGridLines="0" showZeros="0" view="pageBreakPreview" zoomScale="70" zoomScaleNormal="60" zoomScaleSheetLayoutView="70" workbookViewId="0">
      <selection sqref="A1:D1"/>
    </sheetView>
  </sheetViews>
  <sheetFormatPr defaultColWidth="8.140625" defaultRowHeight="30" customHeight="1"/>
  <cols>
    <col min="1" max="1" width="11.5703125" style="86" customWidth="1"/>
    <col min="2" max="2" width="24.5703125" style="86" customWidth="1"/>
    <col min="3" max="3" width="15.85546875" style="86" bestFit="1" customWidth="1"/>
    <col min="4" max="4" width="42.5703125" style="86" customWidth="1"/>
    <col min="5" max="16384" width="8.140625" style="86"/>
  </cols>
  <sheetData>
    <row r="1" spans="1:4" ht="39.950000000000003" customHeight="1">
      <c r="A1" s="1003" t="str">
        <f>간지!$A$1</f>
        <v>[ 경기문화재단 2017년도 파견용역 ]</v>
      </c>
      <c r="B1" s="1003"/>
      <c r="C1" s="1003"/>
      <c r="D1" s="1003"/>
    </row>
    <row r="2" spans="1:4" s="89" customFormat="1" ht="30" customHeight="1">
      <c r="A2" s="87"/>
      <c r="B2" s="88"/>
      <c r="C2" s="88"/>
      <c r="D2" s="88"/>
    </row>
    <row r="3" spans="1:4" s="91" customFormat="1" ht="30" customHeight="1">
      <c r="A3" s="90"/>
      <c r="B3" s="90"/>
      <c r="C3" s="90"/>
      <c r="D3" s="90"/>
    </row>
    <row r="4" spans="1:4" ht="30" customHeight="1">
      <c r="A4" s="90"/>
      <c r="B4" s="93"/>
      <c r="C4" s="93"/>
      <c r="D4" s="93"/>
    </row>
    <row r="5" spans="1:4" ht="39.950000000000003" customHeight="1">
      <c r="A5" s="94"/>
      <c r="B5" s="95"/>
      <c r="C5" s="1004" t="s">
        <v>500</v>
      </c>
      <c r="D5" s="1004"/>
    </row>
    <row r="6" spans="1:4" ht="48.75" customHeight="1">
      <c r="A6" s="94"/>
      <c r="B6" s="95"/>
      <c r="C6" s="96"/>
      <c r="D6" s="99"/>
    </row>
    <row r="7" spans="1:4" ht="48.75" customHeight="1">
      <c r="A7" s="94"/>
      <c r="B7" s="95"/>
      <c r="C7" s="100" t="s">
        <v>501</v>
      </c>
      <c r="D7" s="101" t="str">
        <f>일반!A2</f>
        <v>일반관리비산출표</v>
      </c>
    </row>
    <row r="8" spans="1:4" ht="48.75" customHeight="1">
      <c r="A8" s="94"/>
      <c r="B8" s="95"/>
      <c r="C8" s="100" t="s">
        <v>457</v>
      </c>
      <c r="D8" s="101" t="str">
        <f>일반비율!A2</f>
        <v>일반관리비율산출표</v>
      </c>
    </row>
    <row r="9" spans="1:4" ht="48.75" customHeight="1">
      <c r="A9" s="94"/>
      <c r="B9" s="95"/>
      <c r="C9" s="100"/>
      <c r="D9" s="101"/>
    </row>
    <row r="10" spans="1:4" ht="48.75" customHeight="1">
      <c r="A10" s="94"/>
      <c r="B10" s="95"/>
      <c r="C10" s="100"/>
      <c r="D10" s="101"/>
    </row>
    <row r="11" spans="1:4" ht="48.75" customHeight="1">
      <c r="A11" s="94"/>
      <c r="B11" s="95"/>
      <c r="C11" s="100"/>
      <c r="D11" s="101"/>
    </row>
    <row r="12" spans="1:4" ht="42" customHeight="1">
      <c r="A12" s="94"/>
      <c r="B12" s="95"/>
      <c r="C12" s="100"/>
      <c r="D12" s="101"/>
    </row>
    <row r="13" spans="1:4" ht="48.75" customHeight="1">
      <c r="A13" s="94"/>
      <c r="B13" s="95"/>
      <c r="C13" s="100"/>
      <c r="D13" s="101"/>
    </row>
    <row r="14" spans="1:4" ht="48.75" customHeight="1">
      <c r="A14" s="94"/>
      <c r="B14" s="95"/>
      <c r="C14" s="100"/>
      <c r="D14" s="101"/>
    </row>
    <row r="15" spans="1:4" ht="48.75" customHeight="1">
      <c r="A15" s="94"/>
      <c r="B15" s="95"/>
      <c r="C15" s="102"/>
      <c r="D15" s="103"/>
    </row>
    <row r="16" spans="1:4" ht="39.950000000000003" customHeight="1">
      <c r="A16" s="98"/>
      <c r="B16" s="98"/>
      <c r="C16" s="98"/>
      <c r="D16" s="98"/>
    </row>
  </sheetData>
  <mergeCells count="2">
    <mergeCell ref="A1:D1"/>
    <mergeCell ref="C5:D5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62" orientation="portrait" useFirstPageNumber="1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5"/>
  <dimension ref="A1:K25"/>
  <sheetViews>
    <sheetView showGridLines="0" showZeros="0" view="pageBreakPreview" topLeftCell="A7" zoomScaleNormal="100" workbookViewId="0">
      <selection activeCell="M20" sqref="M20"/>
    </sheetView>
  </sheetViews>
  <sheetFormatPr defaultRowHeight="27" customHeight="1"/>
  <cols>
    <col min="1" max="1" width="1.7109375" style="229" customWidth="1"/>
    <col min="2" max="2" width="12.7109375" style="229" customWidth="1"/>
    <col min="3" max="3" width="1.7109375" style="229" customWidth="1"/>
    <col min="4" max="4" width="1.7109375" style="230" customWidth="1"/>
    <col min="5" max="5" width="14.7109375" style="230" customWidth="1"/>
    <col min="6" max="6" width="1.7109375" style="230" customWidth="1"/>
    <col min="7" max="7" width="13.140625" style="229" customWidth="1"/>
    <col min="8" max="8" width="12.7109375" style="229" customWidth="1"/>
    <col min="9" max="9" width="13.7109375" style="229" customWidth="1"/>
    <col min="10" max="10" width="8.7109375" style="229" customWidth="1"/>
    <col min="11" max="11" width="12.7109375" style="231" customWidth="1"/>
    <col min="12" max="16384" width="9.140625" style="229"/>
  </cols>
  <sheetData>
    <row r="1" spans="1:11" ht="20.100000000000001" customHeight="1">
      <c r="A1" s="227" t="s">
        <v>430</v>
      </c>
      <c r="B1" s="228"/>
      <c r="J1" s="230"/>
    </row>
    <row r="2" spans="1:11" s="313" customFormat="1" ht="39.950000000000003" customHeight="1">
      <c r="A2" s="232" t="s">
        <v>118</v>
      </c>
      <c r="B2" s="232"/>
      <c r="C2" s="232"/>
      <c r="D2" s="312"/>
      <c r="E2" s="312"/>
      <c r="F2" s="312"/>
      <c r="G2" s="232"/>
      <c r="H2" s="232"/>
      <c r="I2" s="232"/>
      <c r="J2" s="232"/>
      <c r="K2" s="232"/>
    </row>
    <row r="3" spans="1:11" s="313" customFormat="1" ht="20.100000000000001" customHeight="1">
      <c r="A3" s="232"/>
      <c r="B3" s="232"/>
      <c r="C3" s="232"/>
      <c r="D3" s="312"/>
      <c r="E3" s="312"/>
      <c r="F3" s="312"/>
      <c r="G3" s="232"/>
      <c r="H3" s="232"/>
      <c r="I3" s="232"/>
      <c r="J3" s="232"/>
      <c r="K3" s="232"/>
    </row>
    <row r="4" spans="1:11" ht="20.100000000000001" customHeight="1">
      <c r="A4" s="234"/>
      <c r="B4" s="230"/>
      <c r="C4" s="230"/>
      <c r="G4" s="235"/>
      <c r="H4" s="235"/>
      <c r="I4" s="235"/>
      <c r="J4" s="104"/>
      <c r="K4" s="236" t="s">
        <v>279</v>
      </c>
    </row>
    <row r="5" spans="1:11" s="230" customFormat="1" ht="24.95" customHeight="1">
      <c r="A5" s="237"/>
      <c r="B5" s="1123" t="s">
        <v>119</v>
      </c>
      <c r="C5" s="238"/>
      <c r="D5" s="1125"/>
      <c r="E5" s="1123" t="s">
        <v>120</v>
      </c>
      <c r="F5" s="1127"/>
      <c r="G5" s="240" t="s">
        <v>121</v>
      </c>
      <c r="H5" s="240"/>
      <c r="I5" s="240"/>
      <c r="J5" s="1119" t="s">
        <v>206</v>
      </c>
      <c r="K5" s="1121" t="s">
        <v>122</v>
      </c>
    </row>
    <row r="6" spans="1:11" s="230" customFormat="1" ht="24.95" customHeight="1">
      <c r="A6" s="241"/>
      <c r="B6" s="1124"/>
      <c r="C6" s="242"/>
      <c r="D6" s="1126"/>
      <c r="E6" s="1124"/>
      <c r="F6" s="1128"/>
      <c r="G6" s="244" t="s">
        <v>123</v>
      </c>
      <c r="H6" s="244" t="s">
        <v>124</v>
      </c>
      <c r="I6" s="244" t="s">
        <v>14</v>
      </c>
      <c r="J6" s="1120"/>
      <c r="K6" s="1122"/>
    </row>
    <row r="7" spans="1:11" s="230" customFormat="1" ht="9.9499999999999993" customHeight="1">
      <c r="A7" s="245"/>
      <c r="B7" s="246"/>
      <c r="C7" s="246"/>
      <c r="D7" s="247"/>
      <c r="E7" s="246"/>
      <c r="F7" s="248"/>
      <c r="G7" s="249"/>
      <c r="H7" s="249"/>
      <c r="I7" s="249"/>
      <c r="J7" s="250"/>
      <c r="K7" s="251"/>
    </row>
    <row r="8" spans="1:11" ht="30" customHeight="1">
      <c r="A8" s="245"/>
      <c r="B8" s="230"/>
      <c r="C8" s="230"/>
      <c r="D8" s="245"/>
      <c r="F8" s="252"/>
      <c r="G8" s="250" t="s">
        <v>242</v>
      </c>
      <c r="H8" s="250" t="s">
        <v>1</v>
      </c>
      <c r="I8" s="250"/>
      <c r="J8" s="249" t="s">
        <v>243</v>
      </c>
      <c r="K8" s="251"/>
    </row>
    <row r="9" spans="1:11" ht="30" customHeight="1">
      <c r="A9" s="245"/>
      <c r="B9" s="253">
        <f>인집!B6</f>
        <v>0</v>
      </c>
      <c r="C9" s="230"/>
      <c r="D9" s="245"/>
      <c r="E9" s="254">
        <f>인집!E6</f>
        <v>0</v>
      </c>
      <c r="F9" s="252"/>
      <c r="G9" s="255">
        <f>인집!K6</f>
        <v>0</v>
      </c>
      <c r="H9" s="255">
        <f>경비집계표!E20</f>
        <v>0</v>
      </c>
      <c r="I9" s="255">
        <f t="shared" ref="I9:I18" si="0">SUM(G9:H9)</f>
        <v>0</v>
      </c>
      <c r="J9" s="256"/>
      <c r="K9" s="255">
        <f t="shared" ref="K9:K18" si="1">TRUNC(I9*J9%,0)</f>
        <v>0</v>
      </c>
    </row>
    <row r="10" spans="1:11" ht="30" customHeight="1">
      <c r="A10" s="245"/>
      <c r="B10" s="253">
        <f>인집!B7</f>
        <v>0</v>
      </c>
      <c r="C10" s="230"/>
      <c r="D10" s="245"/>
      <c r="E10" s="254">
        <f>인집!E7</f>
        <v>0</v>
      </c>
      <c r="F10" s="252"/>
      <c r="G10" s="255">
        <f>인집!K7</f>
        <v>0</v>
      </c>
      <c r="H10" s="255">
        <f>경비집계표!F20</f>
        <v>0</v>
      </c>
      <c r="I10" s="255">
        <f t="shared" si="0"/>
        <v>0</v>
      </c>
      <c r="J10" s="256">
        <f t="shared" ref="J10:J16" si="2">J9</f>
        <v>0</v>
      </c>
      <c r="K10" s="255">
        <f t="shared" si="1"/>
        <v>0</v>
      </c>
    </row>
    <row r="11" spans="1:11" ht="30" customHeight="1">
      <c r="A11" s="245"/>
      <c r="B11" s="253">
        <f>인집!B8</f>
        <v>0</v>
      </c>
      <c r="C11" s="230"/>
      <c r="D11" s="245"/>
      <c r="E11" s="254">
        <f>인집!E8</f>
        <v>0</v>
      </c>
      <c r="F11" s="252"/>
      <c r="G11" s="255">
        <f>인집!K8</f>
        <v>0</v>
      </c>
      <c r="H11" s="255">
        <f>경비집계표!G20</f>
        <v>0</v>
      </c>
      <c r="I11" s="255">
        <f t="shared" si="0"/>
        <v>0</v>
      </c>
      <c r="J11" s="256">
        <f t="shared" si="2"/>
        <v>0</v>
      </c>
      <c r="K11" s="255">
        <f t="shared" si="1"/>
        <v>0</v>
      </c>
    </row>
    <row r="12" spans="1:11" ht="30" customHeight="1">
      <c r="A12" s="245"/>
      <c r="B12" s="253">
        <f>인집!B9</f>
        <v>0</v>
      </c>
      <c r="C12" s="230"/>
      <c r="D12" s="245"/>
      <c r="E12" s="258">
        <f>인집!E9</f>
        <v>0</v>
      </c>
      <c r="F12" s="252"/>
      <c r="G12" s="255">
        <f>인집!K9</f>
        <v>0</v>
      </c>
      <c r="H12" s="255">
        <f>경비집계표!H20</f>
        <v>0</v>
      </c>
      <c r="I12" s="255">
        <f t="shared" si="0"/>
        <v>0</v>
      </c>
      <c r="J12" s="256">
        <f t="shared" si="2"/>
        <v>0</v>
      </c>
      <c r="K12" s="255">
        <f t="shared" si="1"/>
        <v>0</v>
      </c>
    </row>
    <row r="13" spans="1:11" ht="30" customHeight="1">
      <c r="A13" s="245"/>
      <c r="B13" s="253">
        <f>인집!B10</f>
        <v>0</v>
      </c>
      <c r="C13" s="230"/>
      <c r="D13" s="245"/>
      <c r="E13" s="258">
        <f>인집!E10</f>
        <v>0</v>
      </c>
      <c r="F13" s="252"/>
      <c r="G13" s="255">
        <f>인집!K10</f>
        <v>0</v>
      </c>
      <c r="H13" s="255">
        <f>경비집계표!E44</f>
        <v>0</v>
      </c>
      <c r="I13" s="255">
        <f t="shared" si="0"/>
        <v>0</v>
      </c>
      <c r="J13" s="256">
        <f t="shared" si="2"/>
        <v>0</v>
      </c>
      <c r="K13" s="255">
        <f t="shared" si="1"/>
        <v>0</v>
      </c>
    </row>
    <row r="14" spans="1:11" ht="30" customHeight="1">
      <c r="A14" s="245"/>
      <c r="B14" s="253">
        <f>인집!B11</f>
        <v>0</v>
      </c>
      <c r="C14" s="230"/>
      <c r="D14" s="245"/>
      <c r="E14" s="258">
        <f>인집!E11</f>
        <v>0</v>
      </c>
      <c r="F14" s="252"/>
      <c r="G14" s="255">
        <f>인집!K11</f>
        <v>0</v>
      </c>
      <c r="H14" s="255">
        <f>경비집계표!F44</f>
        <v>0</v>
      </c>
      <c r="I14" s="255">
        <f t="shared" si="0"/>
        <v>0</v>
      </c>
      <c r="J14" s="256">
        <f t="shared" si="2"/>
        <v>0</v>
      </c>
      <c r="K14" s="255">
        <f t="shared" si="1"/>
        <v>0</v>
      </c>
    </row>
    <row r="15" spans="1:11" ht="30" customHeight="1">
      <c r="A15" s="245"/>
      <c r="B15" s="253">
        <f>인집!B12</f>
        <v>0</v>
      </c>
      <c r="C15" s="230"/>
      <c r="D15" s="245"/>
      <c r="E15" s="258">
        <f>인집!E12</f>
        <v>0</v>
      </c>
      <c r="F15" s="252"/>
      <c r="G15" s="255">
        <f>인집!K12</f>
        <v>0</v>
      </c>
      <c r="H15" s="255">
        <f>경비집계표!G44</f>
        <v>0</v>
      </c>
      <c r="I15" s="255">
        <f t="shared" si="0"/>
        <v>0</v>
      </c>
      <c r="J15" s="256">
        <f t="shared" si="2"/>
        <v>0</v>
      </c>
      <c r="K15" s="255">
        <f t="shared" si="1"/>
        <v>0</v>
      </c>
    </row>
    <row r="16" spans="1:11" ht="30" customHeight="1">
      <c r="A16" s="245"/>
      <c r="B16" s="253">
        <f>인집!B13</f>
        <v>0</v>
      </c>
      <c r="C16" s="230"/>
      <c r="D16" s="245"/>
      <c r="E16" s="258">
        <f>인집!E13</f>
        <v>0</v>
      </c>
      <c r="F16" s="252"/>
      <c r="G16" s="255">
        <f>인집!K13</f>
        <v>0</v>
      </c>
      <c r="H16" s="255">
        <f>경비집계표!H44</f>
        <v>0</v>
      </c>
      <c r="I16" s="255">
        <f>SUM(G16:H16)</f>
        <v>0</v>
      </c>
      <c r="J16" s="256">
        <f t="shared" si="2"/>
        <v>0</v>
      </c>
      <c r="K16" s="255">
        <f>TRUNC(I16*J16%,0)</f>
        <v>0</v>
      </c>
    </row>
    <row r="17" spans="1:11" ht="30" customHeight="1">
      <c r="A17" s="245"/>
      <c r="B17" s="253" t="str">
        <f>인집!B14</f>
        <v>다산홀운영</v>
      </c>
      <c r="C17" s="230"/>
      <c r="D17" s="245"/>
      <c r="E17" s="258" t="str">
        <f>인집!E14</f>
        <v>전기기능사</v>
      </c>
      <c r="F17" s="252"/>
      <c r="G17" s="255">
        <f>인집!K14</f>
        <v>3257632</v>
      </c>
      <c r="H17" s="255">
        <f>경비집계표!E68</f>
        <v>334393</v>
      </c>
      <c r="I17" s="255">
        <f t="shared" si="0"/>
        <v>3592025</v>
      </c>
      <c r="J17" s="256">
        <v>4</v>
      </c>
      <c r="K17" s="255">
        <f t="shared" si="1"/>
        <v>143681</v>
      </c>
    </row>
    <row r="18" spans="1:11" ht="30" customHeight="1">
      <c r="A18" s="245"/>
      <c r="B18" s="253" t="str">
        <f>인집!B15</f>
        <v>운 전 원</v>
      </c>
      <c r="C18" s="230"/>
      <c r="D18" s="245"/>
      <c r="E18" s="258" t="str">
        <f>인집!E15</f>
        <v>단순노무종사원</v>
      </c>
      <c r="F18" s="252"/>
      <c r="G18" s="255">
        <f>인집!K15</f>
        <v>3059780</v>
      </c>
      <c r="H18" s="255">
        <f>경비집계표!F68</f>
        <v>314083</v>
      </c>
      <c r="I18" s="255">
        <f t="shared" si="0"/>
        <v>3373863</v>
      </c>
      <c r="J18" s="256">
        <v>4</v>
      </c>
      <c r="K18" s="255">
        <f t="shared" si="1"/>
        <v>134954</v>
      </c>
    </row>
    <row r="19" spans="1:11" ht="30" customHeight="1">
      <c r="A19" s="245"/>
      <c r="B19" s="253" t="str">
        <f>인집!B16</f>
        <v>사무보조원</v>
      </c>
      <c r="C19" s="230"/>
      <c r="D19" s="245"/>
      <c r="E19" s="258" t="str">
        <f>인집!E16</f>
        <v>단순노무종사원</v>
      </c>
      <c r="F19" s="252"/>
      <c r="G19" s="255">
        <f>인집!K16</f>
        <v>3167535</v>
      </c>
      <c r="H19" s="255">
        <f>경비집계표!G68</f>
        <v>325144</v>
      </c>
      <c r="I19" s="255">
        <f>SUM(G19:H19)</f>
        <v>3492679</v>
      </c>
      <c r="J19" s="256">
        <v>4</v>
      </c>
      <c r="K19" s="255">
        <f>TRUNC(I19*J19%,0)</f>
        <v>139707</v>
      </c>
    </row>
    <row r="20" spans="1:11" ht="9.9499999999999993" customHeight="1">
      <c r="A20" s="241"/>
      <c r="B20" s="259"/>
      <c r="C20" s="260"/>
      <c r="D20" s="241"/>
      <c r="E20" s="260"/>
      <c r="F20" s="261"/>
      <c r="G20" s="314"/>
      <c r="H20" s="314"/>
      <c r="I20" s="314"/>
      <c r="J20" s="315"/>
      <c r="K20" s="316"/>
    </row>
    <row r="21" spans="1:11" ht="24.95" customHeight="1">
      <c r="A21" s="227" t="str">
        <f>"주 1) 인건비 : "&amp;인집!A1&amp;""&amp;인집!A2&amp;" 참조"</f>
        <v>주 1) 인건비 : &lt; 표 : 3 &gt; 단위당인건비집계표 참조</v>
      </c>
      <c r="B21" s="227"/>
      <c r="J21" s="230"/>
    </row>
    <row r="22" spans="1:11" ht="24.95" customHeight="1">
      <c r="A22" s="228" t="str">
        <f>"   2) 경비 : "&amp;경비집계표!A1&amp;""&amp;경비집계표!A2&amp;" 참조"</f>
        <v xml:space="preserve">   2) 경비 : &lt; 표 : 11 &gt; 경비집계표 참조</v>
      </c>
      <c r="B22" s="227"/>
      <c r="J22" s="230"/>
    </row>
    <row r="23" spans="1:11" ht="24.95" customHeight="1">
      <c r="A23" s="227" t="str">
        <f>"   3) 비율(%) : "&amp;일반비율!A1&amp;""&amp;일반비율!A2&amp;" 참조"</f>
        <v xml:space="preserve">   3) 비율(%) : &lt; 표 : 22 &gt; 일반관리비율산출표 참조</v>
      </c>
      <c r="B23" s="228"/>
      <c r="J23" s="230"/>
    </row>
    <row r="24" spans="1:11" ht="27" customHeight="1">
      <c r="A24" s="228"/>
      <c r="B24" s="227"/>
      <c r="J24" s="230"/>
    </row>
    <row r="25" spans="1:11" ht="27" customHeight="1">
      <c r="B25" s="227"/>
    </row>
  </sheetData>
  <mergeCells count="6">
    <mergeCell ref="J5:J6"/>
    <mergeCell ref="K5:K6"/>
    <mergeCell ref="B5:B6"/>
    <mergeCell ref="D5:D6"/>
    <mergeCell ref="E5:E6"/>
    <mergeCell ref="F5:F6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90" orientation="portrait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6"/>
  <dimension ref="A1:I24"/>
  <sheetViews>
    <sheetView showGridLines="0" showZeros="0" view="pageBreakPreview" topLeftCell="A4" zoomScaleNormal="100" workbookViewId="0">
      <selection activeCell="E19" sqref="E19"/>
    </sheetView>
  </sheetViews>
  <sheetFormatPr defaultRowHeight="23.25" customHeight="1"/>
  <cols>
    <col min="1" max="1" width="1.7109375" style="266" customWidth="1"/>
    <col min="2" max="2" width="3.7109375" style="266" customWidth="1"/>
    <col min="3" max="3" width="29.7109375" style="294" customWidth="1"/>
    <col min="4" max="4" width="1.7109375" style="266" customWidth="1"/>
    <col min="5" max="5" width="15.7109375" style="305" customWidth="1"/>
    <col min="6" max="6" width="2.7109375" style="305" customWidth="1"/>
    <col min="7" max="7" width="15.7109375" style="266" customWidth="1"/>
    <col min="8" max="8" width="2.7109375" style="266" customWidth="1"/>
    <col min="9" max="9" width="21.5703125" style="266" customWidth="1"/>
    <col min="10" max="16384" width="9.140625" style="266"/>
  </cols>
  <sheetData>
    <row r="1" spans="1:9" ht="20.100000000000001" customHeight="1">
      <c r="A1" s="264" t="s">
        <v>309</v>
      </c>
      <c r="B1" s="265"/>
      <c r="C1" s="266"/>
      <c r="D1" s="265"/>
      <c r="E1" s="267"/>
      <c r="F1" s="267"/>
    </row>
    <row r="2" spans="1:9" ht="39.950000000000003" customHeight="1">
      <c r="A2" s="268" t="s">
        <v>153</v>
      </c>
      <c r="B2" s="269"/>
      <c r="C2" s="269"/>
      <c r="D2" s="269"/>
      <c r="E2" s="270"/>
      <c r="F2" s="270"/>
      <c r="G2" s="269"/>
      <c r="H2" s="269"/>
      <c r="I2" s="269"/>
    </row>
    <row r="3" spans="1:9" ht="20.100000000000001" customHeight="1">
      <c r="A3" s="271"/>
      <c r="B3" s="269"/>
      <c r="C3" s="269"/>
      <c r="D3" s="269"/>
      <c r="E3" s="270"/>
      <c r="F3" s="270"/>
      <c r="G3" s="269"/>
      <c r="H3" s="269"/>
      <c r="I3" s="269"/>
    </row>
    <row r="4" spans="1:9" ht="20.100000000000001" customHeight="1">
      <c r="A4" s="272" t="s">
        <v>523</v>
      </c>
      <c r="B4" s="273"/>
      <c r="C4" s="269"/>
      <c r="D4" s="273"/>
      <c r="E4" s="274"/>
      <c r="F4" s="274"/>
      <c r="G4" s="269"/>
      <c r="H4" s="269"/>
      <c r="I4" s="269"/>
    </row>
    <row r="5" spans="1:9" ht="50.1" customHeight="1">
      <c r="A5" s="275"/>
      <c r="B5" s="1129" t="s">
        <v>154</v>
      </c>
      <c r="C5" s="1129"/>
      <c r="D5" s="276"/>
      <c r="E5" s="599" t="s">
        <v>516</v>
      </c>
      <c r="F5" s="277"/>
      <c r="G5" s="1130" t="s">
        <v>170</v>
      </c>
      <c r="H5" s="1131"/>
      <c r="I5" s="278" t="s">
        <v>155</v>
      </c>
    </row>
    <row r="6" spans="1:9" ht="24.95" customHeight="1">
      <c r="A6" s="279"/>
      <c r="B6" s="280"/>
      <c r="C6" s="271"/>
      <c r="D6" s="281"/>
      <c r="E6" s="270"/>
      <c r="F6" s="270"/>
      <c r="G6" s="282"/>
      <c r="H6" s="283"/>
      <c r="I6" s="284"/>
    </row>
    <row r="7" spans="1:9" ht="24.95" customHeight="1">
      <c r="A7" s="285"/>
      <c r="B7" s="286" t="s">
        <v>156</v>
      </c>
      <c r="C7" s="287" t="s">
        <v>138</v>
      </c>
      <c r="D7" s="288"/>
      <c r="E7" s="289"/>
      <c r="F7" s="289"/>
      <c r="G7" s="290">
        <f>기업!F7</f>
        <v>5197245</v>
      </c>
      <c r="H7" s="291"/>
      <c r="I7" s="292" t="s">
        <v>157</v>
      </c>
    </row>
    <row r="8" spans="1:9" ht="24.95" customHeight="1">
      <c r="A8" s="285"/>
      <c r="B8" s="286" t="s">
        <v>158</v>
      </c>
      <c r="C8" s="287" t="s">
        <v>159</v>
      </c>
      <c r="D8" s="288"/>
      <c r="E8" s="290"/>
      <c r="F8" s="289"/>
      <c r="G8" s="290">
        <f>G9-G10</f>
        <v>10489491</v>
      </c>
      <c r="H8" s="291"/>
      <c r="I8" s="292"/>
    </row>
    <row r="9" spans="1:9" ht="24.95" customHeight="1">
      <c r="A9" s="285"/>
      <c r="B9" s="293" t="s">
        <v>125</v>
      </c>
      <c r="C9" s="287" t="s">
        <v>139</v>
      </c>
      <c r="D9" s="288"/>
      <c r="E9" s="289"/>
      <c r="F9" s="289"/>
      <c r="G9" s="290">
        <f>기업!F9</f>
        <v>13228114</v>
      </c>
      <c r="H9" s="291"/>
      <c r="I9" s="292"/>
    </row>
    <row r="10" spans="1:9" ht="24.95" customHeight="1">
      <c r="A10" s="285"/>
      <c r="B10" s="293" t="s">
        <v>125</v>
      </c>
      <c r="C10" s="287" t="s">
        <v>160</v>
      </c>
      <c r="D10" s="288"/>
      <c r="E10" s="289"/>
      <c r="F10" s="289"/>
      <c r="G10" s="290">
        <f>SUM(G11:G16)</f>
        <v>2738623</v>
      </c>
      <c r="H10" s="291"/>
      <c r="I10" s="292"/>
    </row>
    <row r="11" spans="1:9" ht="24.95" customHeight="1">
      <c r="A11" s="285"/>
      <c r="B11" s="293"/>
      <c r="C11" s="294" t="s">
        <v>161</v>
      </c>
      <c r="D11" s="288"/>
      <c r="E11" s="289"/>
      <c r="F11" s="289"/>
      <c r="G11" s="290">
        <f>기업!F17</f>
        <v>134225</v>
      </c>
      <c r="H11" s="291"/>
      <c r="I11" s="292"/>
    </row>
    <row r="12" spans="1:9" ht="24.95" customHeight="1">
      <c r="A12" s="285"/>
      <c r="B12" s="293"/>
      <c r="C12" s="294" t="s">
        <v>162</v>
      </c>
      <c r="D12" s="288"/>
      <c r="E12" s="289"/>
      <c r="F12" s="289"/>
      <c r="G12" s="290">
        <f>기업!F18</f>
        <v>161745</v>
      </c>
      <c r="H12" s="291"/>
      <c r="I12" s="292"/>
    </row>
    <row r="13" spans="1:9" ht="24.95" customHeight="1">
      <c r="A13" s="285"/>
      <c r="B13" s="293"/>
      <c r="C13" s="294" t="s">
        <v>163</v>
      </c>
      <c r="D13" s="288"/>
      <c r="E13" s="289"/>
      <c r="F13" s="289"/>
      <c r="G13" s="290">
        <f>기업!F21</f>
        <v>72006</v>
      </c>
      <c r="H13" s="291"/>
      <c r="I13" s="292"/>
    </row>
    <row r="14" spans="1:9" ht="24.95" customHeight="1">
      <c r="A14" s="285"/>
      <c r="B14" s="293"/>
      <c r="C14" s="294" t="s">
        <v>164</v>
      </c>
      <c r="D14" s="288"/>
      <c r="E14" s="289"/>
      <c r="F14" s="289"/>
      <c r="G14" s="290">
        <f>기업!F22</f>
        <v>58681</v>
      </c>
      <c r="H14" s="291"/>
      <c r="I14" s="292"/>
    </row>
    <row r="15" spans="1:9" ht="24.95" customHeight="1">
      <c r="A15" s="285"/>
      <c r="B15" s="293"/>
      <c r="C15" s="294" t="s">
        <v>165</v>
      </c>
      <c r="D15" s="288"/>
      <c r="E15" s="289"/>
      <c r="F15" s="289"/>
      <c r="G15" s="290">
        <f>기업!F23</f>
        <v>17916</v>
      </c>
      <c r="H15" s="291"/>
      <c r="I15" s="292"/>
    </row>
    <row r="16" spans="1:9" ht="24.95" customHeight="1">
      <c r="A16" s="285"/>
      <c r="B16" s="293"/>
      <c r="C16" s="294" t="s">
        <v>166</v>
      </c>
      <c r="D16" s="288"/>
      <c r="E16" s="289"/>
      <c r="F16" s="289"/>
      <c r="G16" s="290">
        <f>기업!F26</f>
        <v>2294050</v>
      </c>
      <c r="H16" s="291"/>
      <c r="I16" s="292"/>
    </row>
    <row r="17" spans="1:9" ht="24.95" customHeight="1">
      <c r="A17" s="285"/>
      <c r="B17" s="293"/>
      <c r="D17" s="288"/>
      <c r="E17" s="289"/>
      <c r="F17" s="289"/>
      <c r="G17" s="295"/>
      <c r="H17" s="288"/>
      <c r="I17" s="292"/>
    </row>
    <row r="18" spans="1:9" ht="45" customHeight="1">
      <c r="A18" s="296"/>
      <c r="B18" s="297" t="s">
        <v>167</v>
      </c>
      <c r="C18" s="298" t="s">
        <v>168</v>
      </c>
      <c r="D18" s="299"/>
      <c r="E18" s="300">
        <v>3</v>
      </c>
      <c r="F18" s="301"/>
      <c r="G18" s="300">
        <f>TRUNC(G8/G7*100,2)</f>
        <v>201.82</v>
      </c>
      <c r="H18" s="302"/>
      <c r="I18" s="303" t="s">
        <v>169</v>
      </c>
    </row>
    <row r="19" spans="1:9" ht="24.95" customHeight="1">
      <c r="A19" s="304" t="str">
        <f>"주 1) 금액 : "&amp;기업!A1&amp;기업!A2&amp;" 참조"</f>
        <v>주 1) 금액 : &lt; 표 : 25 &gt; 기업경영분석자료 참조</v>
      </c>
      <c r="B19" s="304"/>
      <c r="C19" s="264"/>
      <c r="D19" s="265"/>
      <c r="E19" s="267"/>
      <c r="F19" s="267"/>
    </row>
    <row r="20" spans="1:9" ht="24.95" customHeight="1">
      <c r="A20" s="264" t="s">
        <v>230</v>
      </c>
      <c r="B20" s="304"/>
    </row>
    <row r="21" spans="1:9" ht="24.95" customHeight="1">
      <c r="A21" s="306" t="s">
        <v>231</v>
      </c>
      <c r="B21" s="306"/>
      <c r="C21" s="307"/>
    </row>
    <row r="22" spans="1:9" s="310" customFormat="1" ht="24.95" customHeight="1">
      <c r="A22" s="308" t="str">
        <f>"   행정안전부예규에 의한 '용역 및 서비스업'의 일반관리비율 적용 한도율은 "&amp;E18&amp;"%이며, 기업경영"</f>
        <v xml:space="preserve">   행정안전부예규에 의한 '용역 및 서비스업'의 일반관리비율 적용 한도율은 3%이며, 기업경영</v>
      </c>
      <c r="B22" s="309"/>
      <c r="C22" s="309"/>
    </row>
    <row r="23" spans="1:9" s="310" customFormat="1" ht="24.95" customHeight="1">
      <c r="A23" s="308" t="str">
        <f>"   분석자료 비율은 "&amp;G18&amp;"%로 발생되어 본 원가산출시 적용 일반관리비율은 "&amp;MIN(E18:G18)&amp;"%를 적용하였다."</f>
        <v xml:space="preserve">   분석자료 비율은 201.82%로 발생되어 본 원가산출시 적용 일반관리비율은 3%를 적용하였다.</v>
      </c>
      <c r="B23" s="308"/>
      <c r="C23" s="308"/>
    </row>
    <row r="24" spans="1:9" ht="23.25" customHeight="1">
      <c r="A24" s="306"/>
      <c r="B24" s="311"/>
      <c r="C24" s="306"/>
    </row>
  </sheetData>
  <mergeCells count="2">
    <mergeCell ref="B5:C5"/>
    <mergeCell ref="G5:H5"/>
  </mergeCells>
  <phoneticPr fontId="5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C000"/>
  </sheetPr>
  <dimension ref="A1:D17"/>
  <sheetViews>
    <sheetView showGridLines="0" showZeros="0" view="pageBreakPreview" zoomScale="85" zoomScaleNormal="60" zoomScaleSheetLayoutView="85" workbookViewId="0">
      <selection sqref="A1:D1"/>
    </sheetView>
  </sheetViews>
  <sheetFormatPr defaultColWidth="8.140625" defaultRowHeight="30" customHeight="1"/>
  <cols>
    <col min="1" max="1" width="11.5703125" style="86" customWidth="1"/>
    <col min="2" max="2" width="24.5703125" style="86" customWidth="1"/>
    <col min="3" max="3" width="15.85546875" style="86" bestFit="1" customWidth="1"/>
    <col min="4" max="4" width="42.5703125" style="86" customWidth="1"/>
    <col min="5" max="16384" width="8.140625" style="86"/>
  </cols>
  <sheetData>
    <row r="1" spans="1:4" ht="39.950000000000003" customHeight="1">
      <c r="A1" s="1003" t="str">
        <f>간지!$A$1</f>
        <v>[ 경기문화재단 2017년도 파견용역 ]</v>
      </c>
      <c r="B1" s="1003"/>
      <c r="C1" s="1003"/>
      <c r="D1" s="1003"/>
    </row>
    <row r="2" spans="1:4" s="89" customFormat="1" ht="30" customHeight="1">
      <c r="A2" s="87"/>
      <c r="B2" s="88"/>
      <c r="C2" s="88"/>
      <c r="D2" s="88"/>
    </row>
    <row r="3" spans="1:4" s="91" customFormat="1" ht="30" customHeight="1">
      <c r="A3" s="90"/>
      <c r="B3" s="90"/>
      <c r="C3" s="90"/>
      <c r="D3" s="90"/>
    </row>
    <row r="4" spans="1:4" ht="30" customHeight="1">
      <c r="A4" s="90"/>
      <c r="B4" s="93"/>
      <c r="C4" s="93"/>
      <c r="D4" s="93"/>
    </row>
    <row r="5" spans="1:4" ht="39.950000000000003" customHeight="1">
      <c r="A5" s="94"/>
      <c r="B5" s="95"/>
      <c r="C5" s="1004" t="s">
        <v>502</v>
      </c>
      <c r="D5" s="1004"/>
    </row>
    <row r="6" spans="1:4" ht="41.25" customHeight="1">
      <c r="A6" s="94"/>
      <c r="B6" s="95"/>
      <c r="C6" s="96"/>
      <c r="D6" s="99"/>
    </row>
    <row r="7" spans="1:4" ht="41.25" customHeight="1">
      <c r="A7" s="94"/>
      <c r="B7" s="95"/>
      <c r="C7" s="100" t="s">
        <v>503</v>
      </c>
      <c r="D7" s="101" t="str">
        <f>이윤!A2</f>
        <v>이윤산출표</v>
      </c>
    </row>
    <row r="8" spans="1:4" ht="41.25" customHeight="1">
      <c r="A8" s="94"/>
      <c r="B8" s="95"/>
      <c r="C8" s="100" t="s">
        <v>458</v>
      </c>
      <c r="D8" s="101" t="str">
        <f>이윤율!A2</f>
        <v>이윤비율표</v>
      </c>
    </row>
    <row r="9" spans="1:4" ht="41.25" customHeight="1">
      <c r="A9" s="94"/>
      <c r="B9" s="95"/>
      <c r="C9" s="100"/>
      <c r="D9" s="101"/>
    </row>
    <row r="10" spans="1:4" ht="41.25" customHeight="1">
      <c r="A10" s="94"/>
      <c r="B10" s="95"/>
      <c r="C10" s="100"/>
      <c r="D10" s="101"/>
    </row>
    <row r="11" spans="1:4" ht="41.25" customHeight="1">
      <c r="A11" s="94"/>
      <c r="B11" s="95"/>
      <c r="C11" s="100"/>
      <c r="D11" s="101"/>
    </row>
    <row r="12" spans="1:4" ht="59.25" customHeight="1">
      <c r="A12" s="94"/>
      <c r="B12" s="95"/>
      <c r="C12" s="100"/>
      <c r="D12" s="101"/>
    </row>
    <row r="13" spans="1:4" ht="41.25" customHeight="1">
      <c r="A13" s="94"/>
      <c r="B13" s="95"/>
      <c r="C13" s="100"/>
      <c r="D13" s="101"/>
    </row>
    <row r="14" spans="1:4" ht="41.25" customHeight="1">
      <c r="A14" s="94"/>
      <c r="B14" s="95"/>
      <c r="C14" s="100"/>
      <c r="D14" s="101"/>
    </row>
    <row r="15" spans="1:4" ht="41.25" customHeight="1">
      <c r="A15" s="94"/>
      <c r="B15" s="95"/>
      <c r="C15" s="100"/>
      <c r="D15" s="101"/>
    </row>
    <row r="16" spans="1:4" ht="41.25" customHeight="1">
      <c r="A16" s="94"/>
      <c r="B16" s="95"/>
      <c r="C16" s="102"/>
      <c r="D16" s="103"/>
    </row>
    <row r="17" spans="1:4" ht="39.950000000000003" customHeight="1">
      <c r="A17" s="98"/>
      <c r="B17" s="98"/>
      <c r="C17" s="98"/>
      <c r="D17" s="98"/>
    </row>
  </sheetData>
  <mergeCells count="2">
    <mergeCell ref="A1:D1"/>
    <mergeCell ref="C5:D5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65" orientation="portrait" useFirstPageNumber="1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7"/>
  <dimension ref="A1:L26"/>
  <sheetViews>
    <sheetView showGridLines="0" showZeros="0" view="pageBreakPreview" topLeftCell="A10" zoomScaleNormal="100" workbookViewId="0">
      <selection activeCell="K10" sqref="K10"/>
    </sheetView>
  </sheetViews>
  <sheetFormatPr defaultRowHeight="27" customHeight="1"/>
  <cols>
    <col min="1" max="1" width="1.7109375" style="229" customWidth="1"/>
    <col min="2" max="2" width="12.140625" style="229" customWidth="1"/>
    <col min="3" max="3" width="1.7109375" style="229" customWidth="1"/>
    <col min="4" max="4" width="0.85546875" style="229" customWidth="1"/>
    <col min="5" max="5" width="14.7109375" style="229" customWidth="1"/>
    <col min="6" max="6" width="0.85546875" style="229" customWidth="1"/>
    <col min="7" max="7" width="11.7109375" style="229" customWidth="1"/>
    <col min="8" max="9" width="10.7109375" style="229" customWidth="1"/>
    <col min="10" max="10" width="11.7109375" style="229" customWidth="1"/>
    <col min="11" max="11" width="7.7109375" style="229" customWidth="1"/>
    <col min="12" max="12" width="10.7109375" style="231" customWidth="1"/>
    <col min="13" max="16384" width="9.140625" style="229"/>
  </cols>
  <sheetData>
    <row r="1" spans="1:12" ht="20.100000000000001" customHeight="1">
      <c r="A1" s="227" t="s">
        <v>493</v>
      </c>
      <c r="B1" s="228"/>
      <c r="K1" s="230"/>
    </row>
    <row r="2" spans="1:12" ht="39.950000000000003" customHeight="1">
      <c r="A2" s="232" t="s">
        <v>140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2" ht="20.100000000000001" customHeight="1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4" spans="1:12" ht="20.100000000000001" customHeight="1">
      <c r="A4" s="234"/>
      <c r="B4" s="230"/>
      <c r="C4" s="230"/>
      <c r="D4" s="230"/>
      <c r="E4" s="230"/>
      <c r="F4" s="230"/>
      <c r="G4" s="235"/>
      <c r="H4" s="235"/>
      <c r="I4" s="235"/>
      <c r="J4" s="235"/>
      <c r="K4" s="104"/>
      <c r="L4" s="236" t="s">
        <v>279</v>
      </c>
    </row>
    <row r="5" spans="1:12" s="230" customFormat="1" ht="24.95" customHeight="1">
      <c r="A5" s="237"/>
      <c r="B5" s="1123" t="s">
        <v>141</v>
      </c>
      <c r="C5" s="238"/>
      <c r="D5" s="1125"/>
      <c r="E5" s="1123" t="s">
        <v>142</v>
      </c>
      <c r="F5" s="239"/>
      <c r="G5" s="240" t="s">
        <v>143</v>
      </c>
      <c r="H5" s="240"/>
      <c r="I5" s="240"/>
      <c r="J5" s="240"/>
      <c r="K5" s="1119" t="s">
        <v>206</v>
      </c>
      <c r="L5" s="1121" t="s">
        <v>144</v>
      </c>
    </row>
    <row r="6" spans="1:12" s="230" customFormat="1" ht="24.95" customHeight="1">
      <c r="A6" s="241"/>
      <c r="B6" s="1124"/>
      <c r="C6" s="242"/>
      <c r="D6" s="1126"/>
      <c r="E6" s="1124"/>
      <c r="F6" s="243"/>
      <c r="G6" s="244" t="s">
        <v>145</v>
      </c>
      <c r="H6" s="244" t="s">
        <v>146</v>
      </c>
      <c r="I6" s="244" t="s">
        <v>147</v>
      </c>
      <c r="J6" s="244" t="s">
        <v>148</v>
      </c>
      <c r="K6" s="1120"/>
      <c r="L6" s="1122"/>
    </row>
    <row r="7" spans="1:12" s="230" customFormat="1" ht="9.9499999999999993" customHeight="1">
      <c r="A7" s="245"/>
      <c r="B7" s="246"/>
      <c r="C7" s="246"/>
      <c r="D7" s="247"/>
      <c r="E7" s="246"/>
      <c r="F7" s="248"/>
      <c r="G7" s="249"/>
      <c r="H7" s="249"/>
      <c r="I7" s="249"/>
      <c r="J7" s="249"/>
      <c r="K7" s="250"/>
      <c r="L7" s="251"/>
    </row>
    <row r="8" spans="1:12" ht="30" customHeight="1">
      <c r="A8" s="245"/>
      <c r="B8" s="230"/>
      <c r="C8" s="230"/>
      <c r="D8" s="245"/>
      <c r="E8" s="230"/>
      <c r="F8" s="252"/>
      <c r="G8" s="250" t="s">
        <v>149</v>
      </c>
      <c r="H8" s="250" t="s">
        <v>150</v>
      </c>
      <c r="I8" s="250" t="s">
        <v>151</v>
      </c>
      <c r="J8" s="250"/>
      <c r="K8" s="249" t="s">
        <v>152</v>
      </c>
      <c r="L8" s="251"/>
    </row>
    <row r="9" spans="1:12" ht="30" customHeight="1">
      <c r="A9" s="245"/>
      <c r="B9" s="253">
        <f>일반!B9</f>
        <v>0</v>
      </c>
      <c r="C9" s="230"/>
      <c r="D9" s="245"/>
      <c r="E9" s="254">
        <f>일반!E9</f>
        <v>0</v>
      </c>
      <c r="F9" s="252"/>
      <c r="G9" s="255">
        <f>일반!G9</f>
        <v>0</v>
      </c>
      <c r="H9" s="255">
        <f>일반!H9</f>
        <v>0</v>
      </c>
      <c r="I9" s="255">
        <f>일반!K9</f>
        <v>0</v>
      </c>
      <c r="J9" s="255">
        <f t="shared" ref="J9:J18" si="0">SUM(G9:I9)</f>
        <v>0</v>
      </c>
      <c r="K9" s="256">
        <v>6</v>
      </c>
      <c r="L9" s="255">
        <f t="shared" ref="L9:L18" si="1">TRUNC(J9*K9%,0)</f>
        <v>0</v>
      </c>
    </row>
    <row r="10" spans="1:12" ht="30" customHeight="1">
      <c r="A10" s="245"/>
      <c r="B10" s="253">
        <f>일반!B10</f>
        <v>0</v>
      </c>
      <c r="C10" s="230"/>
      <c r="D10" s="245"/>
      <c r="E10" s="254">
        <f>일반!E10</f>
        <v>0</v>
      </c>
      <c r="F10" s="252"/>
      <c r="G10" s="255">
        <f>일반!G10</f>
        <v>0</v>
      </c>
      <c r="H10" s="255">
        <f>일반!H10</f>
        <v>0</v>
      </c>
      <c r="I10" s="255">
        <f>일반!K10</f>
        <v>0</v>
      </c>
      <c r="J10" s="255">
        <f t="shared" si="0"/>
        <v>0</v>
      </c>
      <c r="K10" s="257">
        <f>K9</f>
        <v>6</v>
      </c>
      <c r="L10" s="255">
        <f t="shared" si="1"/>
        <v>0</v>
      </c>
    </row>
    <row r="11" spans="1:12" ht="30" customHeight="1">
      <c r="A11" s="245"/>
      <c r="B11" s="253">
        <f>일반!B11</f>
        <v>0</v>
      </c>
      <c r="C11" s="230"/>
      <c r="D11" s="245"/>
      <c r="E11" s="254">
        <f>일반!E11</f>
        <v>0</v>
      </c>
      <c r="F11" s="252"/>
      <c r="G11" s="255">
        <f>일반!G11</f>
        <v>0</v>
      </c>
      <c r="H11" s="255">
        <f>일반!H11</f>
        <v>0</v>
      </c>
      <c r="I11" s="255">
        <f>일반!K11</f>
        <v>0</v>
      </c>
      <c r="J11" s="255">
        <f t="shared" si="0"/>
        <v>0</v>
      </c>
      <c r="K11" s="257">
        <f t="shared" ref="K11:K19" si="2">K10</f>
        <v>6</v>
      </c>
      <c r="L11" s="255">
        <f t="shared" si="1"/>
        <v>0</v>
      </c>
    </row>
    <row r="12" spans="1:12" ht="30" customHeight="1">
      <c r="A12" s="245"/>
      <c r="B12" s="253">
        <f>일반!B12</f>
        <v>0</v>
      </c>
      <c r="C12" s="230"/>
      <c r="D12" s="245"/>
      <c r="E12" s="258">
        <f>일반!E12</f>
        <v>0</v>
      </c>
      <c r="F12" s="252"/>
      <c r="G12" s="255">
        <f>일반!G12</f>
        <v>0</v>
      </c>
      <c r="H12" s="255">
        <f>일반!H12</f>
        <v>0</v>
      </c>
      <c r="I12" s="255">
        <f>일반!K12</f>
        <v>0</v>
      </c>
      <c r="J12" s="255">
        <f t="shared" si="0"/>
        <v>0</v>
      </c>
      <c r="K12" s="257">
        <f t="shared" si="2"/>
        <v>6</v>
      </c>
      <c r="L12" s="255">
        <f t="shared" si="1"/>
        <v>0</v>
      </c>
    </row>
    <row r="13" spans="1:12" ht="30" customHeight="1">
      <c r="A13" s="245"/>
      <c r="B13" s="253">
        <f>일반!B13</f>
        <v>0</v>
      </c>
      <c r="C13" s="230"/>
      <c r="D13" s="245"/>
      <c r="E13" s="258">
        <f>일반!E13</f>
        <v>0</v>
      </c>
      <c r="F13" s="252"/>
      <c r="G13" s="255">
        <f>일반!G13</f>
        <v>0</v>
      </c>
      <c r="H13" s="255">
        <f>일반!H13</f>
        <v>0</v>
      </c>
      <c r="I13" s="255">
        <f>일반!K13</f>
        <v>0</v>
      </c>
      <c r="J13" s="255">
        <f t="shared" si="0"/>
        <v>0</v>
      </c>
      <c r="K13" s="257">
        <f t="shared" si="2"/>
        <v>6</v>
      </c>
      <c r="L13" s="255">
        <f t="shared" si="1"/>
        <v>0</v>
      </c>
    </row>
    <row r="14" spans="1:12" ht="30" customHeight="1">
      <c r="A14" s="245"/>
      <c r="B14" s="253">
        <f>일반!B14</f>
        <v>0</v>
      </c>
      <c r="C14" s="230"/>
      <c r="D14" s="245"/>
      <c r="E14" s="258">
        <f>일반!E14</f>
        <v>0</v>
      </c>
      <c r="F14" s="252"/>
      <c r="G14" s="255">
        <f>일반!G14</f>
        <v>0</v>
      </c>
      <c r="H14" s="255">
        <f>일반!H14</f>
        <v>0</v>
      </c>
      <c r="I14" s="255">
        <f>일반!K14</f>
        <v>0</v>
      </c>
      <c r="J14" s="255">
        <f t="shared" si="0"/>
        <v>0</v>
      </c>
      <c r="K14" s="257">
        <f t="shared" si="2"/>
        <v>6</v>
      </c>
      <c r="L14" s="255">
        <f t="shared" si="1"/>
        <v>0</v>
      </c>
    </row>
    <row r="15" spans="1:12" ht="30" customHeight="1">
      <c r="A15" s="245"/>
      <c r="B15" s="253">
        <f>일반!B15</f>
        <v>0</v>
      </c>
      <c r="C15" s="230"/>
      <c r="D15" s="245"/>
      <c r="E15" s="258">
        <f>일반!E15</f>
        <v>0</v>
      </c>
      <c r="F15" s="252"/>
      <c r="G15" s="255">
        <f>일반!G15</f>
        <v>0</v>
      </c>
      <c r="H15" s="255">
        <f>일반!H15</f>
        <v>0</v>
      </c>
      <c r="I15" s="255">
        <f>일반!K15</f>
        <v>0</v>
      </c>
      <c r="J15" s="255">
        <f t="shared" si="0"/>
        <v>0</v>
      </c>
      <c r="K15" s="257">
        <f t="shared" si="2"/>
        <v>6</v>
      </c>
      <c r="L15" s="255">
        <f t="shared" si="1"/>
        <v>0</v>
      </c>
    </row>
    <row r="16" spans="1:12" ht="30" customHeight="1">
      <c r="A16" s="245"/>
      <c r="B16" s="253">
        <f>일반!B16</f>
        <v>0</v>
      </c>
      <c r="C16" s="230"/>
      <c r="D16" s="245"/>
      <c r="E16" s="258">
        <f>일반!E16</f>
        <v>0</v>
      </c>
      <c r="F16" s="252"/>
      <c r="G16" s="255">
        <f>일반!G16</f>
        <v>0</v>
      </c>
      <c r="H16" s="255">
        <f>일반!H16</f>
        <v>0</v>
      </c>
      <c r="I16" s="255">
        <f>일반!K16</f>
        <v>0</v>
      </c>
      <c r="J16" s="255">
        <f>SUM(G16:I16)</f>
        <v>0</v>
      </c>
      <c r="K16" s="257">
        <f t="shared" si="2"/>
        <v>6</v>
      </c>
      <c r="L16" s="255">
        <f>TRUNC(J16*K16%,0)</f>
        <v>0</v>
      </c>
    </row>
    <row r="17" spans="1:12" ht="30" customHeight="1">
      <c r="A17" s="245"/>
      <c r="B17" s="253" t="str">
        <f>일반!B17</f>
        <v>다산홀운영</v>
      </c>
      <c r="C17" s="230"/>
      <c r="D17" s="245"/>
      <c r="E17" s="258" t="str">
        <f>일반!E17</f>
        <v>전기기능사</v>
      </c>
      <c r="F17" s="252"/>
      <c r="G17" s="255">
        <f>일반!G17</f>
        <v>3257632</v>
      </c>
      <c r="H17" s="255">
        <f>일반!H17</f>
        <v>334393</v>
      </c>
      <c r="I17" s="255">
        <f>일반!K17</f>
        <v>143681</v>
      </c>
      <c r="J17" s="255">
        <f t="shared" si="0"/>
        <v>3735706</v>
      </c>
      <c r="K17" s="257">
        <f>K15</f>
        <v>6</v>
      </c>
      <c r="L17" s="255">
        <f t="shared" si="1"/>
        <v>224142</v>
      </c>
    </row>
    <row r="18" spans="1:12" ht="30" customHeight="1">
      <c r="A18" s="245"/>
      <c r="B18" s="253" t="str">
        <f>일반!B18</f>
        <v>운 전 원</v>
      </c>
      <c r="C18" s="230"/>
      <c r="D18" s="245"/>
      <c r="E18" s="258" t="str">
        <f>일반!E18</f>
        <v>단순노무종사원</v>
      </c>
      <c r="F18" s="252"/>
      <c r="G18" s="255">
        <f>일반!G18</f>
        <v>3059780</v>
      </c>
      <c r="H18" s="255">
        <f>일반!H18</f>
        <v>314083</v>
      </c>
      <c r="I18" s="255">
        <f>일반!K18</f>
        <v>134954</v>
      </c>
      <c r="J18" s="255">
        <f t="shared" si="0"/>
        <v>3508817</v>
      </c>
      <c r="K18" s="257">
        <f t="shared" si="2"/>
        <v>6</v>
      </c>
      <c r="L18" s="255">
        <f t="shared" si="1"/>
        <v>210529</v>
      </c>
    </row>
    <row r="19" spans="1:12" ht="30" customHeight="1">
      <c r="A19" s="245"/>
      <c r="B19" s="253" t="str">
        <f>일반!B19</f>
        <v>사무보조원</v>
      </c>
      <c r="C19" s="230"/>
      <c r="D19" s="245"/>
      <c r="E19" s="258" t="str">
        <f>일반!E19</f>
        <v>단순노무종사원</v>
      </c>
      <c r="F19" s="252"/>
      <c r="G19" s="255">
        <f>일반!G19</f>
        <v>3167535</v>
      </c>
      <c r="H19" s="255">
        <f>일반!H19</f>
        <v>325144</v>
      </c>
      <c r="I19" s="255">
        <f>일반!K19</f>
        <v>139707</v>
      </c>
      <c r="J19" s="255">
        <f>SUM(G19:I19)</f>
        <v>3632386</v>
      </c>
      <c r="K19" s="257">
        <f t="shared" si="2"/>
        <v>6</v>
      </c>
      <c r="L19" s="255">
        <f>TRUNC(J19*K19%,0)</f>
        <v>217943</v>
      </c>
    </row>
    <row r="20" spans="1:12" ht="9.9499999999999993" customHeight="1">
      <c r="A20" s="241"/>
      <c r="B20" s="259"/>
      <c r="C20" s="260"/>
      <c r="D20" s="241"/>
      <c r="E20" s="260"/>
      <c r="F20" s="261"/>
      <c r="G20" s="262"/>
      <c r="H20" s="262"/>
      <c r="I20" s="262"/>
      <c r="J20" s="262"/>
      <c r="K20" s="242"/>
      <c r="L20" s="263"/>
    </row>
    <row r="21" spans="1:12" ht="24.95" customHeight="1">
      <c r="A21" s="227" t="str">
        <f>"주 1) 인건비 : "&amp;인집!A1&amp;인집!A2&amp;" 참조"</f>
        <v>주 1) 인건비 : &lt; 표 : 3 &gt; 단위당인건비집계표 참조</v>
      </c>
      <c r="B21" s="227"/>
      <c r="K21" s="230"/>
    </row>
    <row r="22" spans="1:12" ht="24.95" customHeight="1">
      <c r="A22" s="228" t="str">
        <f>"   2) 경비 : "&amp;경비집계표!A1&amp;" "&amp;경비집계표!A2&amp;" 참조"</f>
        <v xml:space="preserve">   2) 경비 : &lt; 표 : 11 &gt;  경비집계표 참조</v>
      </c>
      <c r="B22" s="227"/>
      <c r="K22" s="230"/>
    </row>
    <row r="23" spans="1:12" ht="24.95" customHeight="1">
      <c r="A23" s="227" t="str">
        <f>"   3) 일반관리비 : "&amp;일반!A1&amp;일반!A2&amp;" 참조"</f>
        <v xml:space="preserve">   3) 일반관리비 : &lt; 표 : 21 &gt; 일반관리비산출표 참조</v>
      </c>
      <c r="B23" s="227"/>
      <c r="K23" s="230"/>
    </row>
    <row r="24" spans="1:12" ht="24.95" customHeight="1">
      <c r="A24" s="227" t="str">
        <f>"   4) 비율(%) : "&amp;이윤율!A1&amp;이윤율!A2&amp;" 참조"</f>
        <v xml:space="preserve">   4) 비율(%) : &lt; 표 : 24 &gt; 이윤비율표 참조</v>
      </c>
      <c r="B24" s="228"/>
      <c r="K24" s="230"/>
    </row>
    <row r="25" spans="1:12" ht="27" customHeight="1">
      <c r="A25" s="228"/>
      <c r="B25" s="227"/>
      <c r="K25" s="230"/>
    </row>
    <row r="26" spans="1:12" ht="27" customHeight="1">
      <c r="B26" s="227"/>
    </row>
  </sheetData>
  <mergeCells count="5">
    <mergeCell ref="L5:L6"/>
    <mergeCell ref="B5:B6"/>
    <mergeCell ref="D5:D6"/>
    <mergeCell ref="E5:E6"/>
    <mergeCell ref="K5:K6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93" orientation="portrait" r:id="rId1"/>
  <headerFooter alignWithMargins="0"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8"/>
  <dimension ref="A1:G13"/>
  <sheetViews>
    <sheetView showGridLines="0" showZeros="0" view="pageBreakPreview" zoomScaleNormal="100" workbookViewId="0">
      <selection activeCell="E9" sqref="E9"/>
    </sheetView>
  </sheetViews>
  <sheetFormatPr defaultColWidth="11.42578125" defaultRowHeight="12"/>
  <cols>
    <col min="1" max="1" width="5.7109375" style="204" customWidth="1"/>
    <col min="2" max="2" width="25.7109375" style="204" customWidth="1"/>
    <col min="3" max="3" width="5.7109375" style="204" customWidth="1"/>
    <col min="4" max="5" width="17.7109375" style="204" customWidth="1"/>
    <col min="6" max="6" width="22.7109375" style="204" customWidth="1"/>
    <col min="7" max="16384" width="11.42578125" style="204"/>
  </cols>
  <sheetData>
    <row r="1" spans="1:7" ht="20.100000000000001" customHeight="1">
      <c r="A1" s="203" t="s">
        <v>494</v>
      </c>
    </row>
    <row r="2" spans="1:7" s="208" customFormat="1" ht="39.950000000000003" customHeight="1">
      <c r="A2" s="205" t="s">
        <v>126</v>
      </c>
      <c r="B2" s="206"/>
      <c r="C2" s="206"/>
      <c r="D2" s="206"/>
      <c r="E2" s="206"/>
      <c r="F2" s="206"/>
      <c r="G2" s="207"/>
    </row>
    <row r="3" spans="1:7" s="208" customFormat="1" ht="20.100000000000001" customHeight="1">
      <c r="A3" s="205"/>
      <c r="B3" s="206"/>
      <c r="C3" s="206"/>
      <c r="D3" s="206"/>
      <c r="E3" s="206"/>
      <c r="F3" s="206"/>
    </row>
    <row r="4" spans="1:7" ht="20.100000000000001" customHeight="1"/>
    <row r="5" spans="1:7" ht="50.1" customHeight="1">
      <c r="A5" s="209"/>
      <c r="B5" s="210" t="s">
        <v>127</v>
      </c>
      <c r="C5" s="211"/>
      <c r="D5" s="212" t="s">
        <v>514</v>
      </c>
      <c r="E5" s="212" t="s">
        <v>128</v>
      </c>
      <c r="F5" s="213" t="s">
        <v>129</v>
      </c>
    </row>
    <row r="6" spans="1:7" ht="20.100000000000001" customHeight="1">
      <c r="A6" s="214"/>
      <c r="B6" s="215"/>
      <c r="C6" s="216"/>
      <c r="D6" s="217"/>
      <c r="E6" s="217"/>
      <c r="F6" s="217"/>
    </row>
    <row r="7" spans="1:7" ht="60" customHeight="1">
      <c r="A7" s="218"/>
      <c r="B7" s="219" t="s">
        <v>130</v>
      </c>
      <c r="C7" s="217"/>
      <c r="D7" s="220">
        <v>15</v>
      </c>
      <c r="E7" s="220"/>
      <c r="F7" s="217"/>
    </row>
    <row r="8" spans="1:7" ht="60" customHeight="1">
      <c r="A8" s="218"/>
      <c r="B8" s="219" t="s">
        <v>131</v>
      </c>
      <c r="C8" s="217"/>
      <c r="D8" s="220">
        <v>25</v>
      </c>
      <c r="E8" s="220"/>
      <c r="F8" s="221"/>
    </row>
    <row r="9" spans="1:7" ht="60" customHeight="1">
      <c r="A9" s="218"/>
      <c r="B9" s="219" t="s">
        <v>132</v>
      </c>
      <c r="C9" s="217"/>
      <c r="D9" s="220">
        <v>10</v>
      </c>
      <c r="E9" s="220">
        <v>6</v>
      </c>
      <c r="F9" s="221"/>
    </row>
    <row r="10" spans="1:7" ht="60" customHeight="1">
      <c r="A10" s="218"/>
      <c r="B10" s="219" t="s">
        <v>133</v>
      </c>
      <c r="C10" s="217"/>
      <c r="D10" s="220">
        <v>10</v>
      </c>
      <c r="E10" s="220"/>
      <c r="F10" s="221"/>
    </row>
    <row r="11" spans="1:7" ht="20.100000000000001" customHeight="1">
      <c r="A11" s="222"/>
      <c r="B11" s="223"/>
      <c r="C11" s="224"/>
      <c r="D11" s="225"/>
      <c r="E11" s="225"/>
      <c r="F11" s="225"/>
    </row>
    <row r="12" spans="1:7" ht="24.95" customHeight="1">
      <c r="A12" s="226" t="s">
        <v>515</v>
      </c>
    </row>
    <row r="13" spans="1:7" ht="24.95" customHeight="1">
      <c r="A13" s="204" t="s">
        <v>134</v>
      </c>
    </row>
  </sheetData>
  <phoneticPr fontId="5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C000"/>
  </sheetPr>
  <dimension ref="A1:D17"/>
  <sheetViews>
    <sheetView showGridLines="0" showZeros="0" view="pageBreakPreview" zoomScale="85" zoomScaleNormal="60" zoomScaleSheetLayoutView="85" workbookViewId="0">
      <selection sqref="A1:D1"/>
    </sheetView>
  </sheetViews>
  <sheetFormatPr defaultColWidth="8.140625" defaultRowHeight="30" customHeight="1"/>
  <cols>
    <col min="1" max="1" width="11.5703125" style="86" customWidth="1"/>
    <col min="2" max="2" width="24.5703125" style="86" customWidth="1"/>
    <col min="3" max="3" width="15.85546875" style="86" bestFit="1" customWidth="1"/>
    <col min="4" max="4" width="42.5703125" style="86" customWidth="1"/>
    <col min="5" max="16384" width="8.140625" style="86"/>
  </cols>
  <sheetData>
    <row r="1" spans="1:4" ht="39.950000000000003" customHeight="1">
      <c r="A1" s="1003" t="str">
        <f>간지!$A$1</f>
        <v>[ 경기문화재단 2017년도 파견용역 ]</v>
      </c>
      <c r="B1" s="1003"/>
      <c r="C1" s="1003"/>
      <c r="D1" s="1003"/>
    </row>
    <row r="2" spans="1:4" s="89" customFormat="1" ht="30" customHeight="1">
      <c r="A2" s="87"/>
      <c r="B2" s="88"/>
      <c r="C2" s="88"/>
      <c r="D2" s="88"/>
    </row>
    <row r="3" spans="1:4" s="91" customFormat="1" ht="30" customHeight="1">
      <c r="A3" s="90"/>
      <c r="B3" s="90"/>
      <c r="C3" s="90"/>
      <c r="D3" s="90"/>
    </row>
    <row r="4" spans="1:4" ht="30" customHeight="1">
      <c r="A4" s="90"/>
      <c r="B4" s="93"/>
      <c r="C4" s="93"/>
      <c r="D4" s="93"/>
    </row>
    <row r="5" spans="1:4" ht="39.950000000000003" customHeight="1">
      <c r="A5" s="94"/>
      <c r="B5" s="95"/>
      <c r="C5" s="1004" t="s">
        <v>504</v>
      </c>
      <c r="D5" s="1004"/>
    </row>
    <row r="6" spans="1:4" ht="45.75" customHeight="1">
      <c r="A6" s="94"/>
      <c r="B6" s="95"/>
      <c r="C6" s="96"/>
      <c r="D6" s="99"/>
    </row>
    <row r="7" spans="1:4" ht="45.75" customHeight="1">
      <c r="A7" s="94"/>
      <c r="B7" s="95"/>
      <c r="C7" s="100" t="s">
        <v>505</v>
      </c>
      <c r="D7" s="101" t="str">
        <f>기업!A2</f>
        <v>기업경영분석자료</v>
      </c>
    </row>
    <row r="8" spans="1:4" ht="45.75" customHeight="1">
      <c r="A8" s="94"/>
      <c r="B8" s="95"/>
      <c r="C8" s="100"/>
      <c r="D8" s="101"/>
    </row>
    <row r="9" spans="1:4" ht="18" customHeight="1">
      <c r="A9" s="94"/>
      <c r="B9" s="95"/>
      <c r="C9" s="100"/>
      <c r="D9" s="101"/>
    </row>
    <row r="10" spans="1:4" ht="45.75" customHeight="1">
      <c r="A10" s="94"/>
      <c r="B10" s="95"/>
      <c r="C10" s="100"/>
      <c r="D10" s="101"/>
    </row>
    <row r="11" spans="1:4" ht="45.75" customHeight="1">
      <c r="A11" s="94"/>
      <c r="B11" s="95"/>
      <c r="C11" s="100"/>
      <c r="D11" s="101"/>
    </row>
    <row r="12" spans="1:4" ht="45.75" customHeight="1">
      <c r="A12" s="94"/>
      <c r="B12" s="95"/>
      <c r="C12" s="100"/>
      <c r="D12" s="101"/>
    </row>
    <row r="13" spans="1:4" ht="45.75" customHeight="1">
      <c r="A13" s="94"/>
      <c r="B13" s="95"/>
      <c r="C13" s="100"/>
      <c r="D13" s="101"/>
    </row>
    <row r="14" spans="1:4" ht="45.75" customHeight="1">
      <c r="A14" s="94"/>
      <c r="B14" s="95"/>
      <c r="C14" s="100"/>
      <c r="D14" s="101"/>
    </row>
    <row r="15" spans="1:4" ht="45.75" customHeight="1">
      <c r="A15" s="94"/>
      <c r="B15" s="95"/>
      <c r="C15" s="100"/>
      <c r="D15" s="101"/>
    </row>
    <row r="16" spans="1:4" ht="45.75" customHeight="1">
      <c r="A16" s="94"/>
      <c r="B16" s="95"/>
      <c r="C16" s="102"/>
      <c r="D16" s="103"/>
    </row>
    <row r="17" spans="1:4" ht="39.950000000000003" customHeight="1">
      <c r="A17" s="98"/>
      <c r="B17" s="98"/>
      <c r="C17" s="98"/>
      <c r="D17" s="98"/>
    </row>
  </sheetData>
  <mergeCells count="2">
    <mergeCell ref="A1:D1"/>
    <mergeCell ref="C5:D5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68" orientation="portrait" useFirstPageNumber="1" r:id="rId1"/>
  <headerFooter alignWithMargins="0"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9"/>
  <dimension ref="A1:M54"/>
  <sheetViews>
    <sheetView showGridLines="0" showZeros="0" view="pageBreakPreview" topLeftCell="A4" zoomScaleNormal="100" workbookViewId="0">
      <selection activeCell="J53" sqref="J53"/>
    </sheetView>
  </sheetViews>
  <sheetFormatPr defaultRowHeight="17.25" customHeight="1"/>
  <cols>
    <col min="1" max="1" width="3.140625" style="138" customWidth="1"/>
    <col min="2" max="2" width="10.5703125" style="138" customWidth="1"/>
    <col min="3" max="3" width="1.85546875" style="138" customWidth="1"/>
    <col min="4" max="4" width="27.5703125" style="138" customWidth="1"/>
    <col min="5" max="5" width="1.85546875" style="138" customWidth="1"/>
    <col min="6" max="6" width="16.5703125" style="138" customWidth="1"/>
    <col min="7" max="7" width="14.85546875" style="138" customWidth="1"/>
    <col min="8" max="8" width="18.7109375" style="138" customWidth="1"/>
    <col min="9" max="9" width="9.140625" style="138"/>
    <col min="10" max="10" width="14.42578125" style="138" bestFit="1" customWidth="1"/>
    <col min="11" max="16384" width="9.140625" style="138"/>
  </cols>
  <sheetData>
    <row r="1" spans="1:13" ht="17.25" customHeight="1">
      <c r="A1" s="137" t="s">
        <v>495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s="144" customFormat="1" ht="38.25" customHeight="1">
      <c r="A2" s="139" t="s">
        <v>310</v>
      </c>
      <c r="B2" s="140"/>
      <c r="C2" s="141"/>
      <c r="D2" s="141"/>
      <c r="E2" s="141"/>
      <c r="F2" s="142"/>
      <c r="G2" s="142"/>
      <c r="H2" s="143"/>
    </row>
    <row r="3" spans="1:13" ht="7.5" customHeight="1"/>
    <row r="4" spans="1:13" s="146" customFormat="1" ht="17.25" customHeight="1">
      <c r="A4" s="145" t="s">
        <v>311</v>
      </c>
      <c r="C4" s="147"/>
      <c r="D4" s="148"/>
      <c r="F4" s="149"/>
      <c r="G4" s="150"/>
      <c r="H4" s="151" t="s">
        <v>312</v>
      </c>
    </row>
    <row r="5" spans="1:13" s="160" customFormat="1" ht="21.75" customHeight="1">
      <c r="A5" s="152" t="s">
        <v>135</v>
      </c>
      <c r="B5" s="153"/>
      <c r="C5" s="154"/>
      <c r="D5" s="155" t="s">
        <v>313</v>
      </c>
      <c r="E5" s="156"/>
      <c r="F5" s="157" t="s">
        <v>136</v>
      </c>
      <c r="G5" s="158" t="s">
        <v>314</v>
      </c>
      <c r="H5" s="159" t="s">
        <v>117</v>
      </c>
    </row>
    <row r="6" spans="1:13" s="168" customFormat="1" ht="12" customHeight="1">
      <c r="A6" s="161"/>
      <c r="B6" s="162">
        <v>21</v>
      </c>
      <c r="C6" s="161"/>
      <c r="D6" s="163" t="s">
        <v>315</v>
      </c>
      <c r="E6" s="164"/>
      <c r="F6" s="165">
        <v>19353405</v>
      </c>
      <c r="G6" s="166">
        <f>SUM(F6/$F$6%)</f>
        <v>100</v>
      </c>
      <c r="H6" s="167"/>
    </row>
    <row r="7" spans="1:13" s="168" customFormat="1" ht="12" customHeight="1">
      <c r="A7" s="161"/>
      <c r="B7" s="162">
        <v>22</v>
      </c>
      <c r="C7" s="161"/>
      <c r="D7" s="163" t="s">
        <v>316</v>
      </c>
      <c r="E7" s="164"/>
      <c r="F7" s="165">
        <v>5197245</v>
      </c>
      <c r="G7" s="166">
        <f t="shared" ref="G7:G52" si="0">SUM(F7/$F$6%)</f>
        <v>26.854421741290487</v>
      </c>
      <c r="H7" s="167"/>
    </row>
    <row r="8" spans="1:13" s="168" customFormat="1" ht="12" customHeight="1">
      <c r="A8" s="161"/>
      <c r="B8" s="162">
        <v>23</v>
      </c>
      <c r="C8" s="161"/>
      <c r="D8" s="163" t="s">
        <v>317</v>
      </c>
      <c r="E8" s="164"/>
      <c r="F8" s="165">
        <v>14156160</v>
      </c>
      <c r="G8" s="166">
        <f t="shared" si="0"/>
        <v>73.14557825870952</v>
      </c>
      <c r="H8" s="167"/>
    </row>
    <row r="9" spans="1:13" s="168" customFormat="1" ht="12" customHeight="1">
      <c r="A9" s="161"/>
      <c r="B9" s="162">
        <v>241</v>
      </c>
      <c r="C9" s="161"/>
      <c r="D9" s="163" t="s">
        <v>318</v>
      </c>
      <c r="E9" s="164"/>
      <c r="F9" s="165">
        <v>13228114</v>
      </c>
      <c r="G9" s="166">
        <f t="shared" si="0"/>
        <v>68.350318716525592</v>
      </c>
      <c r="H9" s="167"/>
    </row>
    <row r="10" spans="1:13" s="168" customFormat="1" ht="12" customHeight="1">
      <c r="A10" s="169"/>
      <c r="B10" s="170">
        <v>24101</v>
      </c>
      <c r="C10" s="169"/>
      <c r="D10" s="171" t="s">
        <v>319</v>
      </c>
      <c r="E10" s="172"/>
      <c r="F10" s="173">
        <v>7700965</v>
      </c>
      <c r="G10" s="174">
        <f t="shared" si="0"/>
        <v>39.791266704747827</v>
      </c>
      <c r="H10" s="175"/>
    </row>
    <row r="11" spans="1:13" s="168" customFormat="1" ht="12" customHeight="1">
      <c r="A11" s="176"/>
      <c r="B11" s="177">
        <v>24102</v>
      </c>
      <c r="C11" s="176"/>
      <c r="D11" s="178" t="s">
        <v>320</v>
      </c>
      <c r="E11" s="179"/>
      <c r="F11" s="180">
        <v>377061</v>
      </c>
      <c r="G11" s="181">
        <f t="shared" si="0"/>
        <v>1.9482928197906262</v>
      </c>
      <c r="H11" s="182"/>
    </row>
    <row r="12" spans="1:13" s="168" customFormat="1" ht="12" customHeight="1">
      <c r="A12" s="176"/>
      <c r="B12" s="177">
        <v>24103</v>
      </c>
      <c r="C12" s="176"/>
      <c r="D12" s="178" t="s">
        <v>321</v>
      </c>
      <c r="E12" s="179"/>
      <c r="F12" s="180">
        <v>584675</v>
      </c>
      <c r="G12" s="181">
        <f t="shared" si="0"/>
        <v>3.0210446172133536</v>
      </c>
      <c r="H12" s="182"/>
    </row>
    <row r="13" spans="1:13" s="168" customFormat="1" ht="12" customHeight="1">
      <c r="A13" s="176"/>
      <c r="B13" s="177">
        <v>24104</v>
      </c>
      <c r="C13" s="176"/>
      <c r="D13" s="178" t="s">
        <v>322</v>
      </c>
      <c r="E13" s="179"/>
      <c r="F13" s="180">
        <v>79470</v>
      </c>
      <c r="G13" s="181">
        <f t="shared" si="0"/>
        <v>0.41062541707777006</v>
      </c>
      <c r="H13" s="182"/>
    </row>
    <row r="14" spans="1:13" s="168" customFormat="1" ht="12" customHeight="1">
      <c r="A14" s="176"/>
      <c r="B14" s="177">
        <v>24105</v>
      </c>
      <c r="C14" s="176"/>
      <c r="D14" s="178" t="s">
        <v>323</v>
      </c>
      <c r="E14" s="179"/>
      <c r="F14" s="180">
        <v>192594</v>
      </c>
      <c r="G14" s="181">
        <f t="shared" si="0"/>
        <v>0.99514271519662822</v>
      </c>
      <c r="H14" s="182"/>
    </row>
    <row r="15" spans="1:13" s="168" customFormat="1" ht="12" customHeight="1">
      <c r="A15" s="176"/>
      <c r="B15" s="177">
        <v>24106</v>
      </c>
      <c r="C15" s="176"/>
      <c r="D15" s="178" t="s">
        <v>324</v>
      </c>
      <c r="E15" s="179"/>
      <c r="F15" s="180">
        <v>214640</v>
      </c>
      <c r="G15" s="181">
        <f t="shared" si="0"/>
        <v>1.1090554866185047</v>
      </c>
      <c r="H15" s="182"/>
    </row>
    <row r="16" spans="1:13" s="168" customFormat="1" ht="12" customHeight="1">
      <c r="A16" s="176"/>
      <c r="B16" s="177">
        <v>24107</v>
      </c>
      <c r="C16" s="176"/>
      <c r="D16" s="178" t="s">
        <v>325</v>
      </c>
      <c r="E16" s="179"/>
      <c r="F16" s="180">
        <v>127177</v>
      </c>
      <c r="G16" s="181">
        <f t="shared" si="0"/>
        <v>0.6571298435598284</v>
      </c>
      <c r="H16" s="182"/>
    </row>
    <row r="17" spans="1:8" s="168" customFormat="1" ht="12" customHeight="1">
      <c r="A17" s="176"/>
      <c r="B17" s="177">
        <v>24108</v>
      </c>
      <c r="C17" s="176"/>
      <c r="D17" s="178" t="s">
        <v>326</v>
      </c>
      <c r="E17" s="179"/>
      <c r="F17" s="183">
        <v>134225</v>
      </c>
      <c r="G17" s="181">
        <f t="shared" si="0"/>
        <v>0.69354720784275437</v>
      </c>
      <c r="H17" s="184" t="s">
        <v>327</v>
      </c>
    </row>
    <row r="18" spans="1:8" s="168" customFormat="1" ht="12" customHeight="1">
      <c r="A18" s="176"/>
      <c r="B18" s="177">
        <v>24109</v>
      </c>
      <c r="C18" s="176"/>
      <c r="D18" s="178" t="s">
        <v>328</v>
      </c>
      <c r="E18" s="179"/>
      <c r="F18" s="183">
        <v>161745</v>
      </c>
      <c r="G18" s="181">
        <f t="shared" si="0"/>
        <v>0.83574440776700543</v>
      </c>
      <c r="H18" s="184" t="s">
        <v>137</v>
      </c>
    </row>
    <row r="19" spans="1:8" s="168" customFormat="1" ht="12" customHeight="1">
      <c r="A19" s="176"/>
      <c r="B19" s="177">
        <v>24110</v>
      </c>
      <c r="C19" s="176"/>
      <c r="D19" s="178" t="s">
        <v>329</v>
      </c>
      <c r="E19" s="179"/>
      <c r="F19" s="183">
        <v>1167</v>
      </c>
      <c r="G19" s="181">
        <f t="shared" si="0"/>
        <v>6.0299466682994544E-3</v>
      </c>
      <c r="H19" s="184"/>
    </row>
    <row r="20" spans="1:8" s="168" customFormat="1" ht="12" customHeight="1">
      <c r="A20" s="176"/>
      <c r="B20" s="177">
        <v>24111</v>
      </c>
      <c r="C20" s="176"/>
      <c r="D20" s="178" t="s">
        <v>330</v>
      </c>
      <c r="E20" s="179"/>
      <c r="F20" s="183">
        <v>173143</v>
      </c>
      <c r="G20" s="181">
        <f t="shared" si="0"/>
        <v>0.89463843700888812</v>
      </c>
      <c r="H20" s="184"/>
    </row>
    <row r="21" spans="1:8" s="168" customFormat="1" ht="12" customHeight="1">
      <c r="A21" s="176"/>
      <c r="B21" s="177">
        <v>24112</v>
      </c>
      <c r="C21" s="176"/>
      <c r="D21" s="178" t="s">
        <v>331</v>
      </c>
      <c r="E21" s="179"/>
      <c r="F21" s="183">
        <v>72006</v>
      </c>
      <c r="G21" s="181">
        <f t="shared" si="0"/>
        <v>0.37205856023784967</v>
      </c>
      <c r="H21" s="184" t="s">
        <v>327</v>
      </c>
    </row>
    <row r="22" spans="1:8" s="168" customFormat="1" ht="12" customHeight="1">
      <c r="A22" s="176"/>
      <c r="B22" s="177">
        <v>24113</v>
      </c>
      <c r="C22" s="176"/>
      <c r="D22" s="178" t="s">
        <v>332</v>
      </c>
      <c r="E22" s="179"/>
      <c r="F22" s="183">
        <v>58681</v>
      </c>
      <c r="G22" s="181">
        <f t="shared" si="0"/>
        <v>0.30320762677161978</v>
      </c>
      <c r="H22" s="184" t="s">
        <v>333</v>
      </c>
    </row>
    <row r="23" spans="1:8" s="168" customFormat="1" ht="12" customHeight="1">
      <c r="A23" s="176"/>
      <c r="B23" s="177">
        <v>24114</v>
      </c>
      <c r="C23" s="176"/>
      <c r="D23" s="178" t="s">
        <v>334</v>
      </c>
      <c r="E23" s="179"/>
      <c r="F23" s="183">
        <v>17916</v>
      </c>
      <c r="G23" s="181">
        <f t="shared" si="0"/>
        <v>9.2572857334407052E-2</v>
      </c>
      <c r="H23" s="184" t="s">
        <v>333</v>
      </c>
    </row>
    <row r="24" spans="1:8" s="168" customFormat="1" ht="12" customHeight="1">
      <c r="A24" s="176"/>
      <c r="B24" s="177">
        <v>241141</v>
      </c>
      <c r="C24" s="176"/>
      <c r="D24" s="178" t="s">
        <v>335</v>
      </c>
      <c r="E24" s="179"/>
      <c r="F24" s="183">
        <v>186</v>
      </c>
      <c r="G24" s="181">
        <f t="shared" si="0"/>
        <v>9.6107119134849919E-4</v>
      </c>
      <c r="H24" s="184"/>
    </row>
    <row r="25" spans="1:8" s="168" customFormat="1" ht="12" customHeight="1">
      <c r="A25" s="176"/>
      <c r="B25" s="177">
        <v>24115</v>
      </c>
      <c r="C25" s="176"/>
      <c r="D25" s="178" t="s">
        <v>336</v>
      </c>
      <c r="E25" s="179"/>
      <c r="F25" s="183">
        <v>1038601</v>
      </c>
      <c r="G25" s="181">
        <f t="shared" si="0"/>
        <v>5.366502690353455</v>
      </c>
      <c r="H25" s="184"/>
    </row>
    <row r="26" spans="1:8" s="168" customFormat="1" ht="12" customHeight="1">
      <c r="A26" s="185"/>
      <c r="B26" s="186">
        <v>24116</v>
      </c>
      <c r="C26" s="185"/>
      <c r="D26" s="187" t="s">
        <v>337</v>
      </c>
      <c r="E26" s="188"/>
      <c r="F26" s="189">
        <v>2294050</v>
      </c>
      <c r="G26" s="190">
        <f t="shared" si="0"/>
        <v>11.853469712435617</v>
      </c>
      <c r="H26" s="184" t="s">
        <v>327</v>
      </c>
    </row>
    <row r="27" spans="1:8" s="168" customFormat="1" ht="12" customHeight="1">
      <c r="A27" s="161"/>
      <c r="B27" s="162">
        <v>24</v>
      </c>
      <c r="C27" s="161"/>
      <c r="D27" s="163" t="s">
        <v>338</v>
      </c>
      <c r="E27" s="164"/>
      <c r="F27" s="191">
        <v>928047</v>
      </c>
      <c r="G27" s="166">
        <f t="shared" si="0"/>
        <v>4.7952647092333365</v>
      </c>
      <c r="H27" s="167"/>
    </row>
    <row r="28" spans="1:8" s="168" customFormat="1" ht="12" customHeight="1">
      <c r="A28" s="161"/>
      <c r="B28" s="162">
        <v>251</v>
      </c>
      <c r="C28" s="161"/>
      <c r="D28" s="163" t="s">
        <v>339</v>
      </c>
      <c r="E28" s="164"/>
      <c r="F28" s="191">
        <v>664103</v>
      </c>
      <c r="G28" s="166">
        <f t="shared" si="0"/>
        <v>3.4314530182156577</v>
      </c>
      <c r="H28" s="167"/>
    </row>
    <row r="29" spans="1:8" s="168" customFormat="1" ht="12" customHeight="1">
      <c r="A29" s="169"/>
      <c r="B29" s="170">
        <v>25101</v>
      </c>
      <c r="C29" s="169"/>
      <c r="D29" s="171" t="s">
        <v>340</v>
      </c>
      <c r="E29" s="172"/>
      <c r="F29" s="192">
        <v>157891</v>
      </c>
      <c r="G29" s="174">
        <f t="shared" si="0"/>
        <v>0.81583059931831126</v>
      </c>
      <c r="H29" s="175"/>
    </row>
    <row r="30" spans="1:8" s="168" customFormat="1" ht="12" customHeight="1">
      <c r="A30" s="176"/>
      <c r="B30" s="177">
        <v>25102</v>
      </c>
      <c r="C30" s="176"/>
      <c r="D30" s="178" t="s">
        <v>341</v>
      </c>
      <c r="E30" s="179"/>
      <c r="F30" s="183">
        <v>1406</v>
      </c>
      <c r="G30" s="181">
        <f t="shared" si="0"/>
        <v>7.2648714786881178E-3</v>
      </c>
      <c r="H30" s="182"/>
    </row>
    <row r="31" spans="1:8" s="168" customFormat="1" ht="12" customHeight="1">
      <c r="A31" s="176"/>
      <c r="B31" s="177">
        <v>25103</v>
      </c>
      <c r="C31" s="176"/>
      <c r="D31" s="178" t="s">
        <v>342</v>
      </c>
      <c r="E31" s="179"/>
      <c r="F31" s="180">
        <v>16075</v>
      </c>
      <c r="G31" s="181">
        <f t="shared" si="0"/>
        <v>8.3060319359823248E-2</v>
      </c>
      <c r="H31" s="182"/>
    </row>
    <row r="32" spans="1:8" s="168" customFormat="1" ht="12" customHeight="1">
      <c r="A32" s="176"/>
      <c r="B32" s="177">
        <v>25104</v>
      </c>
      <c r="C32" s="176"/>
      <c r="D32" s="178" t="s">
        <v>343</v>
      </c>
      <c r="E32" s="179"/>
      <c r="F32" s="180">
        <v>179656</v>
      </c>
      <c r="G32" s="181">
        <f t="shared" si="0"/>
        <v>0.92829142985433322</v>
      </c>
      <c r="H32" s="182"/>
    </row>
    <row r="33" spans="1:8" s="168" customFormat="1" ht="12" customHeight="1">
      <c r="A33" s="176"/>
      <c r="B33" s="177">
        <v>25105</v>
      </c>
      <c r="C33" s="176"/>
      <c r="D33" s="178" t="s">
        <v>344</v>
      </c>
      <c r="E33" s="179"/>
      <c r="F33" s="180">
        <v>0</v>
      </c>
      <c r="G33" s="181">
        <f t="shared" si="0"/>
        <v>0</v>
      </c>
      <c r="H33" s="182"/>
    </row>
    <row r="34" spans="1:8" s="168" customFormat="1" ht="12" customHeight="1">
      <c r="A34" s="176"/>
      <c r="B34" s="177">
        <v>25106</v>
      </c>
      <c r="C34" s="176"/>
      <c r="D34" s="178" t="s">
        <v>345</v>
      </c>
      <c r="E34" s="179"/>
      <c r="F34" s="180">
        <v>0</v>
      </c>
      <c r="G34" s="181">
        <f t="shared" si="0"/>
        <v>0</v>
      </c>
      <c r="H34" s="182"/>
    </row>
    <row r="35" spans="1:8" s="193" customFormat="1" ht="12" customHeight="1">
      <c r="A35" s="176"/>
      <c r="B35" s="177">
        <v>25107</v>
      </c>
      <c r="C35" s="176"/>
      <c r="D35" s="178" t="s">
        <v>346</v>
      </c>
      <c r="E35" s="179"/>
      <c r="F35" s="180">
        <v>68425</v>
      </c>
      <c r="G35" s="181">
        <f t="shared" si="0"/>
        <v>0.3535553562796831</v>
      </c>
      <c r="H35" s="182"/>
    </row>
    <row r="36" spans="1:8" s="193" customFormat="1" ht="12" customHeight="1">
      <c r="A36" s="176"/>
      <c r="B36" s="177">
        <v>25108</v>
      </c>
      <c r="C36" s="176"/>
      <c r="D36" s="178" t="s">
        <v>347</v>
      </c>
      <c r="E36" s="179"/>
      <c r="F36" s="180">
        <v>15347</v>
      </c>
      <c r="G36" s="181">
        <f t="shared" si="0"/>
        <v>7.9298707385082892E-2</v>
      </c>
      <c r="H36" s="182"/>
    </row>
    <row r="37" spans="1:8" s="193" customFormat="1" ht="12" customHeight="1">
      <c r="A37" s="185"/>
      <c r="B37" s="177">
        <v>25109</v>
      </c>
      <c r="C37" s="185"/>
      <c r="D37" s="187" t="s">
        <v>348</v>
      </c>
      <c r="E37" s="188"/>
      <c r="F37" s="180">
        <v>225304</v>
      </c>
      <c r="G37" s="190">
        <f t="shared" si="0"/>
        <v>1.164156901589152</v>
      </c>
      <c r="H37" s="194"/>
    </row>
    <row r="38" spans="1:8" s="168" customFormat="1" ht="12" customHeight="1">
      <c r="A38" s="161"/>
      <c r="B38" s="162">
        <v>252</v>
      </c>
      <c r="C38" s="161"/>
      <c r="D38" s="163" t="s">
        <v>349</v>
      </c>
      <c r="E38" s="164"/>
      <c r="F38" s="165">
        <v>648011</v>
      </c>
      <c r="G38" s="166">
        <f t="shared" si="0"/>
        <v>3.3483048590157649</v>
      </c>
      <c r="H38" s="167"/>
    </row>
    <row r="39" spans="1:8" s="168" customFormat="1" ht="12" customHeight="1">
      <c r="A39" s="169"/>
      <c r="B39" s="170">
        <v>25201</v>
      </c>
      <c r="C39" s="169"/>
      <c r="D39" s="171" t="s">
        <v>350</v>
      </c>
      <c r="E39" s="172"/>
      <c r="F39" s="173">
        <v>143759</v>
      </c>
      <c r="G39" s="174">
        <f t="shared" si="0"/>
        <v>0.74280985697348867</v>
      </c>
      <c r="H39" s="175"/>
    </row>
    <row r="40" spans="1:8" s="168" customFormat="1" ht="12" customHeight="1">
      <c r="A40" s="176"/>
      <c r="B40" s="177">
        <v>25202</v>
      </c>
      <c r="C40" s="176"/>
      <c r="D40" s="178" t="s">
        <v>351</v>
      </c>
      <c r="E40" s="179"/>
      <c r="F40" s="180">
        <v>194289</v>
      </c>
      <c r="G40" s="181">
        <f t="shared" si="0"/>
        <v>1.0039008639564977</v>
      </c>
      <c r="H40" s="182"/>
    </row>
    <row r="41" spans="1:8" s="168" customFormat="1" ht="12" customHeight="1">
      <c r="A41" s="176"/>
      <c r="B41" s="177">
        <v>25203</v>
      </c>
      <c r="C41" s="176"/>
      <c r="D41" s="178" t="s">
        <v>352</v>
      </c>
      <c r="E41" s="179"/>
      <c r="F41" s="180">
        <v>1275</v>
      </c>
      <c r="G41" s="181">
        <f t="shared" si="0"/>
        <v>6.5879880052114861E-3</v>
      </c>
      <c r="H41" s="182"/>
    </row>
    <row r="42" spans="1:8" s="168" customFormat="1" ht="12" customHeight="1">
      <c r="A42" s="176"/>
      <c r="B42" s="177">
        <v>25204</v>
      </c>
      <c r="C42" s="176"/>
      <c r="D42" s="178" t="s">
        <v>353</v>
      </c>
      <c r="E42" s="179"/>
      <c r="F42" s="180">
        <v>0</v>
      </c>
      <c r="G42" s="181">
        <f t="shared" si="0"/>
        <v>0</v>
      </c>
      <c r="H42" s="182"/>
    </row>
    <row r="43" spans="1:8" s="168" customFormat="1" ht="12" customHeight="1">
      <c r="A43" s="176"/>
      <c r="B43" s="177">
        <v>25205</v>
      </c>
      <c r="C43" s="176"/>
      <c r="D43" s="178" t="s">
        <v>354</v>
      </c>
      <c r="E43" s="179"/>
      <c r="F43" s="180">
        <v>0</v>
      </c>
      <c r="G43" s="181">
        <f t="shared" si="0"/>
        <v>0</v>
      </c>
      <c r="H43" s="182"/>
    </row>
    <row r="44" spans="1:8" s="193" customFormat="1" ht="12" customHeight="1">
      <c r="A44" s="176"/>
      <c r="B44" s="177">
        <v>25206</v>
      </c>
      <c r="C44" s="176"/>
      <c r="D44" s="178" t="s">
        <v>355</v>
      </c>
      <c r="E44" s="179"/>
      <c r="F44" s="180">
        <v>13974</v>
      </c>
      <c r="G44" s="181">
        <f t="shared" si="0"/>
        <v>7.2204348537117893E-2</v>
      </c>
      <c r="H44" s="182"/>
    </row>
    <row r="45" spans="1:8" s="193" customFormat="1" ht="12" customHeight="1">
      <c r="A45" s="176"/>
      <c r="B45" s="177">
        <v>25207</v>
      </c>
      <c r="C45" s="176"/>
      <c r="D45" s="178" t="s">
        <v>356</v>
      </c>
      <c r="E45" s="179"/>
      <c r="F45" s="180">
        <v>80120</v>
      </c>
      <c r="G45" s="181">
        <f t="shared" si="0"/>
        <v>0.41398399919807394</v>
      </c>
      <c r="H45" s="182"/>
    </row>
    <row r="46" spans="1:8" s="193" customFormat="1" ht="12" customHeight="1">
      <c r="A46" s="176"/>
      <c r="B46" s="177">
        <v>25208</v>
      </c>
      <c r="C46" s="176"/>
      <c r="D46" s="178" t="s">
        <v>357</v>
      </c>
      <c r="E46" s="179"/>
      <c r="F46" s="180">
        <v>0</v>
      </c>
      <c r="G46" s="181">
        <f t="shared" si="0"/>
        <v>0</v>
      </c>
      <c r="H46" s="182"/>
    </row>
    <row r="47" spans="1:8" s="168" customFormat="1" ht="12" customHeight="1">
      <c r="A47" s="185"/>
      <c r="B47" s="177">
        <v>25209</v>
      </c>
      <c r="C47" s="185"/>
      <c r="D47" s="187" t="s">
        <v>358</v>
      </c>
      <c r="E47" s="188"/>
      <c r="F47" s="195">
        <v>214594</v>
      </c>
      <c r="G47" s="190">
        <f t="shared" si="0"/>
        <v>1.1088178023453754</v>
      </c>
      <c r="H47" s="194"/>
    </row>
    <row r="48" spans="1:8" s="168" customFormat="1" ht="12" customHeight="1">
      <c r="A48" s="161"/>
      <c r="B48" s="162">
        <v>25</v>
      </c>
      <c r="C48" s="161"/>
      <c r="D48" s="163" t="s">
        <v>359</v>
      </c>
      <c r="E48" s="164"/>
      <c r="F48" s="196">
        <v>944139</v>
      </c>
      <c r="G48" s="166">
        <f t="shared" si="0"/>
        <v>4.8784128684332293</v>
      </c>
      <c r="H48" s="167"/>
    </row>
    <row r="49" spans="1:8" s="168" customFormat="1" ht="12" customHeight="1">
      <c r="A49" s="161"/>
      <c r="B49" s="162">
        <v>261</v>
      </c>
      <c r="C49" s="161"/>
      <c r="D49" s="163" t="s">
        <v>360</v>
      </c>
      <c r="E49" s="164"/>
      <c r="F49" s="165">
        <v>170947</v>
      </c>
      <c r="G49" s="166">
        <f t="shared" si="0"/>
        <v>0.88329159649167688</v>
      </c>
      <c r="H49" s="167"/>
    </row>
    <row r="50" spans="1:8" s="168" customFormat="1" ht="12" customHeight="1">
      <c r="A50" s="161"/>
      <c r="B50" s="162">
        <v>26</v>
      </c>
      <c r="C50" s="161"/>
      <c r="D50" s="163" t="s">
        <v>361</v>
      </c>
      <c r="E50" s="164"/>
      <c r="F50" s="196">
        <v>773192</v>
      </c>
      <c r="G50" s="166">
        <f t="shared" si="0"/>
        <v>3.9951212719415525</v>
      </c>
      <c r="H50" s="167"/>
    </row>
    <row r="51" spans="1:8" s="168" customFormat="1" ht="12" customHeight="1">
      <c r="A51" s="161"/>
      <c r="B51" s="162">
        <v>27</v>
      </c>
      <c r="C51" s="161"/>
      <c r="D51" s="163" t="s">
        <v>362</v>
      </c>
      <c r="E51" s="164"/>
      <c r="F51" s="196">
        <v>0</v>
      </c>
      <c r="G51" s="166">
        <f t="shared" si="0"/>
        <v>0</v>
      </c>
      <c r="H51" s="167"/>
    </row>
    <row r="52" spans="1:8" s="168" customFormat="1" ht="12" customHeight="1">
      <c r="A52" s="161"/>
      <c r="B52" s="162">
        <v>28</v>
      </c>
      <c r="C52" s="161"/>
      <c r="D52" s="163" t="s">
        <v>363</v>
      </c>
      <c r="E52" s="164"/>
      <c r="F52" s="196">
        <v>773192</v>
      </c>
      <c r="G52" s="166">
        <f t="shared" si="0"/>
        <v>3.9951212719415525</v>
      </c>
      <c r="H52" s="167"/>
    </row>
    <row r="53" spans="1:8" s="160" customFormat="1" ht="12.2" customHeight="1">
      <c r="A53" s="197" t="s">
        <v>428</v>
      </c>
      <c r="C53" s="198"/>
      <c r="D53" s="199"/>
      <c r="E53" s="200"/>
      <c r="F53" s="201"/>
      <c r="G53" s="202"/>
      <c r="H53" s="200"/>
    </row>
    <row r="54" spans="1:8" s="160" customFormat="1" ht="12.2" customHeight="1">
      <c r="A54" s="197" t="s">
        <v>364</v>
      </c>
      <c r="C54" s="198"/>
      <c r="D54" s="199"/>
      <c r="E54" s="200"/>
      <c r="F54" s="201"/>
      <c r="G54" s="202"/>
      <c r="H54" s="200"/>
    </row>
  </sheetData>
  <phoneticPr fontId="5" type="noConversion"/>
  <pageMargins left="0.78740157480314965" right="0.78740157480314965" top="0.98425196850393704" bottom="0.78740157480314965" header="0.51181102362204722" footer="0.51181102362204722"/>
  <pageSetup paperSize="9" firstPageNumber="96" orientation="portrait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FFC000"/>
  </sheetPr>
  <dimension ref="A1:D22"/>
  <sheetViews>
    <sheetView showGridLines="0" showZeros="0" view="pageBreakPreview" zoomScaleNormal="100" zoomScaleSheetLayoutView="100" workbookViewId="0">
      <selection sqref="A1:D1"/>
    </sheetView>
  </sheetViews>
  <sheetFormatPr defaultColWidth="8.140625" defaultRowHeight="30" customHeight="1"/>
  <cols>
    <col min="1" max="1" width="11.5703125" style="86" customWidth="1"/>
    <col min="2" max="2" width="24.42578125" style="86" customWidth="1"/>
    <col min="3" max="3" width="9.85546875" style="86" customWidth="1"/>
    <col min="4" max="4" width="48.7109375" style="86" customWidth="1"/>
    <col min="5" max="16384" width="8.140625" style="86"/>
  </cols>
  <sheetData>
    <row r="1" spans="1:4" ht="39.950000000000003" customHeight="1">
      <c r="A1" s="1003" t="str">
        <f>간지!$A$1</f>
        <v>[ 경기문화재단 2017년도 파견용역 ]</v>
      </c>
      <c r="B1" s="1003"/>
      <c r="C1" s="1003"/>
      <c r="D1" s="1003"/>
    </row>
    <row r="2" spans="1:4" s="89" customFormat="1" ht="30" customHeight="1">
      <c r="A2" s="87"/>
      <c r="B2" s="88"/>
      <c r="C2" s="88"/>
      <c r="D2" s="88"/>
    </row>
    <row r="3" spans="1:4" s="91" customFormat="1" ht="30" customHeight="1">
      <c r="A3" s="90"/>
      <c r="B3" s="90"/>
      <c r="C3" s="90"/>
      <c r="D3" s="90"/>
    </row>
    <row r="4" spans="1:4" ht="30" customHeight="1">
      <c r="A4" s="90"/>
      <c r="B4" s="90"/>
      <c r="C4" s="90"/>
      <c r="D4" s="90"/>
    </row>
    <row r="5" spans="1:4" s="92" customFormat="1" ht="30" customHeight="1">
      <c r="A5" s="90"/>
      <c r="B5" s="90"/>
      <c r="C5" s="90"/>
      <c r="D5" s="90"/>
    </row>
    <row r="6" spans="1:4" ht="30" customHeight="1">
      <c r="A6" s="90"/>
      <c r="B6" s="90"/>
      <c r="C6" s="90"/>
      <c r="D6" s="90"/>
    </row>
    <row r="7" spans="1:4" ht="30" customHeight="1">
      <c r="A7" s="90"/>
      <c r="B7" s="93"/>
      <c r="C7" s="93"/>
      <c r="D7" s="93"/>
    </row>
    <row r="8" spans="1:4" ht="39.950000000000003" customHeight="1">
      <c r="A8" s="94"/>
      <c r="B8" s="95"/>
      <c r="C8" s="1004" t="s">
        <v>435</v>
      </c>
      <c r="D8" s="1004"/>
    </row>
    <row r="9" spans="1:4" ht="30" customHeight="1">
      <c r="A9" s="94"/>
      <c r="B9" s="95"/>
      <c r="C9" s="96"/>
      <c r="D9" s="97"/>
    </row>
    <row r="10" spans="1:4" ht="30" customHeight="1">
      <c r="A10" s="94"/>
      <c r="B10" s="95"/>
      <c r="C10" s="96"/>
      <c r="D10" s="97"/>
    </row>
    <row r="11" spans="1:4" ht="30" customHeight="1">
      <c r="A11" s="94"/>
      <c r="B11" s="95"/>
      <c r="C11" s="96"/>
      <c r="D11" s="97"/>
    </row>
    <row r="12" spans="1:4" ht="30" customHeight="1">
      <c r="A12" s="94"/>
      <c r="B12" s="95"/>
      <c r="C12" s="96"/>
      <c r="D12" s="97"/>
    </row>
    <row r="13" spans="1:4" ht="30" customHeight="1">
      <c r="A13" s="94"/>
      <c r="B13" s="95"/>
      <c r="C13" s="96"/>
      <c r="D13" s="97"/>
    </row>
    <row r="14" spans="1:4" ht="30" customHeight="1">
      <c r="A14" s="94"/>
      <c r="B14" s="95"/>
      <c r="C14" s="96"/>
      <c r="D14" s="97"/>
    </row>
    <row r="15" spans="1:4" ht="30" customHeight="1">
      <c r="A15" s="94"/>
      <c r="B15" s="95"/>
      <c r="C15" s="96"/>
      <c r="D15" s="97"/>
    </row>
    <row r="16" spans="1:4" ht="30" customHeight="1">
      <c r="A16" s="94"/>
      <c r="B16" s="95"/>
      <c r="C16" s="96"/>
      <c r="D16" s="97"/>
    </row>
    <row r="17" spans="1:4" ht="30" customHeight="1">
      <c r="A17" s="94"/>
      <c r="B17" s="95"/>
      <c r="C17" s="96"/>
      <c r="D17" s="97"/>
    </row>
    <row r="18" spans="1:4" ht="30" customHeight="1">
      <c r="A18" s="94"/>
      <c r="B18" s="95"/>
      <c r="C18" s="96"/>
      <c r="D18" s="97"/>
    </row>
    <row r="19" spans="1:4" ht="30" customHeight="1">
      <c r="A19" s="94"/>
      <c r="B19" s="95"/>
      <c r="C19" s="96"/>
      <c r="D19" s="97"/>
    </row>
    <row r="20" spans="1:4" ht="30" customHeight="1">
      <c r="A20" s="94"/>
      <c r="B20" s="95"/>
      <c r="C20" s="96"/>
      <c r="D20" s="97"/>
    </row>
    <row r="21" spans="1:4" ht="30" customHeight="1">
      <c r="A21" s="94"/>
      <c r="B21" s="95"/>
      <c r="C21" s="96"/>
      <c r="D21" s="97"/>
    </row>
    <row r="22" spans="1:4" ht="39.950000000000003" customHeight="1">
      <c r="A22" s="98"/>
      <c r="B22" s="98"/>
      <c r="C22" s="98"/>
      <c r="D22" s="98"/>
    </row>
  </sheetData>
  <mergeCells count="2">
    <mergeCell ref="A1:D1"/>
    <mergeCell ref="C8:D8"/>
  </mergeCells>
  <phoneticPr fontId="7" type="noConversion"/>
  <pageMargins left="0.78740157480314965" right="0.78740157480314965" top="0.98425196850393704" bottom="0.78740157480314965" header="0.51181102362204722" footer="0.51181102362204722"/>
  <pageSetup paperSize="9" firstPageNumber="3" orientation="portrait" useFirstPageNumber="1" r:id="rId1"/>
  <headerFooter alignWithMargins="0">
    <oddFooter>&amp;C&amp;"바탕체,보통"&amp;10-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rgb="FFFFC000"/>
  </sheetPr>
  <dimension ref="A1:D22"/>
  <sheetViews>
    <sheetView showGridLines="0" showZeros="0" view="pageBreakPreview" topLeftCell="A4" zoomScaleNormal="100" zoomScaleSheetLayoutView="100" workbookViewId="0">
      <selection sqref="A1:D1"/>
    </sheetView>
  </sheetViews>
  <sheetFormatPr defaultColWidth="8.140625" defaultRowHeight="30" customHeight="1"/>
  <cols>
    <col min="1" max="1" width="11.5703125" style="86" customWidth="1"/>
    <col min="2" max="2" width="24.42578125" style="86" customWidth="1"/>
    <col min="3" max="3" width="9.85546875" style="86" customWidth="1"/>
    <col min="4" max="4" width="48.7109375" style="86" customWidth="1"/>
    <col min="5" max="16384" width="8.140625" style="86"/>
  </cols>
  <sheetData>
    <row r="1" spans="1:4" ht="39.950000000000003" customHeight="1">
      <c r="A1" s="1003" t="str">
        <f>간지!$A$1</f>
        <v>[ 경기문화재단 2017년도 파견용역 ]</v>
      </c>
      <c r="B1" s="1003"/>
      <c r="C1" s="1003"/>
      <c r="D1" s="1003"/>
    </row>
    <row r="2" spans="1:4" s="89" customFormat="1" ht="30" customHeight="1">
      <c r="A2" s="87"/>
      <c r="B2" s="88"/>
      <c r="C2" s="88"/>
      <c r="D2" s="88"/>
    </row>
    <row r="3" spans="1:4" s="91" customFormat="1" ht="30" customHeight="1">
      <c r="A3" s="90"/>
      <c r="B3" s="90"/>
      <c r="C3" s="90"/>
      <c r="D3" s="90"/>
    </row>
    <row r="4" spans="1:4" ht="30" customHeight="1">
      <c r="A4" s="90"/>
      <c r="B4" s="90"/>
      <c r="C4" s="90"/>
      <c r="D4" s="90"/>
    </row>
    <row r="5" spans="1:4" s="92" customFormat="1" ht="30" customHeight="1">
      <c r="A5" s="90"/>
      <c r="B5" s="90"/>
      <c r="C5" s="90"/>
      <c r="D5" s="90"/>
    </row>
    <row r="6" spans="1:4" ht="30" customHeight="1">
      <c r="A6" s="90"/>
      <c r="B6" s="90"/>
      <c r="C6" s="90"/>
      <c r="D6" s="90"/>
    </row>
    <row r="7" spans="1:4" ht="30" customHeight="1">
      <c r="A7" s="90"/>
      <c r="B7" s="93"/>
      <c r="C7" s="93"/>
      <c r="D7" s="93"/>
    </row>
    <row r="8" spans="1:4" ht="39.950000000000003" customHeight="1">
      <c r="A8" s="94"/>
      <c r="B8" s="95"/>
      <c r="C8" s="1004" t="s">
        <v>436</v>
      </c>
      <c r="D8" s="1004"/>
    </row>
    <row r="9" spans="1:4" ht="30" customHeight="1">
      <c r="A9" s="94"/>
      <c r="B9" s="95"/>
      <c r="C9" s="96"/>
      <c r="D9" s="97"/>
    </row>
    <row r="10" spans="1:4" ht="30" customHeight="1">
      <c r="A10" s="94"/>
      <c r="B10" s="95"/>
      <c r="C10" s="96"/>
      <c r="D10" s="97"/>
    </row>
    <row r="11" spans="1:4" ht="30" customHeight="1">
      <c r="A11" s="94"/>
      <c r="B11" s="95"/>
      <c r="C11" s="96"/>
      <c r="D11" s="97"/>
    </row>
    <row r="12" spans="1:4" ht="30" customHeight="1">
      <c r="A12" s="94"/>
      <c r="B12" s="95"/>
      <c r="C12" s="96"/>
      <c r="D12" s="97"/>
    </row>
    <row r="13" spans="1:4" ht="30" customHeight="1">
      <c r="A13" s="94"/>
      <c r="B13" s="95"/>
      <c r="C13" s="96"/>
      <c r="D13" s="97"/>
    </row>
    <row r="14" spans="1:4" ht="30" customHeight="1">
      <c r="A14" s="94"/>
      <c r="B14" s="95"/>
      <c r="C14" s="96"/>
      <c r="D14" s="97"/>
    </row>
    <row r="15" spans="1:4" ht="30" customHeight="1">
      <c r="A15" s="94"/>
      <c r="B15" s="95"/>
      <c r="C15" s="96"/>
      <c r="D15" s="97"/>
    </row>
    <row r="16" spans="1:4" ht="30" customHeight="1">
      <c r="A16" s="94"/>
      <c r="B16" s="95"/>
      <c r="C16" s="96"/>
      <c r="D16" s="97"/>
    </row>
    <row r="17" spans="1:4" ht="30" customHeight="1">
      <c r="A17" s="94"/>
      <c r="B17" s="95"/>
      <c r="C17" s="96"/>
      <c r="D17" s="97"/>
    </row>
    <row r="18" spans="1:4" ht="30" customHeight="1">
      <c r="A18" s="94"/>
      <c r="B18" s="95"/>
      <c r="C18" s="96"/>
      <c r="D18" s="97"/>
    </row>
    <row r="19" spans="1:4" ht="30" customHeight="1">
      <c r="A19" s="94"/>
      <c r="B19" s="95"/>
      <c r="C19" s="96"/>
      <c r="D19" s="97"/>
    </row>
    <row r="20" spans="1:4" ht="30" customHeight="1">
      <c r="A20" s="94"/>
      <c r="B20" s="95"/>
      <c r="C20" s="96"/>
      <c r="D20" s="97"/>
    </row>
    <row r="21" spans="1:4" ht="30" customHeight="1">
      <c r="A21" s="94"/>
      <c r="B21" s="95"/>
      <c r="C21" s="96"/>
      <c r="D21" s="97"/>
    </row>
    <row r="22" spans="1:4" ht="39.950000000000003" customHeight="1">
      <c r="A22" s="98"/>
      <c r="B22" s="98"/>
      <c r="C22" s="98"/>
      <c r="D22" s="98"/>
    </row>
  </sheetData>
  <mergeCells count="2">
    <mergeCell ref="A1:D1"/>
    <mergeCell ref="C8:D8"/>
  </mergeCells>
  <phoneticPr fontId="7" type="noConversion"/>
  <pageMargins left="0.78740157480314965" right="0.78740157480314965" top="0.98425196850393704" bottom="0.78740157480314965" header="0.51181102362204722" footer="0.51181102362204722"/>
  <pageSetup paperSize="9" firstPageNumber="6" orientation="portrait" useFirstPageNumber="1" r:id="rId1"/>
  <headerFooter alignWithMargins="0">
    <oddFooter>&amp;C&amp;"바탕체,보통"&amp;10-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D22"/>
  <sheetViews>
    <sheetView showGridLines="0" showZeros="0" view="pageBreakPreview" topLeftCell="A7" zoomScaleNormal="100" zoomScaleSheetLayoutView="100" workbookViewId="0">
      <selection sqref="A1:D1"/>
    </sheetView>
  </sheetViews>
  <sheetFormatPr defaultColWidth="8.140625" defaultRowHeight="30" customHeight="1"/>
  <cols>
    <col min="1" max="1" width="11.5703125" style="86" customWidth="1"/>
    <col min="2" max="2" width="24.42578125" style="86" customWidth="1"/>
    <col min="3" max="3" width="9.85546875" style="86" customWidth="1"/>
    <col min="4" max="4" width="48.7109375" style="86" customWidth="1"/>
    <col min="5" max="16384" width="8.140625" style="86"/>
  </cols>
  <sheetData>
    <row r="1" spans="1:4" ht="39.950000000000003" customHeight="1">
      <c r="A1" s="1003" t="str">
        <f>간지!$A$1</f>
        <v>[ 경기문화재단 2017년도 파견용역 ]</v>
      </c>
      <c r="B1" s="1003"/>
      <c r="C1" s="1003"/>
      <c r="D1" s="1003"/>
    </row>
    <row r="2" spans="1:4" s="89" customFormat="1" ht="30" customHeight="1">
      <c r="A2" s="87"/>
      <c r="B2" s="88"/>
      <c r="C2" s="88"/>
      <c r="D2" s="88"/>
    </row>
    <row r="3" spans="1:4" s="91" customFormat="1" ht="30" customHeight="1">
      <c r="A3" s="90"/>
      <c r="B3" s="90"/>
      <c r="C3" s="90"/>
      <c r="D3" s="90"/>
    </row>
    <row r="4" spans="1:4" ht="30" customHeight="1">
      <c r="A4" s="90"/>
      <c r="B4" s="90"/>
      <c r="C4" s="90"/>
      <c r="D4" s="90"/>
    </row>
    <row r="5" spans="1:4" s="92" customFormat="1" ht="30" customHeight="1">
      <c r="A5" s="90"/>
      <c r="B5" s="90"/>
      <c r="C5" s="90"/>
      <c r="D5" s="90"/>
    </row>
    <row r="6" spans="1:4" ht="30" customHeight="1">
      <c r="A6" s="90"/>
      <c r="B6" s="90"/>
      <c r="C6" s="90"/>
      <c r="D6" s="90"/>
    </row>
    <row r="7" spans="1:4" ht="30" customHeight="1">
      <c r="A7" s="90"/>
      <c r="B7" s="93"/>
      <c r="C7" s="93"/>
      <c r="D7" s="93"/>
    </row>
    <row r="8" spans="1:4" ht="39.950000000000003" customHeight="1">
      <c r="A8" s="94"/>
      <c r="B8" s="95"/>
      <c r="C8" s="1004" t="s">
        <v>471</v>
      </c>
      <c r="D8" s="1004"/>
    </row>
    <row r="9" spans="1:4" ht="30" customHeight="1">
      <c r="A9" s="94"/>
      <c r="B9" s="95"/>
      <c r="C9" s="96"/>
      <c r="D9" s="97"/>
    </row>
    <row r="10" spans="1:4" ht="30" customHeight="1">
      <c r="A10" s="94"/>
      <c r="B10" s="95"/>
      <c r="C10" s="96"/>
      <c r="D10" s="97"/>
    </row>
    <row r="11" spans="1:4" ht="30" customHeight="1">
      <c r="A11" s="94"/>
      <c r="B11" s="95"/>
      <c r="C11" s="96"/>
      <c r="D11" s="97"/>
    </row>
    <row r="12" spans="1:4" ht="30" customHeight="1">
      <c r="A12" s="94"/>
      <c r="B12" s="95"/>
      <c r="C12" s="96"/>
      <c r="D12" s="97"/>
    </row>
    <row r="13" spans="1:4" ht="30" customHeight="1">
      <c r="A13" s="94"/>
      <c r="B13" s="95"/>
      <c r="C13" s="96"/>
      <c r="D13" s="97"/>
    </row>
    <row r="14" spans="1:4" ht="30" customHeight="1">
      <c r="A14" s="94"/>
      <c r="B14" s="95"/>
      <c r="C14" s="96"/>
      <c r="D14" s="97"/>
    </row>
    <row r="15" spans="1:4" ht="30" customHeight="1">
      <c r="A15" s="94"/>
      <c r="B15" s="95"/>
      <c r="C15" s="96"/>
      <c r="D15" s="97"/>
    </row>
    <row r="16" spans="1:4" ht="30" customHeight="1">
      <c r="A16" s="94"/>
      <c r="B16" s="95"/>
      <c r="C16" s="96"/>
      <c r="D16" s="97"/>
    </row>
    <row r="17" spans="1:4" ht="30" customHeight="1">
      <c r="A17" s="94"/>
      <c r="B17" s="95"/>
      <c r="C17" s="96"/>
      <c r="D17" s="97"/>
    </row>
    <row r="18" spans="1:4" ht="30" customHeight="1">
      <c r="A18" s="94"/>
      <c r="B18" s="95"/>
      <c r="C18" s="96"/>
      <c r="D18" s="97"/>
    </row>
    <row r="19" spans="1:4" ht="30" customHeight="1">
      <c r="A19" s="94"/>
      <c r="B19" s="95"/>
      <c r="C19" s="96"/>
      <c r="D19" s="97"/>
    </row>
    <row r="20" spans="1:4" ht="30" customHeight="1">
      <c r="A20" s="94"/>
      <c r="B20" s="95"/>
      <c r="C20" s="96"/>
      <c r="D20" s="97"/>
    </row>
    <row r="21" spans="1:4" ht="30" customHeight="1">
      <c r="A21" s="94"/>
      <c r="B21" s="95"/>
      <c r="C21" s="96"/>
      <c r="D21" s="97"/>
    </row>
    <row r="22" spans="1:4" ht="39.950000000000003" customHeight="1">
      <c r="A22" s="98"/>
      <c r="B22" s="98"/>
      <c r="C22" s="98"/>
      <c r="D22" s="98"/>
    </row>
  </sheetData>
  <mergeCells count="2">
    <mergeCell ref="A1:D1"/>
    <mergeCell ref="C8:D8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10" orientation="portrait" useFirstPageNumber="1" r:id="rId1"/>
  <headerFooter alignWithMargins="0">
    <oddFooter>&amp;C&amp;"바탕체,보통"&amp;10-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S22"/>
  <sheetViews>
    <sheetView showGridLines="0" showZeros="0" view="pageBreakPreview" zoomScaleNormal="100" zoomScaleSheetLayoutView="100" workbookViewId="0">
      <selection activeCell="J19" sqref="J19"/>
    </sheetView>
  </sheetViews>
  <sheetFormatPr defaultRowHeight="12"/>
  <cols>
    <col min="1" max="1" width="5.7109375" style="24" customWidth="1"/>
    <col min="2" max="2" width="1.7109375" style="24" customWidth="1"/>
    <col min="3" max="3" width="12.7109375" style="25" customWidth="1"/>
    <col min="4" max="5" width="1.7109375" style="25" customWidth="1"/>
    <col min="6" max="6" width="14.7109375" style="25" customWidth="1"/>
    <col min="7" max="7" width="1.7109375" style="25" customWidth="1"/>
    <col min="8" max="8" width="5.7109375" style="74" customWidth="1"/>
    <col min="9" max="9" width="1.140625" style="25" customWidth="1"/>
    <col min="10" max="10" width="12.7109375" style="25" customWidth="1"/>
    <col min="11" max="11" width="12.7109375" style="11" customWidth="1"/>
    <col min="12" max="12" width="6.7109375" style="11" customWidth="1"/>
    <col min="13" max="13" width="1.7109375" style="12" customWidth="1"/>
    <col min="14" max="14" width="14.7109375" style="12" customWidth="1"/>
    <col min="15" max="15" width="17.85546875" style="24" bestFit="1" customWidth="1"/>
    <col min="16" max="16" width="16.5703125" style="24" customWidth="1"/>
    <col min="17" max="17" width="9.140625" style="24"/>
    <col min="18" max="18" width="15.28515625" style="24" bestFit="1" customWidth="1"/>
    <col min="19" max="16384" width="9.140625" style="24"/>
  </cols>
  <sheetData>
    <row r="1" spans="1:19" ht="20.100000000000001" customHeight="1">
      <c r="A1" s="28"/>
    </row>
    <row r="2" spans="1:19" ht="39.950000000000003" customHeight="1">
      <c r="A2" s="18" t="s">
        <v>472</v>
      </c>
      <c r="B2" s="18"/>
      <c r="C2" s="19"/>
      <c r="D2" s="19"/>
      <c r="E2" s="19"/>
      <c r="F2" s="19"/>
      <c r="G2" s="19"/>
      <c r="H2" s="75"/>
      <c r="I2" s="19"/>
      <c r="J2" s="19"/>
      <c r="K2" s="19"/>
      <c r="L2" s="19"/>
      <c r="M2" s="18"/>
      <c r="N2" s="18"/>
    </row>
    <row r="3" spans="1:19" ht="20.100000000000001" customHeight="1">
      <c r="A3" s="20"/>
      <c r="B3" s="20"/>
      <c r="C3" s="35"/>
      <c r="D3" s="35"/>
      <c r="E3" s="35"/>
      <c r="F3" s="35"/>
      <c r="G3" s="35"/>
      <c r="H3" s="76"/>
      <c r="I3" s="35"/>
      <c r="J3" s="35"/>
      <c r="K3" s="35"/>
      <c r="L3" s="35"/>
      <c r="M3" s="20"/>
      <c r="N3" s="20"/>
    </row>
    <row r="4" spans="1:19" ht="20.100000000000001" customHeight="1">
      <c r="A4" s="818" t="s">
        <v>640</v>
      </c>
      <c r="N4" s="34" t="s">
        <v>183</v>
      </c>
    </row>
    <row r="5" spans="1:19" ht="39.950000000000003" customHeight="1">
      <c r="A5" s="50" t="s">
        <v>252</v>
      </c>
      <c r="B5" s="51" t="s">
        <v>254</v>
      </c>
      <c r="C5" s="51"/>
      <c r="D5" s="51"/>
      <c r="E5" s="5"/>
      <c r="F5" s="4" t="s">
        <v>253</v>
      </c>
      <c r="G5" s="3"/>
      <c r="H5" s="77" t="s">
        <v>381</v>
      </c>
      <c r="I5" s="52"/>
      <c r="J5" s="53" t="s">
        <v>380</v>
      </c>
      <c r="K5" s="48" t="s">
        <v>6</v>
      </c>
      <c r="L5" s="54" t="s">
        <v>7</v>
      </c>
      <c r="M5" s="52"/>
      <c r="N5" s="48" t="s">
        <v>8</v>
      </c>
    </row>
    <row r="6" spans="1:19" ht="28.5" customHeight="1">
      <c r="A6" s="17"/>
      <c r="B6" s="25"/>
      <c r="C6" s="26"/>
      <c r="D6" s="26"/>
      <c r="E6" s="55"/>
      <c r="F6" s="26"/>
      <c r="G6" s="16"/>
      <c r="H6" s="78" t="s">
        <v>9</v>
      </c>
      <c r="I6" s="57"/>
      <c r="J6" s="57" t="s">
        <v>10</v>
      </c>
      <c r="K6" s="53" t="s">
        <v>11</v>
      </c>
      <c r="L6" s="56" t="s">
        <v>12</v>
      </c>
      <c r="M6" s="57"/>
      <c r="N6" s="57" t="s">
        <v>13</v>
      </c>
      <c r="O6" s="105"/>
      <c r="P6" s="105"/>
    </row>
    <row r="7" spans="1:19" ht="28.5" hidden="1" customHeight="1">
      <c r="A7" s="1005"/>
      <c r="B7" s="61"/>
      <c r="C7" s="9">
        <f>인집!B6</f>
        <v>0</v>
      </c>
      <c r="D7" s="9"/>
      <c r="E7" s="62"/>
      <c r="F7" s="73">
        <f>인집!E6</f>
        <v>0</v>
      </c>
      <c r="G7" s="63"/>
      <c r="H7" s="79">
        <f>투입인원!F7</f>
        <v>0</v>
      </c>
      <c r="I7" s="64"/>
      <c r="J7" s="65">
        <f>원가!G35</f>
        <v>0</v>
      </c>
      <c r="K7" s="13">
        <f t="shared" ref="K7:K15" si="0">TRUNC(J7*H7,0)</f>
        <v>0</v>
      </c>
      <c r="L7" s="66">
        <v>12</v>
      </c>
      <c r="M7" s="64"/>
      <c r="N7" s="65">
        <f t="shared" ref="N7:N13" si="1">TRUNC(K7*L7,0)</f>
        <v>0</v>
      </c>
      <c r="O7" s="70"/>
      <c r="P7" s="70"/>
    </row>
    <row r="8" spans="1:19" ht="28.5" hidden="1" customHeight="1">
      <c r="A8" s="1007"/>
      <c r="B8" s="25"/>
      <c r="C8" s="10">
        <f>인집!B7</f>
        <v>0</v>
      </c>
      <c r="D8" s="10"/>
      <c r="E8" s="58"/>
      <c r="F8" s="59">
        <f>인집!E7</f>
        <v>0</v>
      </c>
      <c r="G8" s="60"/>
      <c r="H8" s="80">
        <f>투입인원!F8</f>
        <v>0</v>
      </c>
      <c r="I8" s="21"/>
      <c r="J8" s="21">
        <f>원가!G70</f>
        <v>0</v>
      </c>
      <c r="K8" s="13">
        <f t="shared" si="0"/>
        <v>0</v>
      </c>
      <c r="L8" s="22">
        <v>12</v>
      </c>
      <c r="M8" s="21"/>
      <c r="N8" s="13">
        <f>TRUNC(K8*L8,0)</f>
        <v>0</v>
      </c>
      <c r="O8" s="70"/>
      <c r="P8" s="70"/>
    </row>
    <row r="9" spans="1:19" ht="28.5" hidden="1" customHeight="1">
      <c r="A9" s="1006"/>
      <c r="B9" s="67"/>
      <c r="C9" s="32">
        <f>인집!B8</f>
        <v>0</v>
      </c>
      <c r="D9" s="32"/>
      <c r="E9" s="68"/>
      <c r="F9" s="72">
        <f>인집!E8</f>
        <v>0</v>
      </c>
      <c r="G9" s="69"/>
      <c r="H9" s="81">
        <f>투입인원!F9</f>
        <v>0</v>
      </c>
      <c r="I9" s="49"/>
      <c r="J9" s="49">
        <f>원가!G105</f>
        <v>0</v>
      </c>
      <c r="K9" s="14">
        <f t="shared" si="0"/>
        <v>0</v>
      </c>
      <c r="L9" s="27">
        <v>12</v>
      </c>
      <c r="M9" s="49"/>
      <c r="N9" s="14">
        <f t="shared" si="1"/>
        <v>0</v>
      </c>
      <c r="O9" s="70"/>
      <c r="P9" s="70"/>
    </row>
    <row r="10" spans="1:19" ht="28.5" hidden="1" customHeight="1">
      <c r="A10" s="1005"/>
      <c r="B10" s="61"/>
      <c r="C10" s="9">
        <f>인집!B9</f>
        <v>0</v>
      </c>
      <c r="D10" s="9"/>
      <c r="E10" s="62"/>
      <c r="F10" s="9">
        <f>인집!E9</f>
        <v>0</v>
      </c>
      <c r="G10" s="63"/>
      <c r="H10" s="82">
        <f>투입인원!F11</f>
        <v>0</v>
      </c>
      <c r="I10" s="64"/>
      <c r="J10" s="64">
        <f>원가!G140</f>
        <v>0</v>
      </c>
      <c r="K10" s="65">
        <f t="shared" si="0"/>
        <v>0</v>
      </c>
      <c r="L10" s="66">
        <v>12</v>
      </c>
      <c r="M10" s="64"/>
      <c r="N10" s="65">
        <f t="shared" si="1"/>
        <v>0</v>
      </c>
      <c r="O10" s="70"/>
      <c r="P10" s="70"/>
    </row>
    <row r="11" spans="1:19" ht="28.5" hidden="1" customHeight="1">
      <c r="A11" s="1006"/>
      <c r="B11" s="67"/>
      <c r="C11" s="32">
        <f>인집!B10</f>
        <v>0</v>
      </c>
      <c r="D11" s="32"/>
      <c r="E11" s="68"/>
      <c r="F11" s="32">
        <f>인집!E10</f>
        <v>0</v>
      </c>
      <c r="G11" s="69"/>
      <c r="H11" s="83">
        <v>5</v>
      </c>
      <c r="I11" s="49"/>
      <c r="J11" s="49">
        <f>원가!G175</f>
        <v>0</v>
      </c>
      <c r="K11" s="14">
        <f t="shared" si="0"/>
        <v>0</v>
      </c>
      <c r="L11" s="27">
        <v>12</v>
      </c>
      <c r="M11" s="49"/>
      <c r="N11" s="14">
        <f t="shared" si="1"/>
        <v>0</v>
      </c>
      <c r="O11" s="70"/>
      <c r="P11" s="70"/>
    </row>
    <row r="12" spans="1:19" ht="28.5" customHeight="1">
      <c r="A12" s="842" t="s">
        <v>581</v>
      </c>
      <c r="B12" s="843"/>
      <c r="C12" s="844" t="s">
        <v>578</v>
      </c>
      <c r="D12" s="8"/>
      <c r="E12" s="845"/>
      <c r="F12" s="8" t="str">
        <f>인집!E14</f>
        <v>전기기능사</v>
      </c>
      <c r="G12" s="846"/>
      <c r="H12" s="84">
        <f>투입인원!F26</f>
        <v>1</v>
      </c>
      <c r="I12" s="30"/>
      <c r="J12" s="30">
        <f>원가집계!J35</f>
        <v>4355832</v>
      </c>
      <c r="K12" s="15">
        <f t="shared" si="0"/>
        <v>4355832</v>
      </c>
      <c r="L12" s="23">
        <v>12</v>
      </c>
      <c r="M12" s="30"/>
      <c r="N12" s="15">
        <f t="shared" si="1"/>
        <v>52269984</v>
      </c>
      <c r="O12" s="70"/>
      <c r="P12" s="70"/>
    </row>
    <row r="13" spans="1:19" ht="28.5" customHeight="1">
      <c r="A13" s="840" t="s">
        <v>582</v>
      </c>
      <c r="B13" s="67"/>
      <c r="C13" s="839" t="s">
        <v>579</v>
      </c>
      <c r="D13" s="32"/>
      <c r="E13" s="68"/>
      <c r="F13" s="32" t="str">
        <f>인집!E15</f>
        <v>단순노무종사원</v>
      </c>
      <c r="G13" s="69"/>
      <c r="H13" s="83">
        <f>투입인원!F28</f>
        <v>2</v>
      </c>
      <c r="I13" s="49"/>
      <c r="J13" s="49">
        <f>원가집계!H35</f>
        <v>4091280</v>
      </c>
      <c r="K13" s="14">
        <f t="shared" si="0"/>
        <v>8182560</v>
      </c>
      <c r="L13" s="27">
        <v>12</v>
      </c>
      <c r="M13" s="49"/>
      <c r="N13" s="14">
        <f t="shared" si="1"/>
        <v>98190720</v>
      </c>
      <c r="O13" s="70"/>
      <c r="P13" s="70"/>
    </row>
    <row r="14" spans="1:19" ht="28.5" customHeight="1">
      <c r="A14" s="841" t="s">
        <v>583</v>
      </c>
      <c r="B14" s="61"/>
      <c r="C14" s="838" t="s">
        <v>580</v>
      </c>
      <c r="D14" s="9"/>
      <c r="E14" s="62"/>
      <c r="F14" s="9" t="str">
        <f>인집!E16</f>
        <v>단순노무종사원</v>
      </c>
      <c r="G14" s="63"/>
      <c r="H14" s="82">
        <f>투입인원!F29</f>
        <v>1</v>
      </c>
      <c r="I14" s="64"/>
      <c r="J14" s="64">
        <f>원가집계!G35</f>
        <v>4235361</v>
      </c>
      <c r="K14" s="65">
        <f t="shared" si="0"/>
        <v>4235361</v>
      </c>
      <c r="L14" s="66">
        <v>12</v>
      </c>
      <c r="M14" s="64"/>
      <c r="N14" s="65">
        <f>TRUNC(K14*L14,0)</f>
        <v>50824332</v>
      </c>
      <c r="O14" s="70"/>
      <c r="P14" s="70"/>
    </row>
    <row r="15" spans="1:19" ht="28.5" hidden="1" customHeight="1">
      <c r="A15" s="6" t="s">
        <v>379</v>
      </c>
      <c r="B15" s="61"/>
      <c r="C15" s="9" t="str">
        <f>인집!B16</f>
        <v>사무보조원</v>
      </c>
      <c r="D15" s="9"/>
      <c r="E15" s="62"/>
      <c r="F15" s="9" t="str">
        <f>인집!E16</f>
        <v>단순노무종사원</v>
      </c>
      <c r="G15" s="63"/>
      <c r="H15" s="82">
        <f>투입인원!F29</f>
        <v>1</v>
      </c>
      <c r="I15" s="64"/>
      <c r="J15" s="64">
        <f>원가집계!L35</f>
        <v>4235361</v>
      </c>
      <c r="K15" s="65">
        <f t="shared" si="0"/>
        <v>4235361</v>
      </c>
      <c r="L15" s="66">
        <v>12</v>
      </c>
      <c r="M15" s="64"/>
      <c r="N15" s="65">
        <f>TRUNC(K15*L15,0)</f>
        <v>50824332</v>
      </c>
      <c r="O15" s="70"/>
      <c r="P15" s="70"/>
    </row>
    <row r="16" spans="1:19" ht="36" customHeight="1">
      <c r="A16" s="48" t="s">
        <v>14</v>
      </c>
      <c r="B16" s="31"/>
      <c r="C16" s="31"/>
      <c r="D16" s="31"/>
      <c r="E16" s="2"/>
      <c r="F16" s="8"/>
      <c r="G16" s="1"/>
      <c r="H16" s="84">
        <f>SUM(H12:H14)</f>
        <v>4</v>
      </c>
      <c r="I16" s="30"/>
      <c r="J16" s="30"/>
      <c r="K16" s="15"/>
      <c r="L16" s="23"/>
      <c r="M16" s="30"/>
      <c r="N16" s="15">
        <f>SUM(N12:N14)</f>
        <v>201285036</v>
      </c>
      <c r="O16" s="70"/>
      <c r="P16" s="70"/>
      <c r="Q16" s="70"/>
      <c r="R16" s="70"/>
      <c r="S16" s="804"/>
    </row>
    <row r="17" spans="1:15" ht="24.95" customHeight="1">
      <c r="A17" s="29" t="str">
        <f>"주 1) 투입인원 : "&amp;투입인원!A1&amp;투입인원!A2&amp;" 참조"</f>
        <v>주 1) 투입인원 : &lt; 표 : 10 &gt; 적용직종 및 소요인원산정표 참조</v>
      </c>
      <c r="B17" s="29"/>
      <c r="C17" s="29"/>
      <c r="D17" s="29"/>
      <c r="E17" s="7"/>
      <c r="F17" s="10"/>
      <c r="G17" s="7"/>
      <c r="H17" s="85"/>
      <c r="I17" s="7"/>
      <c r="J17" s="7"/>
      <c r="M17" s="11"/>
      <c r="N17" s="11"/>
      <c r="O17" s="70"/>
    </row>
    <row r="18" spans="1:15" ht="24.95" customHeight="1">
      <c r="A18" s="29" t="str">
        <f>"   2) 단위(1인)당월간용역비 : "&amp;원가집계!A1&amp;원가집계!A2&amp;" 참조"</f>
        <v xml:space="preserve">   2) 단위(1인)당월간용역비 : &lt; 표 : 1 &gt; 용역원가계산서 참조</v>
      </c>
      <c r="B18" s="29"/>
      <c r="C18" s="29"/>
      <c r="D18" s="29"/>
      <c r="E18" s="7"/>
      <c r="F18" s="10"/>
      <c r="G18" s="7"/>
      <c r="H18" s="85"/>
      <c r="I18" s="7"/>
      <c r="J18" s="7"/>
      <c r="M18" s="11"/>
      <c r="N18" s="71"/>
    </row>
    <row r="19" spans="1:15" ht="24.95" customHeight="1">
      <c r="A19" s="33" t="s">
        <v>383</v>
      </c>
      <c r="B19" s="33"/>
      <c r="C19" s="29"/>
      <c r="D19" s="29"/>
      <c r="E19" s="7"/>
      <c r="F19" s="10"/>
      <c r="G19" s="7"/>
      <c r="H19" s="85"/>
      <c r="I19" s="7"/>
      <c r="J19" s="7"/>
      <c r="M19" s="11"/>
      <c r="N19" s="71"/>
    </row>
    <row r="20" spans="1:15" ht="24.95" customHeight="1">
      <c r="A20" s="819" t="s">
        <v>643</v>
      </c>
      <c r="B20" s="33"/>
      <c r="C20" s="29"/>
      <c r="D20" s="29"/>
      <c r="E20" s="7"/>
      <c r="F20" s="10"/>
      <c r="G20" s="7"/>
      <c r="H20" s="85"/>
      <c r="I20" s="7"/>
      <c r="J20" s="7"/>
      <c r="M20" s="11"/>
      <c r="N20" s="71"/>
    </row>
    <row r="21" spans="1:15" ht="24.95" customHeight="1">
      <c r="A21" s="33" t="s">
        <v>184</v>
      </c>
      <c r="B21" s="33"/>
      <c r="C21" s="29"/>
      <c r="D21" s="29"/>
      <c r="E21" s="7"/>
      <c r="F21" s="10"/>
      <c r="G21" s="7"/>
      <c r="H21" s="85"/>
      <c r="I21" s="7"/>
      <c r="J21" s="7"/>
      <c r="M21" s="11"/>
      <c r="N21" s="11"/>
    </row>
    <row r="22" spans="1:15" ht="24.95" customHeight="1">
      <c r="A22" s="33" t="s">
        <v>382</v>
      </c>
      <c r="B22" s="33"/>
      <c r="C22" s="29"/>
      <c r="D22" s="29"/>
      <c r="E22" s="7"/>
      <c r="F22" s="10"/>
      <c r="G22" s="7"/>
      <c r="H22" s="85"/>
      <c r="I22" s="7"/>
      <c r="J22" s="7"/>
      <c r="M22" s="11"/>
      <c r="N22" s="11"/>
    </row>
  </sheetData>
  <mergeCells count="2">
    <mergeCell ref="A10:A11"/>
    <mergeCell ref="A7:A9"/>
  </mergeCells>
  <phoneticPr fontId="7" type="noConversion"/>
  <pageMargins left="0.78740157480314965" right="0.78740157480314965" top="0.98425196850393704" bottom="0.98425196850393704" header="0.51181102362204722" footer="0.51181102362204722"/>
  <pageSetup paperSize="9" firstPageNumber="11" orientation="portrait" useFirstPageNumber="1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rgb="FFFFC000"/>
  </sheetPr>
  <dimension ref="A1:D21"/>
  <sheetViews>
    <sheetView showGridLines="0" showZeros="0" view="pageBreakPreview" topLeftCell="A4" zoomScaleNormal="60" zoomScaleSheetLayoutView="100" workbookViewId="0">
      <selection sqref="A1:D1"/>
    </sheetView>
  </sheetViews>
  <sheetFormatPr defaultColWidth="8.140625" defaultRowHeight="30" customHeight="1"/>
  <cols>
    <col min="1" max="1" width="11.5703125" style="86" customWidth="1"/>
    <col min="2" max="2" width="24.5703125" style="86" customWidth="1"/>
    <col min="3" max="3" width="15.85546875" style="86" bestFit="1" customWidth="1"/>
    <col min="4" max="4" width="42.5703125" style="86" customWidth="1"/>
    <col min="5" max="16384" width="8.140625" style="86"/>
  </cols>
  <sheetData>
    <row r="1" spans="1:4" ht="39.950000000000003" customHeight="1">
      <c r="A1" s="1003" t="str">
        <f>간지!$A$1</f>
        <v>[ 경기문화재단 2017년도 파견용역 ]</v>
      </c>
      <c r="B1" s="1003"/>
      <c r="C1" s="1003"/>
      <c r="D1" s="1003"/>
    </row>
    <row r="2" spans="1:4" s="89" customFormat="1" ht="30" customHeight="1">
      <c r="A2" s="87"/>
      <c r="B2" s="88"/>
      <c r="C2" s="88"/>
      <c r="D2" s="88"/>
    </row>
    <row r="3" spans="1:4" s="91" customFormat="1" ht="30" customHeight="1">
      <c r="A3" s="90"/>
      <c r="B3" s="90"/>
      <c r="C3" s="90"/>
      <c r="D3" s="90"/>
    </row>
    <row r="4" spans="1:4" ht="30" customHeight="1">
      <c r="A4" s="90"/>
      <c r="B4" s="93"/>
      <c r="C4" s="93"/>
      <c r="D4" s="93"/>
    </row>
    <row r="5" spans="1:4" ht="39.950000000000003" customHeight="1">
      <c r="A5" s="94"/>
      <c r="B5" s="95"/>
      <c r="C5" s="1004" t="s">
        <v>456</v>
      </c>
      <c r="D5" s="1004"/>
    </row>
    <row r="6" spans="1:4" ht="32.25" customHeight="1">
      <c r="A6" s="94"/>
      <c r="B6" s="95"/>
      <c r="C6" s="96"/>
      <c r="D6" s="99"/>
    </row>
    <row r="7" spans="1:4" ht="32.25" customHeight="1">
      <c r="A7" s="94"/>
      <c r="B7" s="95"/>
      <c r="C7" s="598" t="s">
        <v>473</v>
      </c>
      <c r="D7" s="101" t="s">
        <v>474</v>
      </c>
    </row>
    <row r="8" spans="1:4" ht="32.25" customHeight="1">
      <c r="A8" s="94"/>
      <c r="B8" s="95"/>
      <c r="C8" s="598" t="s">
        <v>466</v>
      </c>
      <c r="D8" s="101" t="s">
        <v>476</v>
      </c>
    </row>
    <row r="9" spans="1:4" ht="32.25" customHeight="1">
      <c r="A9" s="94"/>
      <c r="B9" s="95"/>
      <c r="C9" s="598" t="s">
        <v>467</v>
      </c>
      <c r="D9" s="101" t="s">
        <v>477</v>
      </c>
    </row>
    <row r="10" spans="1:4" ht="32.25" customHeight="1">
      <c r="A10" s="94"/>
      <c r="B10" s="95"/>
      <c r="C10" s="598" t="s">
        <v>468</v>
      </c>
      <c r="D10" s="101" t="s">
        <v>478</v>
      </c>
    </row>
    <row r="11" spans="1:4" ht="32.25" customHeight="1">
      <c r="A11" s="94"/>
      <c r="B11" s="95"/>
      <c r="C11" s="598" t="s">
        <v>469</v>
      </c>
      <c r="D11" s="101" t="s">
        <v>479</v>
      </c>
    </row>
    <row r="12" spans="1:4" ht="32.25" customHeight="1">
      <c r="A12" s="94"/>
      <c r="B12" s="95"/>
      <c r="C12" s="598" t="s">
        <v>470</v>
      </c>
      <c r="D12" s="101" t="s">
        <v>480</v>
      </c>
    </row>
    <row r="13" spans="1:4" ht="32.25" customHeight="1">
      <c r="A13" s="94"/>
      <c r="B13" s="95"/>
      <c r="C13" s="598"/>
      <c r="D13" s="101"/>
    </row>
    <row r="14" spans="1:4" ht="32.25" customHeight="1">
      <c r="A14" s="94"/>
      <c r="B14" s="95"/>
      <c r="C14" s="598"/>
      <c r="D14" s="101"/>
    </row>
    <row r="15" spans="1:4" ht="32.25" customHeight="1">
      <c r="A15" s="94"/>
      <c r="B15" s="95"/>
      <c r="C15" s="598"/>
      <c r="D15" s="101"/>
    </row>
    <row r="16" spans="1:4" ht="32.25" customHeight="1">
      <c r="A16" s="94"/>
      <c r="B16" s="95"/>
      <c r="C16" s="598"/>
      <c r="D16" s="101"/>
    </row>
    <row r="17" spans="1:4" ht="32.25" customHeight="1">
      <c r="A17" s="94"/>
      <c r="B17" s="95"/>
      <c r="C17" s="598"/>
      <c r="D17" s="101"/>
    </row>
    <row r="18" spans="1:4" ht="32.25" customHeight="1">
      <c r="A18" s="94"/>
      <c r="B18" s="95"/>
      <c r="C18" s="598"/>
      <c r="D18" s="101"/>
    </row>
    <row r="19" spans="1:4" ht="32.25" customHeight="1">
      <c r="A19" s="94"/>
      <c r="B19" s="95"/>
      <c r="C19" s="598"/>
      <c r="D19" s="101"/>
    </row>
    <row r="20" spans="1:4" ht="32.25" customHeight="1">
      <c r="A20" s="94"/>
      <c r="B20" s="95"/>
      <c r="C20" s="102"/>
      <c r="D20" s="103"/>
    </row>
    <row r="21" spans="1:4" ht="39.950000000000003" customHeight="1">
      <c r="A21" s="98"/>
      <c r="B21" s="98"/>
      <c r="C21" s="98"/>
      <c r="D21" s="98"/>
    </row>
  </sheetData>
  <mergeCells count="2">
    <mergeCell ref="A1:D1"/>
    <mergeCell ref="C5:D5"/>
  </mergeCells>
  <phoneticPr fontId="7" type="noConversion"/>
  <pageMargins left="0.78740157480314965" right="0.78740157480314965" top="0.98425196850393704" bottom="0.78740157480314965" header="0.51181102362204722" footer="0.51181102362204722"/>
  <pageSetup paperSize="9" firstPageNumber="12" orientation="portrait" useFirstPageNumber="1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D17"/>
  <sheetViews>
    <sheetView showGridLines="0" showZeros="0" view="pageBreakPreview" zoomScaleNormal="60" zoomScaleSheetLayoutView="100" workbookViewId="0">
      <selection sqref="A1:D1"/>
    </sheetView>
  </sheetViews>
  <sheetFormatPr defaultColWidth="8.140625" defaultRowHeight="30" customHeight="1"/>
  <cols>
    <col min="1" max="1" width="11.5703125" style="86" customWidth="1"/>
    <col min="2" max="2" width="24.5703125" style="86" customWidth="1"/>
    <col min="3" max="3" width="15.85546875" style="86" bestFit="1" customWidth="1"/>
    <col min="4" max="4" width="42.5703125" style="86" customWidth="1"/>
    <col min="5" max="16384" width="8.140625" style="86"/>
  </cols>
  <sheetData>
    <row r="1" spans="1:4" ht="39.950000000000003" customHeight="1">
      <c r="A1" s="1003" t="str">
        <f>간지!$A$1</f>
        <v>[ 경기문화재단 2017년도 파견용역 ]</v>
      </c>
      <c r="B1" s="1003"/>
      <c r="C1" s="1003"/>
      <c r="D1" s="1003"/>
    </row>
    <row r="2" spans="1:4" s="89" customFormat="1" ht="30" customHeight="1">
      <c r="A2" s="87"/>
      <c r="B2" s="88"/>
      <c r="C2" s="88"/>
      <c r="D2" s="88"/>
    </row>
    <row r="3" spans="1:4" s="91" customFormat="1" ht="30" customHeight="1">
      <c r="A3" s="90"/>
      <c r="B3" s="90"/>
      <c r="C3" s="90"/>
      <c r="D3" s="90"/>
    </row>
    <row r="4" spans="1:4" ht="30" customHeight="1">
      <c r="A4" s="90"/>
      <c r="B4" s="93"/>
      <c r="C4" s="93"/>
      <c r="D4" s="93"/>
    </row>
    <row r="5" spans="1:4" ht="39.950000000000003" customHeight="1">
      <c r="A5" s="94"/>
      <c r="B5" s="95"/>
      <c r="C5" s="1004" t="s">
        <v>496</v>
      </c>
      <c r="D5" s="1004"/>
    </row>
    <row r="6" spans="1:4" ht="42.75" customHeight="1">
      <c r="A6" s="94"/>
      <c r="B6" s="95"/>
      <c r="C6" s="96"/>
      <c r="D6" s="99"/>
    </row>
    <row r="7" spans="1:4" ht="42.75" customHeight="1">
      <c r="A7" s="94"/>
      <c r="B7" s="95"/>
      <c r="C7" s="100" t="s">
        <v>497</v>
      </c>
      <c r="D7" s="101" t="str">
        <f>원가집계!A2</f>
        <v>용역원가계산서</v>
      </c>
    </row>
    <row r="8" spans="1:4" ht="42.75" customHeight="1">
      <c r="A8" s="94"/>
      <c r="B8" s="95"/>
      <c r="C8" s="100" t="s">
        <v>437</v>
      </c>
      <c r="D8" s="101" t="str">
        <f>원가!A2</f>
        <v>직종별용역원가계산서</v>
      </c>
    </row>
    <row r="9" spans="1:4" ht="42.75" customHeight="1">
      <c r="A9" s="94"/>
      <c r="B9" s="95"/>
      <c r="C9" s="100"/>
      <c r="D9" s="101"/>
    </row>
    <row r="10" spans="1:4" ht="42.75" customHeight="1">
      <c r="A10" s="94"/>
      <c r="B10" s="95"/>
      <c r="C10" s="100"/>
      <c r="D10" s="101"/>
    </row>
    <row r="11" spans="1:4" ht="42.75" customHeight="1">
      <c r="A11" s="94"/>
      <c r="B11" s="95"/>
      <c r="C11" s="100"/>
      <c r="D11" s="101"/>
    </row>
    <row r="12" spans="1:4" ht="42.75" customHeight="1">
      <c r="A12" s="94"/>
      <c r="B12" s="95"/>
      <c r="C12" s="100"/>
      <c r="D12" s="101"/>
    </row>
    <row r="13" spans="1:4" ht="42.75" customHeight="1">
      <c r="A13" s="94"/>
      <c r="B13" s="95"/>
      <c r="C13" s="100"/>
      <c r="D13" s="101"/>
    </row>
    <row r="14" spans="1:4" ht="42.75" customHeight="1">
      <c r="A14" s="94"/>
      <c r="B14" s="95"/>
      <c r="C14" s="100"/>
      <c r="D14" s="101"/>
    </row>
    <row r="15" spans="1:4" ht="42.75" customHeight="1">
      <c r="A15" s="94"/>
      <c r="B15" s="95"/>
      <c r="C15" s="100"/>
      <c r="D15" s="101"/>
    </row>
    <row r="16" spans="1:4" ht="42.75" customHeight="1">
      <c r="A16" s="94"/>
      <c r="B16" s="95"/>
      <c r="C16" s="102"/>
      <c r="D16" s="103"/>
    </row>
    <row r="17" spans="1:4" ht="39.950000000000003" customHeight="1">
      <c r="A17" s="98"/>
      <c r="B17" s="98"/>
      <c r="C17" s="98"/>
      <c r="D17" s="98"/>
    </row>
  </sheetData>
  <mergeCells count="2">
    <mergeCell ref="A1:D1"/>
    <mergeCell ref="C5:D5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13" orientation="portrait" useFirstPageNumber="1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38</vt:i4>
      </vt:variant>
      <vt:variant>
        <vt:lpstr>이름이 지정된 범위</vt:lpstr>
      </vt:variant>
      <vt:variant>
        <vt:i4>30</vt:i4>
      </vt:variant>
    </vt:vector>
  </HeadingPairs>
  <TitlesOfParts>
    <vt:vector size="68" baseType="lpstr">
      <vt:lpstr>심사내역서</vt:lpstr>
      <vt:lpstr>목차</vt:lpstr>
      <vt:lpstr>간지</vt:lpstr>
      <vt:lpstr>간지2</vt:lpstr>
      <vt:lpstr>간지3</vt:lpstr>
      <vt:lpstr>간지3 (2)</vt:lpstr>
      <vt:lpstr>집계</vt:lpstr>
      <vt:lpstr>간지6</vt:lpstr>
      <vt:lpstr>간지6 (7)</vt:lpstr>
      <vt:lpstr>원가집계</vt:lpstr>
      <vt:lpstr>원가</vt:lpstr>
      <vt:lpstr>간지6 (6)</vt:lpstr>
      <vt:lpstr>인집</vt:lpstr>
      <vt:lpstr>단위당인건비</vt:lpstr>
      <vt:lpstr>월기본급</vt:lpstr>
      <vt:lpstr>연장근로</vt:lpstr>
      <vt:lpstr>휴일근로</vt:lpstr>
      <vt:lpstr>산정기준</vt:lpstr>
      <vt:lpstr>투입인원</vt:lpstr>
      <vt:lpstr>간지6 (5)</vt:lpstr>
      <vt:lpstr>경비집계표</vt:lpstr>
      <vt:lpstr>보험료</vt:lpstr>
      <vt:lpstr>보험료산출기준</vt:lpstr>
      <vt:lpstr>산재비율</vt:lpstr>
      <vt:lpstr>복리후생비</vt:lpstr>
      <vt:lpstr>식대</vt:lpstr>
      <vt:lpstr>체력단련비</vt:lpstr>
      <vt:lpstr>피복비</vt:lpstr>
      <vt:lpstr>사업소세</vt:lpstr>
      <vt:lpstr>교육비</vt:lpstr>
      <vt:lpstr>간지6 (4)</vt:lpstr>
      <vt:lpstr>일반</vt:lpstr>
      <vt:lpstr>일반비율</vt:lpstr>
      <vt:lpstr>간지6 (3)</vt:lpstr>
      <vt:lpstr>이윤</vt:lpstr>
      <vt:lpstr>이윤율</vt:lpstr>
      <vt:lpstr>간지6 (2)</vt:lpstr>
      <vt:lpstr>기업</vt:lpstr>
      <vt:lpstr>간지6!Print_Area</vt:lpstr>
      <vt:lpstr>'간지6 (2)'!Print_Area</vt:lpstr>
      <vt:lpstr>'간지6 (3)'!Print_Area</vt:lpstr>
      <vt:lpstr>'간지6 (4)'!Print_Area</vt:lpstr>
      <vt:lpstr>'간지6 (5)'!Print_Area</vt:lpstr>
      <vt:lpstr>'간지6 (6)'!Print_Area</vt:lpstr>
      <vt:lpstr>'간지6 (7)'!Print_Area</vt:lpstr>
      <vt:lpstr>경비집계표!Print_Area</vt:lpstr>
      <vt:lpstr>기업!Print_Area</vt:lpstr>
      <vt:lpstr>단위당인건비!Print_Area</vt:lpstr>
      <vt:lpstr>보험료!Print_Area</vt:lpstr>
      <vt:lpstr>보험료산출기준!Print_Area</vt:lpstr>
      <vt:lpstr>복리후생비!Print_Area</vt:lpstr>
      <vt:lpstr>산재비율!Print_Area</vt:lpstr>
      <vt:lpstr>산정기준!Print_Area</vt:lpstr>
      <vt:lpstr>식대!Print_Area</vt:lpstr>
      <vt:lpstr>연장근로!Print_Area</vt:lpstr>
      <vt:lpstr>원가!Print_Area</vt:lpstr>
      <vt:lpstr>원가집계!Print_Area</vt:lpstr>
      <vt:lpstr>월기본급!Print_Area</vt:lpstr>
      <vt:lpstr>이윤율!Print_Area</vt:lpstr>
      <vt:lpstr>인집!Print_Area</vt:lpstr>
      <vt:lpstr>일반비율!Print_Area</vt:lpstr>
      <vt:lpstr>집계!Print_Area</vt:lpstr>
      <vt:lpstr>체력단련비!Print_Area</vt:lpstr>
      <vt:lpstr>투입인원!Print_Area</vt:lpstr>
      <vt:lpstr>피복비!Print_Area</vt:lpstr>
      <vt:lpstr>휴일근로!Print_Area</vt:lpstr>
      <vt:lpstr>단위당인건비!Print_Titles</vt:lpstr>
      <vt:lpstr>보험료!Print_Titles</vt:lpstr>
    </vt:vector>
  </TitlesOfParts>
  <Company>연구소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진한식</dc:creator>
  <cp:lastModifiedBy>user</cp:lastModifiedBy>
  <cp:lastPrinted>2016-12-06T05:18:42Z</cp:lastPrinted>
  <dcterms:created xsi:type="dcterms:W3CDTF">2008-01-03T00:35:12Z</dcterms:created>
  <dcterms:modified xsi:type="dcterms:W3CDTF">2016-12-12T05:48:46Z</dcterms:modified>
</cp:coreProperties>
</file>